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DOCUEMNTOS GENERALES ANT\AGENCIA NACIONAL DE TIERRAS\ANT 2021\CONVENIOS 2021\CONVENIO SUBSIDIO 2021\"/>
    </mc:Choice>
  </mc:AlternateContent>
  <bookViews>
    <workbookView xWindow="0" yWindow="0" windowWidth="15345" windowHeight="4575"/>
  </bookViews>
  <sheets>
    <sheet name="Presupuesto Convenio" sheetId="2" r:id="rId1"/>
    <sheet name="Presupuesto Mensual" sheetId="3" r:id="rId2"/>
    <sheet name="Distribucion de Recursos" sheetId="5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H2" i="3"/>
  <c r="G2" i="3"/>
  <c r="F2" i="3"/>
  <c r="E2" i="3"/>
  <c r="D21" i="3"/>
  <c r="E21" i="3"/>
  <c r="F21" i="3"/>
  <c r="G21" i="3"/>
  <c r="H21" i="3"/>
  <c r="D22" i="3"/>
  <c r="E22" i="3"/>
  <c r="F22" i="3"/>
  <c r="G22" i="3"/>
  <c r="H22" i="3"/>
  <c r="D23" i="3"/>
  <c r="E23" i="3"/>
  <c r="F23" i="3"/>
  <c r="G23" i="3"/>
  <c r="H23" i="3"/>
  <c r="C23" i="3"/>
  <c r="C22" i="3"/>
  <c r="C21" i="3"/>
  <c r="H18" i="3"/>
  <c r="G18" i="3"/>
  <c r="F18" i="3"/>
  <c r="E18" i="3"/>
  <c r="D18" i="3"/>
  <c r="C18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3" i="3"/>
  <c r="D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2" i="3"/>
  <c r="E31" i="3" l="1"/>
  <c r="D35" i="3"/>
  <c r="D29" i="3" s="1"/>
  <c r="D36" i="3"/>
  <c r="D30" i="3" s="1"/>
  <c r="D37" i="3"/>
  <c r="D31" i="3" s="1"/>
  <c r="D34" i="3"/>
  <c r="D28" i="3" s="1"/>
  <c r="D4" i="5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2" i="3"/>
  <c r="F10" i="2"/>
  <c r="B21" i="3" l="1"/>
  <c r="B22" i="3"/>
  <c r="F25" i="2" l="1"/>
  <c r="D6" i="5" l="1"/>
  <c r="E6" i="5" s="1"/>
  <c r="D14" i="5"/>
  <c r="E14" i="5" s="1"/>
  <c r="D10" i="5"/>
  <c r="E10" i="5" s="1"/>
  <c r="D19" i="5" l="1"/>
  <c r="E19" i="5" s="1"/>
  <c r="E4" i="5"/>
  <c r="D24" i="3" l="1"/>
  <c r="E24" i="3"/>
  <c r="F24" i="3"/>
  <c r="G24" i="3"/>
  <c r="H24" i="3"/>
  <c r="C24" i="3"/>
  <c r="D20" i="3"/>
  <c r="E20" i="3"/>
  <c r="F20" i="3"/>
  <c r="G20" i="3"/>
  <c r="H20" i="3"/>
  <c r="C20" i="3"/>
  <c r="F26" i="2"/>
  <c r="F24" i="2"/>
  <c r="F21" i="2"/>
  <c r="F20" i="2"/>
  <c r="F22" i="2" s="1"/>
  <c r="D18" i="5" s="1"/>
  <c r="E18" i="5" s="1"/>
  <c r="F4" i="2"/>
  <c r="F5" i="2"/>
  <c r="F6" i="2"/>
  <c r="F7" i="2"/>
  <c r="F8" i="2"/>
  <c r="F9" i="2"/>
  <c r="F11" i="2"/>
  <c r="F12" i="2"/>
  <c r="F13" i="2"/>
  <c r="F14" i="2"/>
  <c r="F15" i="2"/>
  <c r="F16" i="2"/>
  <c r="F17" i="2"/>
  <c r="F3" i="2"/>
  <c r="D12" i="5" l="1"/>
  <c r="D8" i="5"/>
  <c r="D16" i="5" s="1"/>
  <c r="D5" i="5"/>
  <c r="E12" i="5"/>
  <c r="D9" i="5"/>
  <c r="D13" i="5"/>
  <c r="F18" i="2"/>
  <c r="F27" i="2"/>
  <c r="G17" i="3"/>
  <c r="G25" i="3" s="1"/>
  <c r="C17" i="3"/>
  <c r="C25" i="3" s="1"/>
  <c r="E17" i="3"/>
  <c r="E25" i="3" s="1"/>
  <c r="D17" i="3"/>
  <c r="D25" i="3" s="1"/>
  <c r="H17" i="3"/>
  <c r="H25" i="3" s="1"/>
  <c r="F17" i="3"/>
  <c r="F25" i="3" s="1"/>
  <c r="D17" i="5" l="1"/>
  <c r="D7" i="5"/>
  <c r="E28" i="3"/>
  <c r="G28" i="3" s="1"/>
  <c r="F29" i="3" s="1"/>
  <c r="E29" i="3"/>
  <c r="E30" i="3"/>
  <c r="F28" i="2"/>
  <c r="E13" i="5"/>
  <c r="D15" i="5"/>
  <c r="E9" i="5"/>
  <c r="D11" i="5"/>
  <c r="E16" i="5"/>
  <c r="E5" i="5"/>
  <c r="E8" i="5"/>
  <c r="G29" i="3" l="1"/>
  <c r="F30" i="3" s="1"/>
  <c r="G30" i="3" s="1"/>
  <c r="F31" i="3" s="1"/>
  <c r="G31" i="3" s="1"/>
  <c r="E11" i="5"/>
  <c r="E17" i="5"/>
  <c r="D20" i="5"/>
  <c r="D21" i="5" s="1"/>
  <c r="E15" i="5"/>
  <c r="E20" i="5" l="1"/>
  <c r="E7" i="5"/>
  <c r="E21" i="5" l="1"/>
</calcChain>
</file>

<file path=xl/comments1.xml><?xml version="1.0" encoding="utf-8"?>
<comments xmlns="http://schemas.openxmlformats.org/spreadsheetml/2006/main">
  <authors>
    <author>Daniel</author>
  </authors>
  <commentList>
    <comment ref="E34" authorId="0" shapeId="0">
      <text>
        <r>
          <rPr>
            <b/>
            <sz val="9"/>
            <color indexed="81"/>
            <rFont val="Tahoma"/>
            <family val="2"/>
          </rPr>
          <t>Daniel:</t>
        </r>
        <r>
          <rPr>
            <sz val="9"/>
            <color indexed="81"/>
            <rFont val="Tahoma"/>
            <family val="2"/>
          </rPr>
          <t xml:space="preserve">
Corresponde:
1% del Documento de Plan de coordinacion y operación de convenio
1% contratos de personal y capacitacion
0,3% de 1er reunion de planeacion y seguimiento</t>
        </r>
      </text>
    </comment>
  </commentList>
</comments>
</file>

<file path=xl/sharedStrings.xml><?xml version="1.0" encoding="utf-8"?>
<sst xmlns="http://schemas.openxmlformats.org/spreadsheetml/2006/main" count="148" uniqueCount="115">
  <si>
    <t>Especialista SIG</t>
  </si>
  <si>
    <t>Ingeniero catastral y geodesta</t>
  </si>
  <si>
    <t>CONCEPTO</t>
  </si>
  <si>
    <t>CANTIDAD</t>
  </si>
  <si>
    <t>VALOR MENSUAL</t>
  </si>
  <si>
    <t>MESES</t>
  </si>
  <si>
    <t>VALOR TOTAL</t>
  </si>
  <si>
    <t>EQUIPO PROFESIONAL</t>
  </si>
  <si>
    <t>Ingeniero de Sistemas - Desarrollador</t>
  </si>
  <si>
    <t>Profesional Derecho</t>
  </si>
  <si>
    <t>Profesional Social</t>
  </si>
  <si>
    <t>Profesional Administrativo</t>
  </si>
  <si>
    <t>Profesional Financiero</t>
  </si>
  <si>
    <t>Ingeniero Topográfico</t>
  </si>
  <si>
    <t>Técnico Topográfico</t>
  </si>
  <si>
    <t>Ingeniero de Sistemas - Requerimientos</t>
  </si>
  <si>
    <t>Técnicos en Gestión Documental</t>
  </si>
  <si>
    <t>Técnico Líder en Gestión Documental</t>
  </si>
  <si>
    <t>Avaluos Comerciales de Predio</t>
  </si>
  <si>
    <t>Equipos de Topografia</t>
  </si>
  <si>
    <t>(1) SUBTOTAL CONTRATACIÓN EQUIPO PROFESIONAL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</si>
  <si>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</si>
  <si>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</si>
  <si>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</si>
  <si>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</si>
  <si>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</si>
  <si>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</si>
  <si>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</si>
  <si>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</si>
  <si>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</si>
  <si>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</si>
  <si>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</si>
  <si>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</si>
  <si>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</si>
  <si>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</si>
  <si>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ID</t>
  </si>
  <si>
    <t>TOPOGRAFIA Y AVALUOS COMERCIALES</t>
  </si>
  <si>
    <t>2.1</t>
  </si>
  <si>
    <t>2.2</t>
  </si>
  <si>
    <t>(2) SUBTOTAL TOPOGRAFIA Y AVALUOS</t>
  </si>
  <si>
    <t>GASTOS OPERATIVOS Y ADMINISTRATIVOS</t>
  </si>
  <si>
    <t>3.1</t>
  </si>
  <si>
    <t>3.2</t>
  </si>
  <si>
    <t>Viaticos y Transportes</t>
  </si>
  <si>
    <t>(3) SUBTOTAL GASTOS OPERATIVOS Y ADMINISTRATIVOS</t>
  </si>
  <si>
    <t>TOTAL CONVENIO</t>
  </si>
  <si>
    <t>MES 1</t>
  </si>
  <si>
    <t>MES 2</t>
  </si>
  <si>
    <t>MES 3</t>
  </si>
  <si>
    <t>MES 4</t>
  </si>
  <si>
    <t>MES 5</t>
  </si>
  <si>
    <t>MES 6</t>
  </si>
  <si>
    <t>SUB TOTAL EQUIPO PROFESIONAL</t>
  </si>
  <si>
    <t>SUB TOTAL AVALUOS Y TOPOGRAFIA</t>
  </si>
  <si>
    <t>SUB TOTAL ADMINISTRATIVOS Y OPERATIVOS</t>
  </si>
  <si>
    <t>TOTAL PRESUPUESTO MENSUAL</t>
  </si>
  <si>
    <t>Desembolso 1</t>
  </si>
  <si>
    <t>Desembolso 2</t>
  </si>
  <si>
    <t>Desembolso 3</t>
  </si>
  <si>
    <t>VALOR CONVENIO</t>
  </si>
  <si>
    <t>SALDO</t>
  </si>
  <si>
    <t>REQUERIMIENTO FINANCIERO</t>
  </si>
  <si>
    <t>VALOR DESEMBOLSO</t>
  </si>
  <si>
    <t>SALDO ANTERIOR</t>
  </si>
  <si>
    <t>DESEMBOLSO</t>
  </si>
  <si>
    <t>PORCENTAJE</t>
  </si>
  <si>
    <t>VALOR</t>
  </si>
  <si>
    <t>AVANCE POA</t>
  </si>
  <si>
    <t>FECHA ESTIMADA</t>
  </si>
  <si>
    <t>Mes 1</t>
  </si>
  <si>
    <t>L1</t>
  </si>
  <si>
    <t>ESTABLECER LA ESTRATEGIA OPERATIVA QUE PERMITA LA EJECUCIÓN DE LAS ACTIVIDADES ESTABLECIDAS EN EL CONVENIO</t>
  </si>
  <si>
    <t>L2</t>
  </si>
  <si>
    <t xml:space="preserve">REALIZAR EL MEJORAMIENTO Y SOPORTE DE LAS FUNCIONALIDADES REQUERIDAS EN EL APLICATIVO SIDRA -SIRA -SIT, ASÍ COMO LA CONSTRUCCIÓN DE NUEVAS FUNCIONALIDADES DEL SISTEMA DE INFORMACIÓN DEL REGISTRO DE INMUEBLES RURALES - RIR. </t>
  </si>
  <si>
    <t>L3</t>
  </si>
  <si>
    <t>REALIZAR LA NORMALIZACIÓN DE EXPEDIENTES DE LOS PROCESOS DE SUBSIDIO MATERIALIZADOS</t>
  </si>
  <si>
    <t>L4</t>
  </si>
  <si>
    <t xml:space="preserve">DESARROLLAR LAS ACTIVIDADES ESTABLECIDAS PARA LA MATERIALIZACIÓN DE LOS SUBSIDIOS DE LAS CONVOCATORIAS SIT, SIDRA Y SIRA DE ACUERDO CON LA NORMATIVIDAD Y PROCEDIMIENTOS VIGENTES </t>
  </si>
  <si>
    <t>RUBRO</t>
  </si>
  <si>
    <t>SUBTOTAL</t>
  </si>
  <si>
    <t>LINEA DE ACCION</t>
  </si>
  <si>
    <t>OBJETIVO</t>
  </si>
  <si>
    <t>VALOR 
($)</t>
  </si>
  <si>
    <t>PORCENTAJE
(%)</t>
  </si>
  <si>
    <t>VALOR TOTAL CONVENIO</t>
  </si>
  <si>
    <t>Coordinador de Convenio</t>
  </si>
  <si>
    <t>CATEGORIA 
CIRCULAR 01</t>
  </si>
  <si>
    <t>NIVEL</t>
  </si>
  <si>
    <t>DESCRIPCION PERFIL</t>
  </si>
  <si>
    <t>III</t>
  </si>
  <si>
    <t>Ingeniero Topográfico con especialización el SIG y al menos 16 meses de experiencia profesional en levantamientos topográficos y análisis predial.</t>
  </si>
  <si>
    <t>Técnico Topográfico con 30 meses de Experiencia en realización de levantamientos topográficos</t>
  </si>
  <si>
    <t>Ingenio Catastral y Geodesia con especialización el SIG y al menos 16 meses de experiencia profesional en levantamientos topográficos y análisis predial.</t>
  </si>
  <si>
    <t xml:space="preserve">Profesional en Ingeniería Catastral, Geográfica, agrícola, agroforestal o afines con especialización el SIG y al menos 16 meses de experiencia profesional en levantamientos topográficos y análisis predial. </t>
  </si>
  <si>
    <t>Ingeniero de Sistemas con Especialización relacionada con programación de software y mínimo 16 meses de experiencia</t>
  </si>
  <si>
    <t xml:space="preserve">Profesionales en ciencias agropecuarias, con especialización en áreas relacionadas con la gestión de proyectos o de producción agropecuaria o ambiental con mínimo 16 meses de experiencia profesional </t>
  </si>
  <si>
    <t>Profesional en Derecho con especialización y mínimo 10 meses de experiencia laboral</t>
  </si>
  <si>
    <t>II</t>
  </si>
  <si>
    <t>Profesional en áreas sociales con mínimo 30 meses de experiencia</t>
  </si>
  <si>
    <t>Título de bachiller con al menos 12 meses de experiencia relacionada en gestión documental</t>
  </si>
  <si>
    <t xml:space="preserve">Título en formación técnica profesional o título de formación tecnológica con al menos 15 meses de experiencia en temas de gestión documental </t>
  </si>
  <si>
    <t>Título Profesional en cuentas administrativas con 30 meses de experiencia relacionada.</t>
  </si>
  <si>
    <t>IV</t>
  </si>
  <si>
    <t>Título Profesional en cuentas administrativas o agropecuarias o ingenierías o afines, con maestria relacionada en gestión de proyectos y con al menos 6 meses de experiencia profesional</t>
  </si>
  <si>
    <t>Profesional en Ciencias Administrativas o profesional contador, con especialización en áreas relacionadas y con 22 meses de experiencia profesional.</t>
  </si>
  <si>
    <t>Gastos Administrativos</t>
  </si>
  <si>
    <t>Gastos Operacionales</t>
  </si>
  <si>
    <t>GASTOS ADMINISTRATIVOS</t>
  </si>
  <si>
    <t>GASTOS OPERACIONALES</t>
  </si>
  <si>
    <t xml:space="preserve">GASTOS OPERACIONALES </t>
  </si>
  <si>
    <t>1.15</t>
  </si>
  <si>
    <t>Desembolso 4</t>
  </si>
  <si>
    <t>Mes 7</t>
  </si>
  <si>
    <t>Profesionales Ciencías Agropecuarias</t>
  </si>
  <si>
    <t>Profesional Administrativo -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</si>
</sst>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#,##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alibri Light"/>
      <family val="2"/>
      <scheme val="major"/>
    </font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000000"/>
      <name val="Arial Narrow"/>
      <family val="2"/>
    </font>
    <font>
      <b/>
      <sz val="14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7" fillId="0" borderId="0" applyNumberFormat="0" applyFill="0" applyBorder="0" applyProtection="0">
      <alignment horizontal="center" vertical="center"/>
    </xf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67">
    <xf numFmtId="0" fontId="0" fillId="0" borderId="0" xfId="0"/>
    <xf numFmtId="3" fontId="0" fillId="0" borderId="0" xfId="0" applyNumberFormat="1"/>
    <xf numFmtId="0" fontId="2" fillId="0" borderId="0" xfId="0" applyFont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3" fontId="2" fillId="0" borderId="0" xfId="0" applyNumberFormat="1" applyFont="1"/>
    <xf numFmtId="3" fontId="1" fillId="2" borderId="9" xfId="0" applyNumberFormat="1" applyFont="1" applyFill="1" applyBorder="1"/>
    <xf numFmtId="0" fontId="2" fillId="0" borderId="2" xfId="0" applyFont="1" applyBorder="1" applyAlignment="1">
      <alignment horizontal="center"/>
    </xf>
    <xf numFmtId="3" fontId="2" fillId="0" borderId="2" xfId="0" applyNumberFormat="1" applyFont="1" applyBorder="1"/>
    <xf numFmtId="0" fontId="1" fillId="2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 applyAlignment="1">
      <alignment horizontal="center"/>
    </xf>
    <xf numFmtId="3" fontId="2" fillId="0" borderId="16" xfId="0" applyNumberFormat="1" applyFont="1" applyBorder="1"/>
    <xf numFmtId="3" fontId="2" fillId="0" borderId="16" xfId="0" applyNumberFormat="1" applyFont="1" applyBorder="1" applyAlignment="1">
      <alignment horizontal="center"/>
    </xf>
    <xf numFmtId="3" fontId="2" fillId="0" borderId="17" xfId="0" applyNumberFormat="1" applyFont="1" applyBorder="1"/>
    <xf numFmtId="0" fontId="2" fillId="0" borderId="10" xfId="0" applyFont="1" applyBorder="1" applyAlignment="1">
      <alignment horizontal="center"/>
    </xf>
    <xf numFmtId="3" fontId="1" fillId="2" borderId="3" xfId="0" applyNumberFormat="1" applyFont="1" applyFill="1" applyBorder="1"/>
    <xf numFmtId="0" fontId="2" fillId="0" borderId="18" xfId="0" applyFont="1" applyBorder="1"/>
    <xf numFmtId="3" fontId="2" fillId="0" borderId="19" xfId="0" applyNumberFormat="1" applyFont="1" applyBorder="1"/>
    <xf numFmtId="3" fontId="1" fillId="2" borderId="20" xfId="0" applyNumberFormat="1" applyFont="1" applyFill="1" applyBorder="1"/>
    <xf numFmtId="0" fontId="2" fillId="0" borderId="21" xfId="0" applyFont="1" applyBorder="1"/>
    <xf numFmtId="0" fontId="1" fillId="2" borderId="22" xfId="0" applyFont="1" applyFill="1" applyBorder="1" applyAlignment="1">
      <alignment horizontal="center"/>
    </xf>
    <xf numFmtId="0" fontId="2" fillId="0" borderId="23" xfId="0" applyFont="1" applyBorder="1"/>
    <xf numFmtId="0" fontId="2" fillId="0" borderId="4" xfId="0" applyFont="1" applyBorder="1" applyAlignment="1">
      <alignment horizontal="center"/>
    </xf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center"/>
    </xf>
    <xf numFmtId="3" fontId="2" fillId="0" borderId="24" xfId="0" applyNumberFormat="1" applyFont="1" applyBorder="1"/>
    <xf numFmtId="0" fontId="2" fillId="0" borderId="23" xfId="0" applyFont="1" applyFill="1" applyBorder="1" applyAlignment="1">
      <alignment vertical="center"/>
    </xf>
    <xf numFmtId="0" fontId="2" fillId="0" borderId="29" xfId="0" applyFont="1" applyBorder="1"/>
    <xf numFmtId="0" fontId="2" fillId="0" borderId="30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3" fontId="2" fillId="0" borderId="13" xfId="0" applyNumberFormat="1" applyFont="1" applyBorder="1"/>
    <xf numFmtId="3" fontId="2" fillId="0" borderId="14" xfId="0" applyNumberFormat="1" applyFont="1" applyBorder="1"/>
    <xf numFmtId="0" fontId="2" fillId="0" borderId="18" xfId="0" applyFont="1" applyBorder="1" applyAlignment="1">
      <alignment vertical="center" wrapText="1"/>
    </xf>
    <xf numFmtId="0" fontId="2" fillId="0" borderId="18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" fillId="2" borderId="3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2" borderId="6" xfId="0" applyFont="1" applyFill="1" applyBorder="1" applyAlignment="1">
      <alignment vertical="center"/>
    </xf>
    <xf numFmtId="0" fontId="3" fillId="2" borderId="1" xfId="0" applyFont="1" applyFill="1" applyBorder="1"/>
    <xf numFmtId="0" fontId="1" fillId="0" borderId="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9" fontId="2" fillId="0" borderId="35" xfId="0" applyNumberFormat="1" applyFont="1" applyBorder="1" applyAlignment="1">
      <alignment horizontal="center" vertical="center" wrapText="1"/>
    </xf>
    <xf numFmtId="9" fontId="2" fillId="0" borderId="36" xfId="0" applyNumberFormat="1" applyFont="1" applyBorder="1" applyAlignment="1">
      <alignment horizontal="center" vertical="center" wrapText="1"/>
    </xf>
    <xf numFmtId="6" fontId="2" fillId="0" borderId="31" xfId="0" applyNumberFormat="1" applyFont="1" applyBorder="1" applyAlignment="1">
      <alignment horizontal="center" vertical="center" wrapText="1"/>
    </xf>
    <xf numFmtId="3" fontId="1" fillId="2" borderId="1" xfId="0" applyNumberFormat="1" applyFont="1" applyFill="1" applyBorder="1"/>
    <xf numFmtId="10" fontId="2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vertical="center"/>
    </xf>
    <xf numFmtId="10" fontId="2" fillId="0" borderId="1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10" fontId="1" fillId="2" borderId="1" xfId="0" applyNumberFormat="1" applyFont="1" applyFill="1" applyBorder="1"/>
    <xf numFmtId="10" fontId="2" fillId="0" borderId="1" xfId="0" applyNumberFormat="1" applyFont="1" applyBorder="1"/>
    <xf numFmtId="3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1" fillId="2" borderId="1" xfId="0" applyFont="1" applyFill="1" applyBorder="1"/>
    <xf numFmtId="0" fontId="9" fillId="0" borderId="0" xfId="0" applyFont="1"/>
    <xf numFmtId="3" fontId="9" fillId="0" borderId="0" xfId="0" applyNumberFormat="1" applyFont="1"/>
    <xf numFmtId="44" fontId="9" fillId="0" borderId="0" xfId="4" applyFont="1"/>
    <xf numFmtId="9" fontId="9" fillId="0" borderId="0" xfId="5" applyFont="1"/>
    <xf numFmtId="44" fontId="9" fillId="0" borderId="0" xfId="0" applyNumberFormat="1" applyFont="1"/>
    <xf numFmtId="0" fontId="2" fillId="0" borderId="28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2" fillId="0" borderId="29" xfId="0" applyFont="1" applyBorder="1" applyAlignment="1">
      <alignment horizontal="center" vertical="center"/>
    </xf>
    <xf numFmtId="0" fontId="10" fillId="0" borderId="40" xfId="0" applyFont="1" applyBorder="1" applyAlignment="1">
      <alignment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3" fontId="2" fillId="0" borderId="1" xfId="0" applyNumberFormat="1" applyFont="1" applyFill="1" applyBorder="1"/>
    <xf numFmtId="0" fontId="2" fillId="0" borderId="33" xfId="0" applyFont="1" applyBorder="1"/>
    <xf numFmtId="0" fontId="2" fillId="0" borderId="3" xfId="0" applyFont="1" applyBorder="1" applyAlignment="1">
      <alignment horizontal="center"/>
    </xf>
    <xf numFmtId="3" fontId="2" fillId="0" borderId="3" xfId="0" applyNumberFormat="1" applyFont="1" applyBorder="1"/>
    <xf numFmtId="3" fontId="2" fillId="0" borderId="41" xfId="0" applyNumberFormat="1" applyFont="1" applyBorder="1"/>
    <xf numFmtId="4" fontId="2" fillId="0" borderId="4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3" fontId="1" fillId="2" borderId="7" xfId="0" applyNumberFormat="1" applyFont="1" applyFill="1" applyBorder="1"/>
    <xf numFmtId="3" fontId="3" fillId="3" borderId="1" xfId="0" applyNumberFormat="1" applyFont="1" applyFill="1" applyBorder="1"/>
    <xf numFmtId="3" fontId="3" fillId="4" borderId="1" xfId="0" applyNumberFormat="1" applyFont="1" applyFill="1" applyBorder="1"/>
    <xf numFmtId="3" fontId="11" fillId="5" borderId="1" xfId="0" applyNumberFormat="1" applyFont="1" applyFill="1" applyBorder="1"/>
    <xf numFmtId="9" fontId="2" fillId="0" borderId="37" xfId="0" applyNumberFormat="1" applyFont="1" applyFill="1" applyBorder="1" applyAlignment="1">
      <alignment horizontal="center" vertical="center" wrapText="1"/>
    </xf>
    <xf numFmtId="6" fontId="2" fillId="0" borderId="28" xfId="0" applyNumberFormat="1" applyFont="1" applyBorder="1" applyAlignment="1">
      <alignment horizontal="center" vertical="center" wrapText="1"/>
    </xf>
    <xf numFmtId="6" fontId="2" fillId="0" borderId="40" xfId="0" applyNumberFormat="1" applyFont="1" applyBorder="1" applyAlignment="1">
      <alignment horizontal="center" vertical="center" wrapText="1"/>
    </xf>
    <xf numFmtId="10" fontId="2" fillId="0" borderId="28" xfId="0" applyNumberFormat="1" applyFont="1" applyBorder="1" applyAlignment="1">
      <alignment horizontal="center" vertical="center" wrapText="1"/>
    </xf>
    <xf numFmtId="9" fontId="2" fillId="0" borderId="29" xfId="0" applyNumberFormat="1" applyFont="1" applyBorder="1" applyAlignment="1">
      <alignment horizontal="center" vertical="center" wrapText="1"/>
    </xf>
    <xf numFmtId="9" fontId="2" fillId="0" borderId="30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3" borderId="31" xfId="0" applyFont="1" applyFill="1" applyBorder="1"/>
    <xf numFmtId="0" fontId="1" fillId="4" borderId="29" xfId="0" applyFont="1" applyFill="1" applyBorder="1"/>
    <xf numFmtId="0" fontId="13" fillId="5" borderId="29" xfId="0" applyFont="1" applyFill="1" applyBorder="1"/>
    <xf numFmtId="0" fontId="13" fillId="6" borderId="30" xfId="0" applyFont="1" applyFill="1" applyBorder="1"/>
    <xf numFmtId="3" fontId="1" fillId="0" borderId="34" xfId="0" applyNumberFormat="1" applyFont="1" applyBorder="1"/>
    <xf numFmtId="9" fontId="2" fillId="3" borderId="35" xfId="0" applyNumberFormat="1" applyFont="1" applyFill="1" applyBorder="1"/>
    <xf numFmtId="9" fontId="2" fillId="4" borderId="36" xfId="0" applyNumberFormat="1" applyFont="1" applyFill="1" applyBorder="1"/>
    <xf numFmtId="9" fontId="12" fillId="5" borderId="36" xfId="0" applyNumberFormat="1" applyFont="1" applyFill="1" applyBorder="1"/>
    <xf numFmtId="0" fontId="1" fillId="0" borderId="5" xfId="0" applyFont="1" applyBorder="1" applyAlignment="1">
      <alignment horizontal="center" wrapText="1"/>
    </xf>
    <xf numFmtId="3" fontId="2" fillId="3" borderId="31" xfId="0" applyNumberFormat="1" applyFont="1" applyFill="1" applyBorder="1"/>
    <xf numFmtId="3" fontId="2" fillId="4" borderId="29" xfId="0" applyNumberFormat="1" applyFont="1" applyFill="1" applyBorder="1"/>
    <xf numFmtId="3" fontId="12" fillId="5" borderId="29" xfId="0" applyNumberFormat="1" applyFont="1" applyFill="1" applyBorder="1"/>
    <xf numFmtId="3" fontId="12" fillId="6" borderId="30" xfId="0" applyNumberFormat="1" applyFont="1" applyFill="1" applyBorder="1"/>
    <xf numFmtId="0" fontId="1" fillId="0" borderId="34" xfId="0" applyFont="1" applyBorder="1" applyAlignment="1">
      <alignment horizontal="center" wrapText="1"/>
    </xf>
    <xf numFmtId="3" fontId="2" fillId="3" borderId="35" xfId="0" applyNumberFormat="1" applyFont="1" applyFill="1" applyBorder="1"/>
    <xf numFmtId="3" fontId="2" fillId="4" borderId="36" xfId="0" applyNumberFormat="1" applyFont="1" applyFill="1" applyBorder="1"/>
    <xf numFmtId="3" fontId="12" fillId="5" borderId="36" xfId="0" applyNumberFormat="1" applyFont="1" applyFill="1" applyBorder="1"/>
    <xf numFmtId="0" fontId="1" fillId="0" borderId="9" xfId="0" applyFont="1" applyBorder="1" applyAlignment="1">
      <alignment horizontal="center"/>
    </xf>
    <xf numFmtId="3" fontId="2" fillId="0" borderId="31" xfId="0" applyNumberFormat="1" applyFont="1" applyBorder="1"/>
    <xf numFmtId="3" fontId="2" fillId="0" borderId="29" xfId="0" applyNumberFormat="1" applyFont="1" applyBorder="1"/>
    <xf numFmtId="3" fontId="2" fillId="0" borderId="30" xfId="0" applyNumberFormat="1" applyFont="1" applyBorder="1"/>
    <xf numFmtId="3" fontId="2" fillId="0" borderId="42" xfId="0" applyNumberFormat="1" applyFont="1" applyBorder="1"/>
    <xf numFmtId="3" fontId="2" fillId="0" borderId="43" xfId="0" applyNumberFormat="1" applyFont="1" applyBorder="1"/>
    <xf numFmtId="9" fontId="12" fillId="6" borderId="37" xfId="0" applyNumberFormat="1" applyFont="1" applyFill="1" applyBorder="1"/>
    <xf numFmtId="3" fontId="12" fillId="6" borderId="37" xfId="0" applyNumberFormat="1" applyFont="1" applyFill="1" applyBorder="1"/>
    <xf numFmtId="3" fontId="2" fillId="0" borderId="44" xfId="0" applyNumberFormat="1" applyFont="1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9" fontId="2" fillId="0" borderId="0" xfId="5" applyFont="1"/>
    <xf numFmtId="3" fontId="1" fillId="2" borderId="6" xfId="0" applyNumberFormat="1" applyFont="1" applyFill="1" applyBorder="1"/>
    <xf numFmtId="3" fontId="1" fillId="2" borderId="8" xfId="0" applyNumberFormat="1" applyFont="1" applyFill="1" applyBorder="1"/>
    <xf numFmtId="0" fontId="1" fillId="2" borderId="5" xfId="0" applyFont="1" applyFill="1" applyBorder="1" applyAlignment="1">
      <alignment vertical="center"/>
    </xf>
    <xf numFmtId="0" fontId="2" fillId="0" borderId="12" xfId="0" applyFont="1" applyFill="1" applyBorder="1"/>
    <xf numFmtId="3" fontId="2" fillId="0" borderId="13" xfId="0" applyNumberFormat="1" applyFont="1" applyFill="1" applyBorder="1"/>
    <xf numFmtId="3" fontId="2" fillId="0" borderId="14" xfId="0" applyNumberFormat="1" applyFont="1" applyFill="1" applyBorder="1"/>
    <xf numFmtId="0" fontId="2" fillId="0" borderId="18" xfId="0" applyFont="1" applyFill="1" applyBorder="1"/>
    <xf numFmtId="3" fontId="2" fillId="0" borderId="19" xfId="0" applyNumberFormat="1" applyFont="1" applyFill="1" applyBorder="1"/>
    <xf numFmtId="0" fontId="2" fillId="0" borderId="15" xfId="0" applyFont="1" applyFill="1" applyBorder="1"/>
    <xf numFmtId="3" fontId="2" fillId="0" borderId="16" xfId="0" applyNumberFormat="1" applyFont="1" applyFill="1" applyBorder="1"/>
    <xf numFmtId="3" fontId="2" fillId="0" borderId="17" xfId="0" applyNumberFormat="1" applyFont="1" applyFill="1" applyBorder="1"/>
    <xf numFmtId="0" fontId="2" fillId="0" borderId="12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3" fontId="1" fillId="2" borderId="38" xfId="0" applyNumberFormat="1" applyFont="1" applyFill="1" applyBorder="1" applyAlignment="1">
      <alignment horizontal="center" wrapText="1"/>
    </xf>
    <xf numFmtId="3" fontId="1" fillId="2" borderId="39" xfId="0" applyNumberFormat="1" applyFont="1" applyFill="1" applyBorder="1" applyAlignment="1">
      <alignment horizontal="center"/>
    </xf>
    <xf numFmtId="3" fontId="1" fillId="2" borderId="38" xfId="0" applyNumberFormat="1" applyFont="1" applyFill="1" applyBorder="1" applyAlignment="1">
      <alignment horizontal="center" vertical="center" wrapText="1"/>
    </xf>
    <xf numFmtId="3" fontId="1" fillId="2" borderId="40" xfId="0" applyNumberFormat="1" applyFont="1" applyFill="1" applyBorder="1" applyAlignment="1">
      <alignment horizontal="center" vertical="center"/>
    </xf>
    <xf numFmtId="3" fontId="1" fillId="2" borderId="39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left"/>
    </xf>
    <xf numFmtId="0" fontId="1" fillId="2" borderId="26" xfId="0" applyFont="1" applyFill="1" applyBorder="1" applyAlignment="1">
      <alignment horizontal="left"/>
    </xf>
    <xf numFmtId="0" fontId="1" fillId="2" borderId="27" xfId="0" applyFont="1" applyFill="1" applyBorder="1" applyAlignment="1">
      <alignment horizontal="left"/>
    </xf>
    <xf numFmtId="0" fontId="2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/>
    </xf>
  </cellXfs>
  <cellStyles count="6">
    <cellStyle name="Moneda" xfId="4" builtinId="4"/>
    <cellStyle name="Normal" xfId="0" builtinId="0"/>
    <cellStyle name="Normal 2" xfId="3"/>
    <cellStyle name="Porcentaje" xfId="5" builtinId="5"/>
    <cellStyle name="Título 2 2" xfId="1"/>
    <cellStyle name="Título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4" workbookViewId="0">
      <selection activeCell="E15" sqref="E15"/>
    </sheetView>
  </sheetViews>
  <sheetFormatPr baseColWidth="10" defaultRowHeight="16.5" x14ac:dyDescent="0.3"/>
  <cols>
    <col min="1" max="1" width="4.5703125" style="2" bestFit="1" customWidth="1"/>
    <col min="2" max="2" width="37" style="2" customWidth="1"/>
    <col min="3" max="3" width="12.5703125" style="2" customWidth="1"/>
    <col min="4" max="4" width="19.7109375" style="6" customWidth="1"/>
    <col min="5" max="6" width="14" style="6" customWidth="1"/>
    <col min="7" max="7" width="18" style="2" hidden="1" customWidth="1"/>
    <col min="8" max="8" width="11.42578125" style="2" hidden="1" customWidth="1"/>
    <col min="9" max="9" width="164.28515625" style="2" hidden="1" customWidth="1"/>
    <col min="10" max="10" width="14.42578125" style="2" bestFit="1" customWidth="1"/>
    <col min="11" max="16384" width="11.42578125" style="2"/>
  </cols>
  <sheetData>
    <row r="1" spans="1:9" ht="17.25" thickBot="1" x14ac:dyDescent="0.35">
      <c r="A1" s="40" t="s">
        <v>35</v>
      </c>
      <c r="B1" s="41" t="s">
        <v>2</v>
      </c>
      <c r="C1" s="42" t="s">
        <v>3</v>
      </c>
      <c r="D1" s="43" t="s">
        <v>4</v>
      </c>
      <c r="E1" s="43" t="s">
        <v>5</v>
      </c>
      <c r="F1" s="44" t="s">
        <v>6</v>
      </c>
      <c r="G1" s="155" t="s">
        <v>86</v>
      </c>
      <c r="H1" s="157" t="s">
        <v>87</v>
      </c>
      <c r="I1" s="157" t="s">
        <v>88</v>
      </c>
    </row>
    <row r="2" spans="1:9" ht="17.25" thickBot="1" x14ac:dyDescent="0.35">
      <c r="A2" s="39">
        <v>1</v>
      </c>
      <c r="B2" s="160" t="s">
        <v>7</v>
      </c>
      <c r="C2" s="161"/>
      <c r="D2" s="161"/>
      <c r="E2" s="161"/>
      <c r="F2" s="162"/>
      <c r="G2" s="156"/>
      <c r="H2" s="158"/>
      <c r="I2" s="159"/>
    </row>
    <row r="3" spans="1:9" ht="15" customHeight="1" thickBot="1" x14ac:dyDescent="0.35">
      <c r="A3" s="30" t="s">
        <v>21</v>
      </c>
      <c r="B3" s="32" t="s">
        <v>13</v>
      </c>
      <c r="C3" s="33">
        <v>2</v>
      </c>
      <c r="D3" s="34">
        <v>5300000</v>
      </c>
      <c r="E3" s="45">
        <v>6</v>
      </c>
      <c r="F3" s="35">
        <f>(C3*D3)*E3</f>
        <v>63600000</v>
      </c>
      <c r="G3" s="76" t="s">
        <v>89</v>
      </c>
      <c r="H3" s="76">
        <v>3</v>
      </c>
      <c r="I3" s="77" t="s">
        <v>90</v>
      </c>
    </row>
    <row r="4" spans="1:9" ht="17.25" thickBot="1" x14ac:dyDescent="0.35">
      <c r="A4" s="30" t="s">
        <v>22</v>
      </c>
      <c r="B4" s="19" t="s">
        <v>14</v>
      </c>
      <c r="C4" s="3">
        <v>1</v>
      </c>
      <c r="D4" s="82">
        <v>4000000</v>
      </c>
      <c r="E4" s="46">
        <v>6</v>
      </c>
      <c r="F4" s="20">
        <f t="shared" ref="F4:F17" si="0">(C4*D4)*E4</f>
        <v>24000000</v>
      </c>
      <c r="G4" s="78" t="s">
        <v>97</v>
      </c>
      <c r="H4" s="78">
        <v>7</v>
      </c>
      <c r="I4" s="79" t="s">
        <v>91</v>
      </c>
    </row>
    <row r="5" spans="1:9" ht="15" customHeight="1" thickBot="1" x14ac:dyDescent="0.35">
      <c r="A5" s="30" t="s">
        <v>23</v>
      </c>
      <c r="B5" s="36" t="s">
        <v>1</v>
      </c>
      <c r="C5" s="5">
        <v>1</v>
      </c>
      <c r="D5" s="4">
        <v>5300000</v>
      </c>
      <c r="E5" s="46">
        <v>6</v>
      </c>
      <c r="F5" s="20">
        <f t="shared" si="0"/>
        <v>31800000</v>
      </c>
      <c r="G5" s="80" t="s">
        <v>89</v>
      </c>
      <c r="H5" s="80">
        <v>3</v>
      </c>
      <c r="I5" s="79" t="s">
        <v>92</v>
      </c>
    </row>
    <row r="6" spans="1:9" ht="18" customHeight="1" thickBot="1" x14ac:dyDescent="0.35">
      <c r="A6" s="30" t="s">
        <v>24</v>
      </c>
      <c r="B6" s="37" t="s">
        <v>0</v>
      </c>
      <c r="C6" s="5">
        <v>2</v>
      </c>
      <c r="D6" s="4">
        <v>5300000</v>
      </c>
      <c r="E6" s="46">
        <v>6</v>
      </c>
      <c r="F6" s="20">
        <f t="shared" si="0"/>
        <v>63600000</v>
      </c>
      <c r="G6" s="80" t="s">
        <v>89</v>
      </c>
      <c r="H6" s="80">
        <v>3</v>
      </c>
      <c r="I6" s="79" t="s">
        <v>93</v>
      </c>
    </row>
    <row r="7" spans="1:9" ht="15" customHeight="1" thickBot="1" x14ac:dyDescent="0.35">
      <c r="A7" s="30" t="s">
        <v>25</v>
      </c>
      <c r="B7" s="37" t="s">
        <v>8</v>
      </c>
      <c r="C7" s="3">
        <v>2</v>
      </c>
      <c r="D7" s="4">
        <v>5300000</v>
      </c>
      <c r="E7" s="46">
        <v>6</v>
      </c>
      <c r="F7" s="20">
        <f t="shared" si="0"/>
        <v>63600000</v>
      </c>
      <c r="G7" s="80" t="s">
        <v>89</v>
      </c>
      <c r="H7" s="80">
        <v>3</v>
      </c>
      <c r="I7" s="79" t="s">
        <v>94</v>
      </c>
    </row>
    <row r="8" spans="1:9" ht="19.5" customHeight="1" thickBot="1" x14ac:dyDescent="0.35">
      <c r="A8" s="30" t="s">
        <v>26</v>
      </c>
      <c r="B8" s="37" t="s">
        <v>15</v>
      </c>
      <c r="C8" s="3">
        <v>2</v>
      </c>
      <c r="D8" s="4">
        <v>5300000</v>
      </c>
      <c r="E8" s="46">
        <v>6</v>
      </c>
      <c r="F8" s="20">
        <f t="shared" si="0"/>
        <v>63600000</v>
      </c>
      <c r="G8" s="80" t="s">
        <v>89</v>
      </c>
      <c r="H8" s="80">
        <v>3</v>
      </c>
      <c r="I8" s="79" t="s">
        <v>94</v>
      </c>
    </row>
    <row r="9" spans="1:9" ht="15" customHeight="1" thickBot="1" x14ac:dyDescent="0.35">
      <c r="A9" s="30" t="s">
        <v>27</v>
      </c>
      <c r="B9" s="37" t="s">
        <v>113</v>
      </c>
      <c r="C9" s="3">
        <v>8</v>
      </c>
      <c r="D9" s="4">
        <v>5300000</v>
      </c>
      <c r="E9" s="46">
        <v>6</v>
      </c>
      <c r="F9" s="20">
        <f t="shared" si="0"/>
        <v>254400000</v>
      </c>
      <c r="G9" s="80" t="s">
        <v>89</v>
      </c>
      <c r="H9" s="80">
        <v>3</v>
      </c>
      <c r="I9" s="79" t="s">
        <v>95</v>
      </c>
    </row>
    <row r="10" spans="1:9" ht="15" customHeight="1" thickBot="1" x14ac:dyDescent="0.35">
      <c r="A10" s="30" t="s">
        <v>28</v>
      </c>
      <c r="B10" s="37" t="s">
        <v>114</v>
      </c>
      <c r="C10" s="3">
        <v>1</v>
      </c>
      <c r="D10" s="4">
        <v>5300000</v>
      </c>
      <c r="E10" s="46">
        <v>6</v>
      </c>
      <c r="F10" s="20">
        <f t="shared" si="0"/>
        <v>31800000</v>
      </c>
      <c r="G10" s="80"/>
      <c r="H10" s="80"/>
      <c r="I10" s="79"/>
    </row>
    <row r="11" spans="1:9" ht="17.25" thickBot="1" x14ac:dyDescent="0.35">
      <c r="A11" s="30" t="s">
        <v>29</v>
      </c>
      <c r="B11" s="37" t="s">
        <v>9</v>
      </c>
      <c r="C11" s="3">
        <v>2</v>
      </c>
      <c r="D11" s="4">
        <v>4100000</v>
      </c>
      <c r="E11" s="46">
        <v>6</v>
      </c>
      <c r="F11" s="20">
        <f t="shared" si="0"/>
        <v>49200000</v>
      </c>
      <c r="G11" s="80" t="s">
        <v>89</v>
      </c>
      <c r="H11" s="78">
        <v>1</v>
      </c>
      <c r="I11" s="79" t="s">
        <v>96</v>
      </c>
    </row>
    <row r="12" spans="1:9" ht="17.25" thickBot="1" x14ac:dyDescent="0.35">
      <c r="A12" s="30" t="s">
        <v>30</v>
      </c>
      <c r="B12" s="37" t="s">
        <v>10</v>
      </c>
      <c r="C12" s="3">
        <v>1</v>
      </c>
      <c r="D12" s="82">
        <v>4100000</v>
      </c>
      <c r="E12" s="46">
        <v>6</v>
      </c>
      <c r="F12" s="20">
        <f t="shared" si="0"/>
        <v>24600000</v>
      </c>
      <c r="G12" s="80" t="s">
        <v>89</v>
      </c>
      <c r="H12" s="78">
        <v>1</v>
      </c>
      <c r="I12" s="79" t="s">
        <v>98</v>
      </c>
    </row>
    <row r="13" spans="1:9" ht="15" customHeight="1" thickBot="1" x14ac:dyDescent="0.35">
      <c r="A13" s="30" t="s">
        <v>31</v>
      </c>
      <c r="B13" s="37" t="s">
        <v>16</v>
      </c>
      <c r="C13" s="3">
        <v>8</v>
      </c>
      <c r="D13" s="82">
        <v>2500000</v>
      </c>
      <c r="E13" s="46">
        <v>6</v>
      </c>
      <c r="F13" s="20">
        <f t="shared" si="0"/>
        <v>120000000</v>
      </c>
      <c r="G13" s="78" t="s">
        <v>97</v>
      </c>
      <c r="H13" s="78">
        <v>1</v>
      </c>
      <c r="I13" s="79" t="s">
        <v>99</v>
      </c>
    </row>
    <row r="14" spans="1:9" ht="14.25" customHeight="1" thickBot="1" x14ac:dyDescent="0.35">
      <c r="A14" s="30" t="s">
        <v>32</v>
      </c>
      <c r="B14" s="37" t="s">
        <v>17</v>
      </c>
      <c r="C14" s="3">
        <v>1</v>
      </c>
      <c r="D14" s="4">
        <v>2800000</v>
      </c>
      <c r="E14" s="46">
        <v>6</v>
      </c>
      <c r="F14" s="20">
        <f t="shared" si="0"/>
        <v>16800000</v>
      </c>
      <c r="G14" s="78" t="s">
        <v>97</v>
      </c>
      <c r="H14" s="78">
        <v>2</v>
      </c>
      <c r="I14" s="79" t="s">
        <v>100</v>
      </c>
    </row>
    <row r="15" spans="1:9" ht="15" customHeight="1" thickBot="1" x14ac:dyDescent="0.35">
      <c r="A15" s="30" t="s">
        <v>33</v>
      </c>
      <c r="B15" s="37" t="s">
        <v>85</v>
      </c>
      <c r="C15" s="3">
        <v>1</v>
      </c>
      <c r="D15" s="82">
        <v>8500000</v>
      </c>
      <c r="E15" s="46">
        <v>6</v>
      </c>
      <c r="F15" s="20">
        <f t="shared" si="0"/>
        <v>51000000</v>
      </c>
      <c r="G15" s="78" t="s">
        <v>102</v>
      </c>
      <c r="H15" s="78">
        <v>2</v>
      </c>
      <c r="I15" s="79" t="s">
        <v>103</v>
      </c>
    </row>
    <row r="16" spans="1:9" ht="17.25" thickBot="1" x14ac:dyDescent="0.35">
      <c r="A16" s="30" t="s">
        <v>34</v>
      </c>
      <c r="B16" s="37" t="s">
        <v>11</v>
      </c>
      <c r="C16" s="3">
        <v>1</v>
      </c>
      <c r="D16" s="4">
        <v>4200000</v>
      </c>
      <c r="E16" s="46">
        <v>6</v>
      </c>
      <c r="F16" s="20">
        <f t="shared" si="0"/>
        <v>25200000</v>
      </c>
      <c r="G16" s="78" t="s">
        <v>97</v>
      </c>
      <c r="H16" s="78">
        <v>7</v>
      </c>
      <c r="I16" s="79" t="s">
        <v>101</v>
      </c>
    </row>
    <row r="17" spans="1:12" ht="16.5" customHeight="1" thickBot="1" x14ac:dyDescent="0.35">
      <c r="A17" s="31" t="s">
        <v>110</v>
      </c>
      <c r="B17" s="38" t="s">
        <v>12</v>
      </c>
      <c r="C17" s="13">
        <v>1</v>
      </c>
      <c r="D17" s="14">
        <v>6000000</v>
      </c>
      <c r="E17" s="131">
        <v>6</v>
      </c>
      <c r="F17" s="16">
        <f t="shared" si="0"/>
        <v>36000000</v>
      </c>
      <c r="G17" s="81" t="s">
        <v>89</v>
      </c>
      <c r="H17" s="81">
        <v>5</v>
      </c>
      <c r="I17" s="79" t="s">
        <v>104</v>
      </c>
    </row>
    <row r="18" spans="1:12" ht="17.25" thickBot="1" x14ac:dyDescent="0.35">
      <c r="A18" s="145" t="s">
        <v>20</v>
      </c>
      <c r="B18" s="148"/>
      <c r="C18" s="148"/>
      <c r="D18" s="148"/>
      <c r="E18" s="149"/>
      <c r="F18" s="21">
        <f>SUM(F3:F17)</f>
        <v>919200000</v>
      </c>
    </row>
    <row r="19" spans="1:12" ht="17.25" thickBot="1" x14ac:dyDescent="0.35">
      <c r="A19" s="23">
        <v>2</v>
      </c>
      <c r="B19" s="150" t="s">
        <v>36</v>
      </c>
      <c r="C19" s="151"/>
      <c r="D19" s="151"/>
      <c r="E19" s="151"/>
      <c r="F19" s="152"/>
    </row>
    <row r="20" spans="1:12" x14ac:dyDescent="0.3">
      <c r="A20" s="17" t="s">
        <v>37</v>
      </c>
      <c r="B20" s="29" t="s">
        <v>19</v>
      </c>
      <c r="C20" s="25">
        <v>1</v>
      </c>
      <c r="D20" s="26">
        <v>30000000</v>
      </c>
      <c r="E20" s="27">
        <v>6</v>
      </c>
      <c r="F20" s="28">
        <f>(C20*D20)*E20</f>
        <v>180000000</v>
      </c>
    </row>
    <row r="21" spans="1:12" ht="17.25" thickBot="1" x14ac:dyDescent="0.35">
      <c r="A21" s="17" t="s">
        <v>38</v>
      </c>
      <c r="B21" s="12" t="s">
        <v>18</v>
      </c>
      <c r="C21" s="13">
        <v>60</v>
      </c>
      <c r="D21" s="14">
        <v>2500000</v>
      </c>
      <c r="E21" s="15">
        <v>1</v>
      </c>
      <c r="F21" s="16">
        <f>(C21*D21)*E21</f>
        <v>150000000</v>
      </c>
    </row>
    <row r="22" spans="1:12" ht="17.25" thickBot="1" x14ac:dyDescent="0.35">
      <c r="A22" s="153" t="s">
        <v>39</v>
      </c>
      <c r="B22" s="154"/>
      <c r="C22" s="154"/>
      <c r="D22" s="154"/>
      <c r="E22" s="154"/>
      <c r="F22" s="18">
        <f>+F20+F21</f>
        <v>330000000</v>
      </c>
    </row>
    <row r="23" spans="1:12" ht="17.25" thickBot="1" x14ac:dyDescent="0.35">
      <c r="A23" s="10">
        <v>3</v>
      </c>
      <c r="B23" s="150" t="s">
        <v>40</v>
      </c>
      <c r="C23" s="151"/>
      <c r="D23" s="151"/>
      <c r="E23" s="151"/>
      <c r="F23" s="152"/>
    </row>
    <row r="24" spans="1:12" x14ac:dyDescent="0.3">
      <c r="A24" s="17" t="s">
        <v>41</v>
      </c>
      <c r="B24" s="24" t="s">
        <v>106</v>
      </c>
      <c r="C24" s="25">
        <v>1</v>
      </c>
      <c r="D24" s="26">
        <v>33060000</v>
      </c>
      <c r="E24" s="87">
        <v>6</v>
      </c>
      <c r="F24" s="28">
        <f>(C24*D24)*E24</f>
        <v>198360000</v>
      </c>
      <c r="G24" s="6"/>
    </row>
    <row r="25" spans="1:12" x14ac:dyDescent="0.3">
      <c r="A25" s="11" t="s">
        <v>41</v>
      </c>
      <c r="B25" s="83" t="s">
        <v>105</v>
      </c>
      <c r="C25" s="84">
        <v>1</v>
      </c>
      <c r="D25" s="85">
        <v>33333333.329999998</v>
      </c>
      <c r="E25" s="88">
        <v>6</v>
      </c>
      <c r="F25" s="86">
        <f>+D25*C25*E25</f>
        <v>199999999.97999999</v>
      </c>
      <c r="G25" s="6"/>
      <c r="J25" s="86"/>
      <c r="K25" s="6"/>
      <c r="L25" s="6"/>
    </row>
    <row r="26" spans="1:12" ht="17.25" thickBot="1" x14ac:dyDescent="0.35">
      <c r="A26" s="11" t="s">
        <v>42</v>
      </c>
      <c r="B26" s="22" t="s">
        <v>43</v>
      </c>
      <c r="C26" s="8">
        <v>1</v>
      </c>
      <c r="D26" s="9">
        <v>58740000</v>
      </c>
      <c r="E26" s="89">
        <v>6</v>
      </c>
      <c r="F26" s="16">
        <f>(C26*D26)*E26</f>
        <v>352440000</v>
      </c>
      <c r="J26" s="6"/>
      <c r="L26" s="6"/>
    </row>
    <row r="27" spans="1:12" ht="17.25" thickBot="1" x14ac:dyDescent="0.35">
      <c r="A27" s="145" t="s">
        <v>44</v>
      </c>
      <c r="B27" s="146"/>
      <c r="C27" s="146"/>
      <c r="D27" s="146"/>
      <c r="E27" s="147"/>
      <c r="F27" s="21">
        <f>SUM(F24:F26)</f>
        <v>750799999.98000002</v>
      </c>
    </row>
    <row r="28" spans="1:12" ht="17.25" thickBot="1" x14ac:dyDescent="0.35">
      <c r="A28" s="145" t="s">
        <v>45</v>
      </c>
      <c r="B28" s="146"/>
      <c r="C28" s="146"/>
      <c r="D28" s="146"/>
      <c r="E28" s="147"/>
      <c r="F28" s="7">
        <f>(F18+F22+F27)</f>
        <v>1999999999.98</v>
      </c>
      <c r="H28" s="6"/>
    </row>
    <row r="30" spans="1:12" x14ac:dyDescent="0.3">
      <c r="H30" s="6"/>
    </row>
    <row r="32" spans="1:12" x14ac:dyDescent="0.3">
      <c r="E32" s="132"/>
      <c r="J32" s="6"/>
      <c r="K32" s="6"/>
      <c r="L32" s="6"/>
    </row>
    <row r="33" spans="5:12" x14ac:dyDescent="0.3">
      <c r="E33" s="132"/>
      <c r="J33" s="6"/>
      <c r="K33" s="6"/>
      <c r="L33" s="6"/>
    </row>
    <row r="34" spans="5:12" x14ac:dyDescent="0.3">
      <c r="E34" s="132"/>
      <c r="J34" s="6"/>
      <c r="K34" s="6"/>
      <c r="L34" s="6"/>
    </row>
  </sheetData>
  <mergeCells count="10">
    <mergeCell ref="G1:G2"/>
    <mergeCell ref="H1:H2"/>
    <mergeCell ref="I1:I2"/>
    <mergeCell ref="B2:F2"/>
    <mergeCell ref="A27:E27"/>
    <mergeCell ref="A28:E28"/>
    <mergeCell ref="A18:E18"/>
    <mergeCell ref="B19:F19"/>
    <mergeCell ref="A22:E22"/>
    <mergeCell ref="B23:F23"/>
  </mergeCells>
  <pageMargins left="0.7" right="0.7" top="0.75" bottom="0.75" header="0.3" footer="0.3"/>
  <pageSetup orientation="portrait" r:id="rId1"/>
  <ignoredErrors>
    <ignoredError sqref="F2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37"/>
  <sheetViews>
    <sheetView topLeftCell="A16" workbookViewId="0">
      <selection activeCell="F41" sqref="F41"/>
    </sheetView>
  </sheetViews>
  <sheetFormatPr baseColWidth="10" defaultRowHeight="15" x14ac:dyDescent="0.25"/>
  <cols>
    <col min="1" max="1" width="2.140625" customWidth="1"/>
    <col min="2" max="2" width="45" customWidth="1"/>
    <col min="3" max="4" width="15.5703125" bestFit="1" customWidth="1"/>
    <col min="5" max="5" width="17.42578125" customWidth="1"/>
    <col min="6" max="6" width="15.5703125" bestFit="1" customWidth="1"/>
    <col min="7" max="7" width="16.28515625" customWidth="1"/>
    <col min="8" max="8" width="15.5703125" bestFit="1" customWidth="1"/>
    <col min="9" max="9" width="12.7109375" bestFit="1" customWidth="1"/>
    <col min="10" max="10" width="18.28515625" bestFit="1" customWidth="1"/>
  </cols>
  <sheetData>
    <row r="1" spans="2:8" ht="17.25" thickBot="1" x14ac:dyDescent="0.35">
      <c r="B1" s="40" t="s">
        <v>2</v>
      </c>
      <c r="C1" s="128" t="s">
        <v>46</v>
      </c>
      <c r="D1" s="129" t="s">
        <v>47</v>
      </c>
      <c r="E1" s="129" t="s">
        <v>48</v>
      </c>
      <c r="F1" s="129" t="s">
        <v>49</v>
      </c>
      <c r="G1" s="129" t="s">
        <v>50</v>
      </c>
      <c r="H1" s="130" t="s">
        <v>51</v>
      </c>
    </row>
    <row r="2" spans="2:8" ht="16.5" x14ac:dyDescent="0.3">
      <c r="B2" s="136" t="str">
        <f>('Presupuesto Convenio'!B3)</f>
        <v>Ingeniero Topográfico</v>
      </c>
      <c r="C2" s="137">
        <f>('Presupuesto Convenio'!D3*'Presupuesto Convenio'!C3)</f>
        <v>10600000</v>
      </c>
      <c r="D2" s="137">
        <f>('Presupuesto Convenio'!$D$3*'Presupuesto Convenio'!$C$3)</f>
        <v>10600000</v>
      </c>
      <c r="E2" s="137">
        <f>('Presupuesto Convenio'!D3*'Presupuesto Convenio'!C3)</f>
        <v>10600000</v>
      </c>
      <c r="F2" s="137">
        <f>('Presupuesto Convenio'!D3*'Presupuesto Convenio'!C3)</f>
        <v>10600000</v>
      </c>
      <c r="G2" s="137">
        <f>('Presupuesto Convenio'!D3*'Presupuesto Convenio'!C3)</f>
        <v>10600000</v>
      </c>
      <c r="H2" s="138">
        <f>('Presupuesto Convenio'!D3*'Presupuesto Convenio'!C3)</f>
        <v>10600000</v>
      </c>
    </row>
    <row r="3" spans="2:8" ht="16.5" x14ac:dyDescent="0.3">
      <c r="B3" s="139" t="str">
        <f>('Presupuesto Convenio'!B4)</f>
        <v>Técnico Topográfico</v>
      </c>
      <c r="C3" s="82">
        <f>('Presupuesto Convenio'!D4*'Presupuesto Convenio'!C4)</f>
        <v>4000000</v>
      </c>
      <c r="D3" s="82">
        <f>('Presupuesto Convenio'!D4*'Presupuesto Convenio'!C4)</f>
        <v>4000000</v>
      </c>
      <c r="E3" s="82">
        <f>('Presupuesto Convenio'!D4*'Presupuesto Convenio'!C4)</f>
        <v>4000000</v>
      </c>
      <c r="F3" s="82">
        <f>('Presupuesto Convenio'!D4*'Presupuesto Convenio'!C4)</f>
        <v>4000000</v>
      </c>
      <c r="G3" s="82">
        <f>('Presupuesto Convenio'!D4*'Presupuesto Convenio'!C4)</f>
        <v>4000000</v>
      </c>
      <c r="H3" s="140">
        <f>('Presupuesto Convenio'!D4*'Presupuesto Convenio'!C4)</f>
        <v>4000000</v>
      </c>
    </row>
    <row r="4" spans="2:8" ht="16.5" x14ac:dyDescent="0.3">
      <c r="B4" s="139" t="str">
        <f>('Presupuesto Convenio'!B5)</f>
        <v>Ingeniero catastral y geodesta</v>
      </c>
      <c r="C4" s="82">
        <f>('Presupuesto Convenio'!D5*'Presupuesto Convenio'!C5)</f>
        <v>5300000</v>
      </c>
      <c r="D4" s="82">
        <f>('Presupuesto Convenio'!D5*'Presupuesto Convenio'!C5)</f>
        <v>5300000</v>
      </c>
      <c r="E4" s="82">
        <f>('Presupuesto Convenio'!D5*'Presupuesto Convenio'!C5)</f>
        <v>5300000</v>
      </c>
      <c r="F4" s="82">
        <f>('Presupuesto Convenio'!D5*'Presupuesto Convenio'!C5)</f>
        <v>5300000</v>
      </c>
      <c r="G4" s="82">
        <f>('Presupuesto Convenio'!D5*'Presupuesto Convenio'!C5)</f>
        <v>5300000</v>
      </c>
      <c r="H4" s="140">
        <f>('Presupuesto Convenio'!D5*'Presupuesto Convenio'!C5)</f>
        <v>5300000</v>
      </c>
    </row>
    <row r="5" spans="2:8" ht="16.5" x14ac:dyDescent="0.3">
      <c r="B5" s="139" t="str">
        <f>('Presupuesto Convenio'!B6)</f>
        <v>Especialista SIG</v>
      </c>
      <c r="C5" s="82">
        <f>('Presupuesto Convenio'!D6*'Presupuesto Convenio'!C6)</f>
        <v>10600000</v>
      </c>
      <c r="D5" s="82">
        <f>('Presupuesto Convenio'!D6*'Presupuesto Convenio'!C6)</f>
        <v>10600000</v>
      </c>
      <c r="E5" s="82">
        <f>('Presupuesto Convenio'!D6*'Presupuesto Convenio'!C6)</f>
        <v>10600000</v>
      </c>
      <c r="F5" s="82">
        <f>('Presupuesto Convenio'!D6*'Presupuesto Convenio'!C6)</f>
        <v>10600000</v>
      </c>
      <c r="G5" s="82">
        <f>('Presupuesto Convenio'!D6*'Presupuesto Convenio'!C6)</f>
        <v>10600000</v>
      </c>
      <c r="H5" s="140">
        <f>('Presupuesto Convenio'!D6*'Presupuesto Convenio'!C6)</f>
        <v>10600000</v>
      </c>
    </row>
    <row r="6" spans="2:8" ht="16.5" x14ac:dyDescent="0.3">
      <c r="B6" s="139" t="str">
        <f>('Presupuesto Convenio'!B7)</f>
        <v>Ingeniero de Sistemas - Desarrollador</v>
      </c>
      <c r="C6" s="82">
        <f>('Presupuesto Convenio'!D7*'Presupuesto Convenio'!C7)</f>
        <v>10600000</v>
      </c>
      <c r="D6" s="82">
        <f>('Presupuesto Convenio'!D7*'Presupuesto Convenio'!C7)</f>
        <v>10600000</v>
      </c>
      <c r="E6" s="82">
        <f>('Presupuesto Convenio'!D7*'Presupuesto Convenio'!C7)</f>
        <v>10600000</v>
      </c>
      <c r="F6" s="82">
        <f>('Presupuesto Convenio'!D7*'Presupuesto Convenio'!C7)</f>
        <v>10600000</v>
      </c>
      <c r="G6" s="82">
        <f>('Presupuesto Convenio'!D7*'Presupuesto Convenio'!C7)</f>
        <v>10600000</v>
      </c>
      <c r="H6" s="140">
        <f>('Presupuesto Convenio'!D7*'Presupuesto Convenio'!C7)</f>
        <v>10600000</v>
      </c>
    </row>
    <row r="7" spans="2:8" ht="16.5" x14ac:dyDescent="0.3">
      <c r="B7" s="139" t="str">
        <f>('Presupuesto Convenio'!B8)</f>
        <v>Ingeniero de Sistemas - Requerimientos</v>
      </c>
      <c r="C7" s="82">
        <f>('Presupuesto Convenio'!D8*'Presupuesto Convenio'!C8)</f>
        <v>10600000</v>
      </c>
      <c r="D7" s="82">
        <f>('Presupuesto Convenio'!D8*'Presupuesto Convenio'!C8)</f>
        <v>10600000</v>
      </c>
      <c r="E7" s="82">
        <f>('Presupuesto Convenio'!D8*'Presupuesto Convenio'!C8)</f>
        <v>10600000</v>
      </c>
      <c r="F7" s="82">
        <f>('Presupuesto Convenio'!D8*'Presupuesto Convenio'!C8)</f>
        <v>10600000</v>
      </c>
      <c r="G7" s="82">
        <f>('Presupuesto Convenio'!D8*'Presupuesto Convenio'!C8)</f>
        <v>10600000</v>
      </c>
      <c r="H7" s="140">
        <f>('Presupuesto Convenio'!D8*'Presupuesto Convenio'!C8)</f>
        <v>10600000</v>
      </c>
    </row>
    <row r="8" spans="2:8" ht="16.5" x14ac:dyDescent="0.3">
      <c r="B8" s="139" t="str">
        <f>('Presupuesto Convenio'!B9)</f>
        <v>Profesionales Ciencías Agropecuarias</v>
      </c>
      <c r="C8" s="82">
        <f>('Presupuesto Convenio'!D9*'Presupuesto Convenio'!C9)</f>
        <v>42400000</v>
      </c>
      <c r="D8" s="82">
        <f>('Presupuesto Convenio'!D9*'Presupuesto Convenio'!C9)</f>
        <v>42400000</v>
      </c>
      <c r="E8" s="82">
        <f>('Presupuesto Convenio'!D9*'Presupuesto Convenio'!C9)</f>
        <v>42400000</v>
      </c>
      <c r="F8" s="82">
        <f>('Presupuesto Convenio'!D9*'Presupuesto Convenio'!C9)</f>
        <v>42400000</v>
      </c>
      <c r="G8" s="82">
        <f>('Presupuesto Convenio'!D9*'Presupuesto Convenio'!C9)</f>
        <v>42400000</v>
      </c>
      <c r="H8" s="140">
        <f>('Presupuesto Convenio'!D9*'Presupuesto Convenio'!C9)</f>
        <v>42400000</v>
      </c>
    </row>
    <row r="9" spans="2:8" ht="16.5" x14ac:dyDescent="0.3">
      <c r="B9" s="139" t="str">
        <f>('Presupuesto Convenio'!B10)</f>
        <v>Profesional Administrativo - Financiero</v>
      </c>
      <c r="C9" s="82">
        <f>('Presupuesto Convenio'!D10*'Presupuesto Convenio'!C10)</f>
        <v>5300000</v>
      </c>
      <c r="D9" s="82">
        <f>('Presupuesto Convenio'!D10*'Presupuesto Convenio'!C10)</f>
        <v>5300000</v>
      </c>
      <c r="E9" s="82">
        <f>('Presupuesto Convenio'!D10*'Presupuesto Convenio'!C10)</f>
        <v>5300000</v>
      </c>
      <c r="F9" s="82">
        <f>('Presupuesto Convenio'!D10*'Presupuesto Convenio'!C10)</f>
        <v>5300000</v>
      </c>
      <c r="G9" s="82">
        <f>('Presupuesto Convenio'!D10*'Presupuesto Convenio'!C10)</f>
        <v>5300000</v>
      </c>
      <c r="H9" s="140">
        <f>('Presupuesto Convenio'!D10*'Presupuesto Convenio'!C10)</f>
        <v>5300000</v>
      </c>
    </row>
    <row r="10" spans="2:8" ht="16.5" x14ac:dyDescent="0.3">
      <c r="B10" s="139" t="str">
        <f>('Presupuesto Convenio'!B11)</f>
        <v>Profesional Derecho</v>
      </c>
      <c r="C10" s="82">
        <f>('Presupuesto Convenio'!D11*'Presupuesto Convenio'!C11)</f>
        <v>8200000</v>
      </c>
      <c r="D10" s="82">
        <f>('Presupuesto Convenio'!D11*'Presupuesto Convenio'!C11)</f>
        <v>8200000</v>
      </c>
      <c r="E10" s="82">
        <f>('Presupuesto Convenio'!D11*'Presupuesto Convenio'!C11)</f>
        <v>8200000</v>
      </c>
      <c r="F10" s="82">
        <f>('Presupuesto Convenio'!D11*'Presupuesto Convenio'!C11)</f>
        <v>8200000</v>
      </c>
      <c r="G10" s="82">
        <f>('Presupuesto Convenio'!D11*'Presupuesto Convenio'!C11)</f>
        <v>8200000</v>
      </c>
      <c r="H10" s="140">
        <f>('Presupuesto Convenio'!D11*'Presupuesto Convenio'!C11)</f>
        <v>8200000</v>
      </c>
    </row>
    <row r="11" spans="2:8" ht="16.5" x14ac:dyDescent="0.3">
      <c r="B11" s="139" t="str">
        <f>('Presupuesto Convenio'!B12)</f>
        <v>Profesional Social</v>
      </c>
      <c r="C11" s="82">
        <f>('Presupuesto Convenio'!D12*'Presupuesto Convenio'!C12)</f>
        <v>4100000</v>
      </c>
      <c r="D11" s="82">
        <f>('Presupuesto Convenio'!D12*'Presupuesto Convenio'!C12)</f>
        <v>4100000</v>
      </c>
      <c r="E11" s="82">
        <f>('Presupuesto Convenio'!D12*'Presupuesto Convenio'!C12)</f>
        <v>4100000</v>
      </c>
      <c r="F11" s="82">
        <f>('Presupuesto Convenio'!D12*'Presupuesto Convenio'!C12)</f>
        <v>4100000</v>
      </c>
      <c r="G11" s="82">
        <f>('Presupuesto Convenio'!D12*'Presupuesto Convenio'!C12)</f>
        <v>4100000</v>
      </c>
      <c r="H11" s="140">
        <f>('Presupuesto Convenio'!D12*'Presupuesto Convenio'!C12)</f>
        <v>4100000</v>
      </c>
    </row>
    <row r="12" spans="2:8" ht="16.5" x14ac:dyDescent="0.3">
      <c r="B12" s="139" t="str">
        <f>('Presupuesto Convenio'!B13)</f>
        <v>Técnicos en Gestión Documental</v>
      </c>
      <c r="C12" s="82">
        <f>('Presupuesto Convenio'!D13*'Presupuesto Convenio'!C13)</f>
        <v>20000000</v>
      </c>
      <c r="D12" s="82">
        <f>('Presupuesto Convenio'!D13*'Presupuesto Convenio'!C13)</f>
        <v>20000000</v>
      </c>
      <c r="E12" s="82">
        <f>('Presupuesto Convenio'!D13*'Presupuesto Convenio'!C13)</f>
        <v>20000000</v>
      </c>
      <c r="F12" s="82">
        <f>('Presupuesto Convenio'!D13*'Presupuesto Convenio'!C13)</f>
        <v>20000000</v>
      </c>
      <c r="G12" s="82">
        <f>('Presupuesto Convenio'!D13*'Presupuesto Convenio'!C13)</f>
        <v>20000000</v>
      </c>
      <c r="H12" s="140">
        <f>('Presupuesto Convenio'!D13*'Presupuesto Convenio'!C13)</f>
        <v>20000000</v>
      </c>
    </row>
    <row r="13" spans="2:8" ht="16.5" x14ac:dyDescent="0.3">
      <c r="B13" s="139" t="str">
        <f>('Presupuesto Convenio'!B14)</f>
        <v>Técnico Líder en Gestión Documental</v>
      </c>
      <c r="C13" s="82">
        <f>('Presupuesto Convenio'!D14*'Presupuesto Convenio'!C14)</f>
        <v>2800000</v>
      </c>
      <c r="D13" s="82">
        <f>('Presupuesto Convenio'!D14*'Presupuesto Convenio'!C14)</f>
        <v>2800000</v>
      </c>
      <c r="E13" s="82">
        <f>('Presupuesto Convenio'!D14*'Presupuesto Convenio'!C14)</f>
        <v>2800000</v>
      </c>
      <c r="F13" s="82">
        <f>('Presupuesto Convenio'!D14*'Presupuesto Convenio'!C14)</f>
        <v>2800000</v>
      </c>
      <c r="G13" s="82">
        <f>('Presupuesto Convenio'!D14*'Presupuesto Convenio'!C14)</f>
        <v>2800000</v>
      </c>
      <c r="H13" s="140">
        <f>('Presupuesto Convenio'!D14*'Presupuesto Convenio'!C14)</f>
        <v>2800000</v>
      </c>
    </row>
    <row r="14" spans="2:8" ht="16.5" x14ac:dyDescent="0.3">
      <c r="B14" s="139" t="str">
        <f>('Presupuesto Convenio'!B15)</f>
        <v>Coordinador de Convenio</v>
      </c>
      <c r="C14" s="82">
        <f>('Presupuesto Convenio'!D15*'Presupuesto Convenio'!C15)</f>
        <v>8500000</v>
      </c>
      <c r="D14" s="82">
        <f>('Presupuesto Convenio'!D15*'Presupuesto Convenio'!C15)</f>
        <v>8500000</v>
      </c>
      <c r="E14" s="82">
        <f>('Presupuesto Convenio'!D15*'Presupuesto Convenio'!C15)</f>
        <v>8500000</v>
      </c>
      <c r="F14" s="82">
        <f>('Presupuesto Convenio'!D15*'Presupuesto Convenio'!C15)</f>
        <v>8500000</v>
      </c>
      <c r="G14" s="82">
        <f>('Presupuesto Convenio'!D15*'Presupuesto Convenio'!C15)</f>
        <v>8500000</v>
      </c>
      <c r="H14" s="140">
        <f>('Presupuesto Convenio'!D15*'Presupuesto Convenio'!C15)</f>
        <v>8500000</v>
      </c>
    </row>
    <row r="15" spans="2:8" ht="16.5" x14ac:dyDescent="0.3">
      <c r="B15" s="139" t="str">
        <f>('Presupuesto Convenio'!B16)</f>
        <v>Profesional Administrativo</v>
      </c>
      <c r="C15" s="82">
        <f>('Presupuesto Convenio'!D16*'Presupuesto Convenio'!C16)</f>
        <v>4200000</v>
      </c>
      <c r="D15" s="82">
        <f>('Presupuesto Convenio'!D16*'Presupuesto Convenio'!C16)</f>
        <v>4200000</v>
      </c>
      <c r="E15" s="82">
        <f>('Presupuesto Convenio'!D16*'Presupuesto Convenio'!C16)</f>
        <v>4200000</v>
      </c>
      <c r="F15" s="82">
        <f>('Presupuesto Convenio'!D16*'Presupuesto Convenio'!C16)</f>
        <v>4200000</v>
      </c>
      <c r="G15" s="82">
        <f>('Presupuesto Convenio'!D16*'Presupuesto Convenio'!C16)</f>
        <v>4200000</v>
      </c>
      <c r="H15" s="140">
        <f>('Presupuesto Convenio'!D16*'Presupuesto Convenio'!C16)</f>
        <v>4200000</v>
      </c>
    </row>
    <row r="16" spans="2:8" ht="17.25" thickBot="1" x14ac:dyDescent="0.35">
      <c r="B16" s="141" t="str">
        <f>('Presupuesto Convenio'!B17)</f>
        <v>Profesional Financiero</v>
      </c>
      <c r="C16" s="142">
        <f>('Presupuesto Convenio'!D17*'Presupuesto Convenio'!C17)</f>
        <v>6000000</v>
      </c>
      <c r="D16" s="142">
        <f>('Presupuesto Convenio'!D17*'Presupuesto Convenio'!C17)</f>
        <v>6000000</v>
      </c>
      <c r="E16" s="142">
        <f>('Presupuesto Convenio'!D17*'Presupuesto Convenio'!C17)</f>
        <v>6000000</v>
      </c>
      <c r="F16" s="142">
        <f>('Presupuesto Convenio'!D17*'Presupuesto Convenio'!C17)</f>
        <v>6000000</v>
      </c>
      <c r="G16" s="142">
        <f>('Presupuesto Convenio'!D17*'Presupuesto Convenio'!C17)</f>
        <v>6000000</v>
      </c>
      <c r="H16" s="143">
        <f>('Presupuesto Convenio'!D17*'Presupuesto Convenio'!C17)</f>
        <v>6000000</v>
      </c>
    </row>
    <row r="17" spans="2:11" ht="17.25" thickBot="1" x14ac:dyDescent="0.35">
      <c r="B17" s="135" t="s">
        <v>52</v>
      </c>
      <c r="C17" s="133">
        <f t="shared" ref="C17:H17" si="0">SUM(C2:C16)</f>
        <v>153200000</v>
      </c>
      <c r="D17" s="90">
        <f t="shared" si="0"/>
        <v>153200000</v>
      </c>
      <c r="E17" s="90">
        <f t="shared" si="0"/>
        <v>153200000</v>
      </c>
      <c r="F17" s="90">
        <f t="shared" si="0"/>
        <v>153200000</v>
      </c>
      <c r="G17" s="90">
        <f t="shared" si="0"/>
        <v>153200000</v>
      </c>
      <c r="H17" s="134">
        <f t="shared" si="0"/>
        <v>153200000</v>
      </c>
      <c r="I17" s="1"/>
      <c r="J17" s="1"/>
    </row>
    <row r="18" spans="2:11" ht="16.5" x14ac:dyDescent="0.3">
      <c r="B18" s="144" t="s">
        <v>19</v>
      </c>
      <c r="C18" s="34">
        <f>('Presupuesto Convenio'!D20*'Presupuesto Convenio'!C20)</f>
        <v>30000000</v>
      </c>
      <c r="D18" s="34">
        <f>('Presupuesto Convenio'!$D$20)</f>
        <v>30000000</v>
      </c>
      <c r="E18" s="34">
        <f>('Presupuesto Convenio'!$D$20)</f>
        <v>30000000</v>
      </c>
      <c r="F18" s="34">
        <f>('Presupuesto Convenio'!$D$20)</f>
        <v>30000000</v>
      </c>
      <c r="G18" s="34">
        <f>('Presupuesto Convenio'!$D$20)</f>
        <v>30000000</v>
      </c>
      <c r="H18" s="35">
        <f>('Presupuesto Convenio'!$D$20)</f>
        <v>30000000</v>
      </c>
    </row>
    <row r="19" spans="2:11" ht="17.25" thickBot="1" x14ac:dyDescent="0.35">
      <c r="B19" s="12" t="s">
        <v>18</v>
      </c>
      <c r="C19" s="14"/>
      <c r="D19" s="14">
        <v>30000000</v>
      </c>
      <c r="E19" s="14">
        <v>30000000</v>
      </c>
      <c r="F19" s="14">
        <v>30000000</v>
      </c>
      <c r="G19" s="14">
        <v>30000000</v>
      </c>
      <c r="H19" s="16">
        <v>30000000</v>
      </c>
    </row>
    <row r="20" spans="2:11" ht="17.25" thickBot="1" x14ac:dyDescent="0.35">
      <c r="B20" s="47" t="s">
        <v>53</v>
      </c>
      <c r="C20" s="90">
        <f>SUM(C18:C19)</f>
        <v>30000000</v>
      </c>
      <c r="D20" s="90">
        <f t="shared" ref="D20:H20" si="1">SUM(D18:D19)</f>
        <v>60000000</v>
      </c>
      <c r="E20" s="90">
        <f t="shared" si="1"/>
        <v>60000000</v>
      </c>
      <c r="F20" s="90">
        <f t="shared" si="1"/>
        <v>60000000</v>
      </c>
      <c r="G20" s="90">
        <f t="shared" si="1"/>
        <v>60000000</v>
      </c>
      <c r="H20" s="90">
        <f t="shared" si="1"/>
        <v>60000000</v>
      </c>
    </row>
    <row r="21" spans="2:11" ht="16.5" x14ac:dyDescent="0.3">
      <c r="B21" s="32" t="str">
        <f>('Presupuesto Convenio'!B24)</f>
        <v>Gastos Operacionales</v>
      </c>
      <c r="C21" s="34">
        <f>('Presupuesto Convenio'!$D$24)</f>
        <v>33060000</v>
      </c>
      <c r="D21" s="34">
        <f>('Presupuesto Convenio'!$D$24)</f>
        <v>33060000</v>
      </c>
      <c r="E21" s="34">
        <f>('Presupuesto Convenio'!$D$24)</f>
        <v>33060000</v>
      </c>
      <c r="F21" s="34">
        <f>('Presupuesto Convenio'!$D$24)</f>
        <v>33060000</v>
      </c>
      <c r="G21" s="34">
        <f>('Presupuesto Convenio'!$D$24)</f>
        <v>33060000</v>
      </c>
      <c r="H21" s="35">
        <f>('Presupuesto Convenio'!$D$24)</f>
        <v>33060000</v>
      </c>
      <c r="I21" s="1"/>
    </row>
    <row r="22" spans="2:11" ht="16.5" x14ac:dyDescent="0.3">
      <c r="B22" s="83" t="str">
        <f>('Presupuesto Convenio'!B25)</f>
        <v>Gastos Administrativos</v>
      </c>
      <c r="C22" s="85">
        <f>('Presupuesto Convenio'!$D$25)</f>
        <v>33333333.329999998</v>
      </c>
      <c r="D22" s="85">
        <f>('Presupuesto Convenio'!$D$25)</f>
        <v>33333333.329999998</v>
      </c>
      <c r="E22" s="85">
        <f>('Presupuesto Convenio'!$D$25)</f>
        <v>33333333.329999998</v>
      </c>
      <c r="F22" s="85">
        <f>('Presupuesto Convenio'!$D$25)</f>
        <v>33333333.329999998</v>
      </c>
      <c r="G22" s="85">
        <f>('Presupuesto Convenio'!$D$25)</f>
        <v>33333333.329999998</v>
      </c>
      <c r="H22" s="86">
        <f>('Presupuesto Convenio'!$D$25)</f>
        <v>33333333.329999998</v>
      </c>
      <c r="I22" s="1"/>
    </row>
    <row r="23" spans="2:11" ht="17.25" thickBot="1" x14ac:dyDescent="0.35">
      <c r="B23" s="12" t="s">
        <v>43</v>
      </c>
      <c r="C23" s="14">
        <f>('Presupuesto Convenio'!$D$26)</f>
        <v>58740000</v>
      </c>
      <c r="D23" s="14">
        <f>('Presupuesto Convenio'!$D$26)</f>
        <v>58740000</v>
      </c>
      <c r="E23" s="14">
        <f>('Presupuesto Convenio'!$D$26)</f>
        <v>58740000</v>
      </c>
      <c r="F23" s="14">
        <f>('Presupuesto Convenio'!$D$26)</f>
        <v>58740000</v>
      </c>
      <c r="G23" s="14">
        <f>('Presupuesto Convenio'!$D$26)</f>
        <v>58740000</v>
      </c>
      <c r="H23" s="16">
        <f>('Presupuesto Convenio'!$D$26)</f>
        <v>58740000</v>
      </c>
      <c r="I23" s="1"/>
    </row>
    <row r="24" spans="2:11" ht="17.25" thickBot="1" x14ac:dyDescent="0.35">
      <c r="B24" s="47" t="s">
        <v>54</v>
      </c>
      <c r="C24" s="90">
        <f>SUM(C21:C23)</f>
        <v>125133333.33</v>
      </c>
      <c r="D24" s="90">
        <f t="shared" ref="D24:H24" si="2">SUM(D21:D23)</f>
        <v>125133333.33</v>
      </c>
      <c r="E24" s="90">
        <f t="shared" si="2"/>
        <v>125133333.33</v>
      </c>
      <c r="F24" s="90">
        <f t="shared" si="2"/>
        <v>125133333.33</v>
      </c>
      <c r="G24" s="90">
        <f t="shared" si="2"/>
        <v>125133333.33</v>
      </c>
      <c r="H24" s="90">
        <f t="shared" si="2"/>
        <v>125133333.33</v>
      </c>
    </row>
    <row r="25" spans="2:11" ht="18" x14ac:dyDescent="0.25">
      <c r="B25" s="48" t="s">
        <v>55</v>
      </c>
      <c r="C25" s="91">
        <f>(C17+C20+C24)</f>
        <v>308333333.32999998</v>
      </c>
      <c r="D25" s="91">
        <f t="shared" ref="D25:H25" si="3">(D17+D20+D24)</f>
        <v>338333333.32999998</v>
      </c>
      <c r="E25" s="92">
        <f t="shared" si="3"/>
        <v>338333333.32999998</v>
      </c>
      <c r="F25" s="92">
        <f t="shared" si="3"/>
        <v>338333333.32999998</v>
      </c>
      <c r="G25" s="93">
        <f t="shared" si="3"/>
        <v>338333333.32999998</v>
      </c>
      <c r="H25" s="93">
        <f t="shared" si="3"/>
        <v>338333333.32999998</v>
      </c>
    </row>
    <row r="26" spans="2:11" ht="17.25" thickBot="1" x14ac:dyDescent="0.35">
      <c r="B26" s="2"/>
      <c r="C26" s="2"/>
      <c r="D26" s="2"/>
      <c r="E26" s="2"/>
      <c r="F26" s="2"/>
      <c r="G26" s="2"/>
      <c r="H26" s="2"/>
    </row>
    <row r="27" spans="2:11" ht="33.75" thickBot="1" x14ac:dyDescent="0.35">
      <c r="B27" s="101" t="s">
        <v>59</v>
      </c>
      <c r="C27" s="106">
        <v>2000000000</v>
      </c>
      <c r="D27" s="110" t="s">
        <v>62</v>
      </c>
      <c r="E27" s="115" t="s">
        <v>61</v>
      </c>
      <c r="F27" s="49" t="s">
        <v>63</v>
      </c>
      <c r="G27" s="119" t="s">
        <v>60</v>
      </c>
      <c r="H27" s="2"/>
      <c r="I27" s="71"/>
      <c r="J27" s="71"/>
      <c r="K27" s="71"/>
    </row>
    <row r="28" spans="2:11" ht="16.5" x14ac:dyDescent="0.3">
      <c r="B28" s="102" t="s">
        <v>56</v>
      </c>
      <c r="C28" s="107">
        <v>0.4</v>
      </c>
      <c r="D28" s="111">
        <f>+D34</f>
        <v>800000000</v>
      </c>
      <c r="E28" s="116">
        <f>+C25+D25</f>
        <v>646666666.65999997</v>
      </c>
      <c r="F28" s="120">
        <v>0</v>
      </c>
      <c r="G28" s="123">
        <f>+D28-E28</f>
        <v>153333333.34000003</v>
      </c>
      <c r="H28" s="2"/>
      <c r="I28" s="72"/>
      <c r="J28" s="73"/>
      <c r="K28" s="71"/>
    </row>
    <row r="29" spans="2:11" ht="16.5" x14ac:dyDescent="0.3">
      <c r="B29" s="103" t="s">
        <v>57</v>
      </c>
      <c r="C29" s="108">
        <v>0.3</v>
      </c>
      <c r="D29" s="112">
        <f>+D35</f>
        <v>600000000</v>
      </c>
      <c r="E29" s="117">
        <f>(E25+F25)</f>
        <v>676666666.65999997</v>
      </c>
      <c r="F29" s="121">
        <f>+G28</f>
        <v>153333333.34000003</v>
      </c>
      <c r="G29" s="124">
        <f>((D29+F29)-E29)</f>
        <v>76666666.680000067</v>
      </c>
      <c r="H29" s="6"/>
      <c r="I29" s="71"/>
      <c r="J29" s="74"/>
      <c r="K29" s="71"/>
    </row>
    <row r="30" spans="2:11" ht="16.5" x14ac:dyDescent="0.3">
      <c r="B30" s="104" t="s">
        <v>58</v>
      </c>
      <c r="C30" s="109">
        <v>0.25</v>
      </c>
      <c r="D30" s="113">
        <f>+D36</f>
        <v>500000000</v>
      </c>
      <c r="E30" s="118">
        <f>(G25+H25)</f>
        <v>676666666.65999997</v>
      </c>
      <c r="F30" s="121">
        <f>+G29</f>
        <v>76666666.680000067</v>
      </c>
      <c r="G30" s="124">
        <f>(((D30+F30)-E30))</f>
        <v>-99999999.9799999</v>
      </c>
      <c r="H30" s="2"/>
      <c r="I30" s="71"/>
      <c r="J30" s="71"/>
      <c r="K30" s="71"/>
    </row>
    <row r="31" spans="2:11" ht="17.25" thickBot="1" x14ac:dyDescent="0.35">
      <c r="B31" s="105" t="s">
        <v>111</v>
      </c>
      <c r="C31" s="125">
        <v>0.05</v>
      </c>
      <c r="D31" s="114">
        <f>+D37</f>
        <v>100000000</v>
      </c>
      <c r="E31" s="126">
        <f>(G26+H26)</f>
        <v>0</v>
      </c>
      <c r="F31" s="122">
        <f>+G30</f>
        <v>-99999999.9799999</v>
      </c>
      <c r="G31" s="127">
        <f>(D31+F31)</f>
        <v>2.0000100135803223E-2</v>
      </c>
      <c r="H31" s="2"/>
      <c r="I31" s="71"/>
      <c r="J31" s="75"/>
      <c r="K31" s="71"/>
    </row>
    <row r="32" spans="2:11" ht="17.25" thickBot="1" x14ac:dyDescent="0.35">
      <c r="B32" s="2"/>
      <c r="C32" s="2"/>
      <c r="D32" s="2"/>
      <c r="E32" s="2"/>
      <c r="F32" s="2"/>
      <c r="G32" s="2"/>
      <c r="H32" s="2"/>
      <c r="I32" s="71"/>
      <c r="J32" s="71"/>
      <c r="K32" s="71"/>
    </row>
    <row r="33" spans="2:11" ht="33.75" thickBot="1" x14ac:dyDescent="0.35">
      <c r="B33" s="49" t="s">
        <v>64</v>
      </c>
      <c r="C33" s="53" t="s">
        <v>65</v>
      </c>
      <c r="D33" s="49" t="s">
        <v>66</v>
      </c>
      <c r="E33" s="53" t="s">
        <v>67</v>
      </c>
      <c r="F33" s="49" t="s">
        <v>68</v>
      </c>
      <c r="G33" s="2"/>
      <c r="H33" s="2"/>
      <c r="I33" s="71"/>
      <c r="J33" s="71"/>
      <c r="K33" s="71"/>
    </row>
    <row r="34" spans="2:11" ht="16.5" x14ac:dyDescent="0.3">
      <c r="B34" s="52">
        <v>1</v>
      </c>
      <c r="C34" s="54">
        <v>0.4</v>
      </c>
      <c r="D34" s="95">
        <f>($C$27*C34)</f>
        <v>800000000</v>
      </c>
      <c r="E34" s="97">
        <v>2.3E-2</v>
      </c>
      <c r="F34" s="100" t="s">
        <v>69</v>
      </c>
      <c r="G34" s="2"/>
      <c r="H34" s="2"/>
      <c r="I34" s="71"/>
      <c r="J34" s="71"/>
      <c r="K34" s="71"/>
    </row>
    <row r="35" spans="2:11" ht="16.5" x14ac:dyDescent="0.3">
      <c r="B35" s="50">
        <v>2</v>
      </c>
      <c r="C35" s="55">
        <v>0.3</v>
      </c>
      <c r="D35" s="56">
        <f t="shared" ref="D35:D37" si="4">($C$27*C35)</f>
        <v>600000000</v>
      </c>
      <c r="E35" s="98">
        <v>0.4</v>
      </c>
      <c r="F35" s="50" t="s">
        <v>48</v>
      </c>
      <c r="G35" s="2"/>
      <c r="H35" s="2"/>
      <c r="I35" s="71"/>
      <c r="J35" s="71"/>
      <c r="K35" s="71"/>
    </row>
    <row r="36" spans="2:11" ht="16.5" x14ac:dyDescent="0.3">
      <c r="B36" s="50">
        <v>3</v>
      </c>
      <c r="C36" s="55">
        <v>0.25</v>
      </c>
      <c r="D36" s="56">
        <f t="shared" si="4"/>
        <v>500000000</v>
      </c>
      <c r="E36" s="98">
        <v>0.7</v>
      </c>
      <c r="F36" s="50" t="s">
        <v>50</v>
      </c>
      <c r="G36" s="2"/>
      <c r="H36" s="2"/>
    </row>
    <row r="37" spans="2:11" ht="17.25" thickBot="1" x14ac:dyDescent="0.3">
      <c r="B37" s="51">
        <v>4</v>
      </c>
      <c r="C37" s="94">
        <v>0.05</v>
      </c>
      <c r="D37" s="96">
        <f t="shared" si="4"/>
        <v>100000000</v>
      </c>
      <c r="E37" s="99">
        <v>1</v>
      </c>
      <c r="F37" s="51" t="s">
        <v>112</v>
      </c>
    </row>
  </sheetData>
  <pageMargins left="0.7" right="0.7" top="0.75" bottom="0.75" header="0.3" footer="0.3"/>
  <pageSetup orientation="portrait" r:id="rId1"/>
  <ignoredErrors>
    <ignoredError sqref="D2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zoomScale="80" zoomScaleNormal="80" workbookViewId="0">
      <selection activeCell="D19" sqref="D19"/>
    </sheetView>
  </sheetViews>
  <sheetFormatPr baseColWidth="10" defaultRowHeight="16.5" x14ac:dyDescent="0.3"/>
  <cols>
    <col min="1" max="1" width="10" style="2" customWidth="1"/>
    <col min="2" max="2" width="64" style="2" customWidth="1"/>
    <col min="3" max="3" width="42.42578125" style="2" customWidth="1"/>
    <col min="4" max="4" width="12.7109375" style="6" customWidth="1"/>
    <col min="5" max="5" width="15.28515625" style="58" customWidth="1"/>
    <col min="6" max="16384" width="11.42578125" style="2"/>
  </cols>
  <sheetData>
    <row r="1" spans="1:7" x14ac:dyDescent="0.3">
      <c r="A1" s="166" t="s">
        <v>84</v>
      </c>
      <c r="B1" s="166"/>
      <c r="C1" s="57">
        <v>2000000000</v>
      </c>
    </row>
    <row r="3" spans="1:7" ht="33" x14ac:dyDescent="0.3">
      <c r="A3" s="59" t="s">
        <v>80</v>
      </c>
      <c r="B3" s="59" t="s">
        <v>81</v>
      </c>
      <c r="C3" s="60" t="s">
        <v>78</v>
      </c>
      <c r="D3" s="68" t="s">
        <v>82</v>
      </c>
      <c r="E3" s="61" t="s">
        <v>83</v>
      </c>
    </row>
    <row r="4" spans="1:7" ht="30" customHeight="1" x14ac:dyDescent="0.3">
      <c r="A4" s="164" t="s">
        <v>70</v>
      </c>
      <c r="B4" s="165" t="s">
        <v>71</v>
      </c>
      <c r="C4" s="62" t="s">
        <v>7</v>
      </c>
      <c r="D4" s="63">
        <f>('Presupuesto Mensual'!C14+'Presupuesto Mensual'!C15+'Presupuesto Mensual'!C16)</f>
        <v>18700000</v>
      </c>
      <c r="E4" s="64">
        <f>(D4/C1)</f>
        <v>9.3500000000000007E-3</v>
      </c>
    </row>
    <row r="5" spans="1:7" x14ac:dyDescent="0.3">
      <c r="A5" s="164"/>
      <c r="B5" s="165"/>
      <c r="C5" s="62" t="s">
        <v>108</v>
      </c>
      <c r="D5" s="63">
        <f>('Presupuesto Convenio'!F24*5%)</f>
        <v>9918000</v>
      </c>
      <c r="E5" s="64">
        <f>(D5/C1)</f>
        <v>4.9589999999999999E-3</v>
      </c>
      <c r="G5" s="6"/>
    </row>
    <row r="6" spans="1:7" x14ac:dyDescent="0.3">
      <c r="A6" s="164"/>
      <c r="B6" s="165"/>
      <c r="C6" s="62" t="s">
        <v>107</v>
      </c>
      <c r="D6" s="63">
        <f>('Presupuesto Convenio'!F25*0.05)</f>
        <v>9999999.9989999998</v>
      </c>
      <c r="E6" s="64">
        <f>(D6/$C$1)</f>
        <v>4.9999999994999999E-3</v>
      </c>
      <c r="G6" s="6"/>
    </row>
    <row r="7" spans="1:7" x14ac:dyDescent="0.3">
      <c r="A7" s="164"/>
      <c r="B7" s="165"/>
      <c r="C7" s="65" t="s">
        <v>79</v>
      </c>
      <c r="D7" s="57">
        <f>SUM(D4:D6)</f>
        <v>38617999.998999998</v>
      </c>
      <c r="E7" s="66">
        <f>(D7/C1)</f>
        <v>1.93089999995E-2</v>
      </c>
    </row>
    <row r="8" spans="1:7" x14ac:dyDescent="0.3">
      <c r="A8" s="164" t="s">
        <v>72</v>
      </c>
      <c r="B8" s="165" t="s">
        <v>73</v>
      </c>
      <c r="C8" s="62" t="s">
        <v>7</v>
      </c>
      <c r="D8" s="4">
        <f>('Presupuesto Convenio'!F7+'Presupuesto Convenio'!F8)</f>
        <v>127200000</v>
      </c>
      <c r="E8" s="67">
        <f>(D8/$C$1)</f>
        <v>6.3600000000000004E-2</v>
      </c>
    </row>
    <row r="9" spans="1:7" x14ac:dyDescent="0.3">
      <c r="A9" s="164"/>
      <c r="B9" s="165"/>
      <c r="C9" s="62" t="s">
        <v>108</v>
      </c>
      <c r="D9" s="4">
        <f>('Presupuesto Convenio'!F24*20%)</f>
        <v>39672000</v>
      </c>
      <c r="E9" s="67">
        <f t="shared" ref="E9:E19" si="0">(D9/$C$1)</f>
        <v>1.9835999999999999E-2</v>
      </c>
    </row>
    <row r="10" spans="1:7" x14ac:dyDescent="0.3">
      <c r="A10" s="164"/>
      <c r="B10" s="165"/>
      <c r="C10" s="62" t="s">
        <v>107</v>
      </c>
      <c r="D10" s="4">
        <f>('Presupuesto Convenio'!F25*0.2)</f>
        <v>39999999.995999999</v>
      </c>
      <c r="E10" s="67">
        <f t="shared" si="0"/>
        <v>1.9999999998E-2</v>
      </c>
    </row>
    <row r="11" spans="1:7" x14ac:dyDescent="0.3">
      <c r="A11" s="164"/>
      <c r="B11" s="165"/>
      <c r="C11" s="65" t="s">
        <v>79</v>
      </c>
      <c r="D11" s="57">
        <f>SUM(D8:D10)</f>
        <v>206871999.99599999</v>
      </c>
      <c r="E11" s="66">
        <f t="shared" si="0"/>
        <v>0.103435999998</v>
      </c>
    </row>
    <row r="12" spans="1:7" x14ac:dyDescent="0.3">
      <c r="A12" s="164" t="s">
        <v>74</v>
      </c>
      <c r="B12" s="165" t="s">
        <v>75</v>
      </c>
      <c r="C12" s="62" t="s">
        <v>7</v>
      </c>
      <c r="D12" s="4">
        <f>('Presupuesto Convenio'!F13+'Presupuesto Convenio'!F14)</f>
        <v>136800000</v>
      </c>
      <c r="E12" s="67">
        <f t="shared" si="0"/>
        <v>6.8400000000000002E-2</v>
      </c>
    </row>
    <row r="13" spans="1:7" x14ac:dyDescent="0.3">
      <c r="A13" s="164"/>
      <c r="B13" s="165"/>
      <c r="C13" s="62" t="s">
        <v>108</v>
      </c>
      <c r="D13" s="4">
        <f>('Presupuesto Convenio'!F24*20%)</f>
        <v>39672000</v>
      </c>
      <c r="E13" s="67">
        <f t="shared" si="0"/>
        <v>1.9835999999999999E-2</v>
      </c>
    </row>
    <row r="14" spans="1:7" x14ac:dyDescent="0.3">
      <c r="A14" s="164"/>
      <c r="B14" s="165"/>
      <c r="C14" s="62" t="s">
        <v>107</v>
      </c>
      <c r="D14" s="4">
        <f>('Presupuesto Convenio'!F25*0.2)</f>
        <v>39999999.995999999</v>
      </c>
      <c r="E14" s="67">
        <f t="shared" si="0"/>
        <v>1.9999999998E-2</v>
      </c>
    </row>
    <row r="15" spans="1:7" x14ac:dyDescent="0.3">
      <c r="A15" s="164"/>
      <c r="B15" s="165"/>
      <c r="C15" s="65" t="s">
        <v>79</v>
      </c>
      <c r="D15" s="57">
        <f>SUM(D12:D14)</f>
        <v>216471999.99599999</v>
      </c>
      <c r="E15" s="66">
        <f t="shared" si="0"/>
        <v>0.108235999998</v>
      </c>
    </row>
    <row r="16" spans="1:7" ht="16.5" customHeight="1" x14ac:dyDescent="0.3">
      <c r="A16" s="164" t="s">
        <v>76</v>
      </c>
      <c r="B16" s="163" t="s">
        <v>77</v>
      </c>
      <c r="C16" s="62" t="s">
        <v>7</v>
      </c>
      <c r="D16" s="4">
        <f>('Presupuesto Convenio'!F3+'Presupuesto Convenio'!F4+'Presupuesto Convenio'!F5+'Presupuesto Convenio'!F6+'Presupuesto Convenio'!F7+'Presupuesto Convenio'!F8+'Presupuesto Convenio'!F9+'Presupuesto Convenio'!F10+'Presupuesto Convenio'!F11+'Presupuesto Convenio'!F12+'Presupuesto Convenio'!F15+'Presupuesto Convenio'!F16+'Presupuesto Convenio'!F17)-D4-D8</f>
        <v>636500000</v>
      </c>
      <c r="E16" s="67">
        <f t="shared" si="0"/>
        <v>0.31824999999999998</v>
      </c>
    </row>
    <row r="17" spans="1:5" x14ac:dyDescent="0.3">
      <c r="A17" s="164"/>
      <c r="B17" s="163"/>
      <c r="C17" s="62" t="s">
        <v>109</v>
      </c>
      <c r="D17" s="4">
        <f>('Presupuesto Convenio'!F24-'Distribucion de Recursos'!D5-'Distribucion de Recursos'!D9-'Distribucion de Recursos'!D13)+'Presupuesto Convenio'!F26</f>
        <v>461538000</v>
      </c>
      <c r="E17" s="67">
        <f t="shared" si="0"/>
        <v>0.230769</v>
      </c>
    </row>
    <row r="18" spans="1:5" x14ac:dyDescent="0.3">
      <c r="A18" s="164"/>
      <c r="B18" s="163"/>
      <c r="C18" s="69" t="s">
        <v>36</v>
      </c>
      <c r="D18" s="4">
        <f>('Presupuesto Convenio'!F22)</f>
        <v>330000000</v>
      </c>
      <c r="E18" s="67">
        <f t="shared" si="0"/>
        <v>0.16500000000000001</v>
      </c>
    </row>
    <row r="19" spans="1:5" x14ac:dyDescent="0.3">
      <c r="A19" s="164"/>
      <c r="B19" s="163"/>
      <c r="C19" s="62" t="s">
        <v>107</v>
      </c>
      <c r="D19" s="4">
        <f>('Presupuesto Convenio'!F25-'Distribucion de Recursos'!D6-'Distribucion de Recursos'!D10-'Distribucion de Recursos'!D14)</f>
        <v>109999999.98899999</v>
      </c>
      <c r="E19" s="67">
        <f t="shared" si="0"/>
        <v>5.4999999994499997E-2</v>
      </c>
    </row>
    <row r="20" spans="1:5" x14ac:dyDescent="0.3">
      <c r="A20" s="164"/>
      <c r="B20" s="163"/>
      <c r="C20" s="65" t="s">
        <v>79</v>
      </c>
      <c r="D20" s="57">
        <f>SUM(D16:D19)</f>
        <v>1538037999.9890001</v>
      </c>
      <c r="E20" s="66">
        <f t="shared" ref="E20" si="1">(D20/$C$1)</f>
        <v>0.76901899999450007</v>
      </c>
    </row>
    <row r="21" spans="1:5" x14ac:dyDescent="0.3">
      <c r="C21" s="70" t="s">
        <v>45</v>
      </c>
      <c r="D21" s="57">
        <f>+D7+D11+D15+D20</f>
        <v>1999999999.98</v>
      </c>
      <c r="E21" s="66">
        <f>(E7+E11+E15+E20)</f>
        <v>0.99999999999000011</v>
      </c>
    </row>
  </sheetData>
  <mergeCells count="9">
    <mergeCell ref="B16:B20"/>
    <mergeCell ref="A16:A20"/>
    <mergeCell ref="B4:B7"/>
    <mergeCell ref="A4:A7"/>
    <mergeCell ref="A1:B1"/>
    <mergeCell ref="B8:B11"/>
    <mergeCell ref="A8:A11"/>
    <mergeCell ref="B12:B15"/>
    <mergeCell ref="A12:A15"/>
  </mergeCells>
  <pageMargins left="0.7" right="0.7" top="0.75" bottom="0.75" header="0.3" footer="0.3"/>
  <ignoredErrors>
    <ignoredError sqref="E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Convenio</vt:lpstr>
      <vt:lpstr>Presupuesto Mensual</vt:lpstr>
      <vt:lpstr>Distribucion de Recursos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USER</cp:lastModifiedBy>
  <dcterms:created xsi:type="dcterms:W3CDTF">2021-01-26T17:41:32Z</dcterms:created>
  <dcterms:modified xsi:type="dcterms:W3CDTF">2021-05-14T13:46:15Z</dcterms:modified>
</cp:coreProperties>
</file>