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F SIMOA 2020\CTO RADIOS VARIABLES\CTO ESTRUCTURACION RADIOS 2021\CTO ESTRUCTURACION RADIOS 2021\"/>
    </mc:Choice>
  </mc:AlternateContent>
  <xr:revisionPtr revIDLastSave="0" documentId="8_{8FA02CB9-5AEE-4E04-A3AD-CA8302544786}" xr6:coauthVersionLast="46" xr6:coauthVersionMax="46" xr10:uidLastSave="{00000000-0000-0000-0000-000000000000}"/>
  <bookViews>
    <workbookView xWindow="-90" yWindow="0" windowWidth="14250" windowHeight="15525" xr2:uid="{00000000-000D-0000-FFFF-FFFF00000000}"/>
  </bookViews>
  <sheets>
    <sheet name="PRESUPUESTO OFICIAL" sheetId="2" r:id="rId1"/>
    <sheet name="ANALISIS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12" i="1" l="1"/>
  <c r="E12" i="2" s="1"/>
  <c r="F12" i="2" s="1"/>
  <c r="V11" i="1"/>
  <c r="W11" i="1" s="1"/>
  <c r="R15" i="1"/>
  <c r="Q15" i="1"/>
  <c r="R13" i="1"/>
  <c r="U13" i="1" s="1"/>
  <c r="Q13" i="1"/>
  <c r="R12" i="1"/>
  <c r="Q12" i="1"/>
  <c r="R11" i="1"/>
  <c r="Q11" i="1"/>
  <c r="R8" i="1"/>
  <c r="Q8" i="1"/>
  <c r="J8" i="1"/>
  <c r="J9" i="1"/>
  <c r="J11" i="1"/>
  <c r="J12" i="1"/>
  <c r="J13" i="1"/>
  <c r="J14" i="1"/>
  <c r="J15" i="1"/>
  <c r="J16" i="1"/>
  <c r="V8" i="1"/>
  <c r="V13" i="1"/>
  <c r="E13" i="2" s="1"/>
  <c r="F13" i="2" s="1"/>
  <c r="V15" i="1"/>
  <c r="W15" i="1" s="1"/>
  <c r="L16" i="1"/>
  <c r="V16" i="1" s="1"/>
  <c r="O16" i="1"/>
  <c r="L14" i="1"/>
  <c r="O14" i="1"/>
  <c r="L9" i="1"/>
  <c r="O9" i="1"/>
  <c r="H8" i="1"/>
  <c r="H9" i="1"/>
  <c r="H11" i="1"/>
  <c r="H12" i="1"/>
  <c r="H13" i="1"/>
  <c r="H14" i="1"/>
  <c r="H15" i="1"/>
  <c r="H16" i="1"/>
  <c r="P16" i="1"/>
  <c r="P14" i="1"/>
  <c r="P9" i="1"/>
  <c r="M9" i="1"/>
  <c r="M14" i="1"/>
  <c r="M16" i="1"/>
  <c r="F16" i="1"/>
  <c r="F15" i="1"/>
  <c r="F14" i="1"/>
  <c r="F13" i="1"/>
  <c r="F12" i="1"/>
  <c r="F11" i="1"/>
  <c r="F9" i="1"/>
  <c r="F8" i="1"/>
  <c r="E8" i="2" l="1"/>
  <c r="F8" i="2" s="1"/>
  <c r="W8" i="1"/>
  <c r="T8" i="1"/>
  <c r="Q14" i="1"/>
  <c r="T12" i="1"/>
  <c r="U12" i="1"/>
  <c r="F17" i="1"/>
  <c r="F18" i="1" s="1"/>
  <c r="V9" i="1"/>
  <c r="W9" i="1" s="1"/>
  <c r="W13" i="1"/>
  <c r="U8" i="1"/>
  <c r="T13" i="1"/>
  <c r="E11" i="2"/>
  <c r="F11" i="2" s="1"/>
  <c r="W12" i="1"/>
  <c r="T11" i="1"/>
  <c r="U11" i="1"/>
  <c r="J17" i="1"/>
  <c r="J18" i="1" s="1"/>
  <c r="J19" i="1" s="1"/>
  <c r="V14" i="1"/>
  <c r="E14" i="2" s="1"/>
  <c r="F14" i="2" s="1"/>
  <c r="U15" i="1"/>
  <c r="H17" i="1"/>
  <c r="H18" i="1" s="1"/>
  <c r="Q9" i="1"/>
  <c r="E16" i="2"/>
  <c r="F16" i="2" s="1"/>
  <c r="W16" i="1"/>
  <c r="F9" i="2"/>
  <c r="T15" i="1"/>
  <c r="R14" i="1"/>
  <c r="R9" i="1"/>
  <c r="Q16" i="1"/>
  <c r="E15" i="2"/>
  <c r="F15" i="2" s="1"/>
  <c r="R16" i="1"/>
  <c r="F17" i="2" l="1"/>
  <c r="F18" i="2" s="1"/>
  <c r="F19" i="2" s="1"/>
  <c r="F19" i="1"/>
  <c r="W14" i="1"/>
  <c r="U16" i="1"/>
  <c r="H19" i="1"/>
  <c r="U9" i="1"/>
  <c r="U14" i="1"/>
  <c r="T14" i="1"/>
  <c r="T9" i="1"/>
  <c r="T16" i="1"/>
  <c r="W17" i="1" l="1"/>
  <c r="W18" i="1" s="1"/>
  <c r="W19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</author>
  </authors>
  <commentList>
    <comment ref="A4" authorId="0" shapeId="0" xr:uid="{00000000-0006-0000-0000-000001000000}">
      <text>
        <r>
          <rPr>
            <b/>
            <sz val="16"/>
            <color indexed="81"/>
            <rFont val="Tahoma"/>
            <family val="2"/>
          </rPr>
          <t>i:</t>
        </r>
        <r>
          <rPr>
            <sz val="16"/>
            <color indexed="81"/>
            <rFont val="Tahoma"/>
            <family val="2"/>
          </rPr>
          <t xml:space="preserve">
EN EL OBJETO DEBERIA APARECER    Y    CONSTRUCCIÒN   ?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</author>
  </authors>
  <commentList>
    <comment ref="A4" authorId="0" shapeId="0" xr:uid="{00000000-0006-0000-0100-000001000000}">
      <text>
        <r>
          <rPr>
            <b/>
            <sz val="16"/>
            <color indexed="81"/>
            <rFont val="Tahoma"/>
            <family val="2"/>
          </rPr>
          <t>i:</t>
        </r>
        <r>
          <rPr>
            <sz val="16"/>
            <color indexed="81"/>
            <rFont val="Tahoma"/>
            <family val="2"/>
          </rPr>
          <t xml:space="preserve">
EN EL OBJETO DEBERIA APARECER    Y    CONSTRUCCIÒN   ?</t>
        </r>
      </text>
    </comment>
  </commentList>
</comments>
</file>

<file path=xl/sharedStrings.xml><?xml version="1.0" encoding="utf-8"?>
<sst xmlns="http://schemas.openxmlformats.org/spreadsheetml/2006/main" count="95" uniqueCount="50">
  <si>
    <t>OBJETO: RCNC0805 ADQUISICION RADIÓS BASE TRANSCEPTORES Y PORTATILES EN BANDA AERONAUTICA VHF, PARA TORRES DE CONTROL Y ESTACIONES AERONAUTICAS DE LA REGIONAL CUNDINAMARCA</t>
  </si>
  <si>
    <t xml:space="preserve">TRANSCEPTORES DE RADIO BASE Y PORTATILES </t>
  </si>
  <si>
    <t>ÍTEM</t>
  </si>
  <si>
    <t>DESCRIPCIÓN</t>
  </si>
  <si>
    <t>UNIDAD</t>
  </si>
  <si>
    <t>CANTIDAD</t>
  </si>
  <si>
    <t>VALOR UNITARIO</t>
  </si>
  <si>
    <t xml:space="preserve">VALOR PARCIAL </t>
  </si>
  <si>
    <t>UND</t>
  </si>
  <si>
    <t>ACCESORIOS DE INSTALACION RADIOS TRANSCEPTORES BASE EN BANDA AERONAUTICA VHF</t>
  </si>
  <si>
    <r>
      <t xml:space="preserve">CARGADOR RECTIFICADOR AC/DC PARA RADIO BASE TRANSCEPTOR VHF: </t>
    </r>
    <r>
      <rPr>
        <sz val="10"/>
        <rFont val="Verdana"/>
        <family val="2"/>
      </rPr>
      <t>Se requieren Rectificador / Cargador para energizar los equipos transceptores de base en banda aeronáutica, que se ubicarán en las torres de control (ATC), con las siguientes especificaciones: Voltaje de entrada: 108 VAC a 132 VAC / 60 Hz; Voltaje de salida nominal: 13.8 V DC; Corriente de salida: 25 Amperios dc (ciclo de trabajo 30%); Protección de entrada: AC; Protección de transcientes de voltaje (picos de voltaje); Protección salida DC: Breaker de protección sobre corriente; Protección salida DC Baterías: Breaker de protección sobre corriente; Visualización: Display indicador de voltaje y corriente de salida (análogo o Digital); Estabilidad de voltaje salida: ± 5% con carga de 10 Amperios DC o mejor Conexiones:                                Puerto AC entrada / Puerto DC batería / Puerto DC equipos/ Garantía:Dos (2) años mínimo</t>
    </r>
  </si>
  <si>
    <r>
      <t>BATERIA 12 Vdc 20 Amperios</t>
    </r>
    <r>
      <rPr>
        <sz val="10"/>
        <rFont val="Verdana"/>
        <family val="2"/>
      </rPr>
      <t xml:space="preserve">: Voltaje nominal (V) 12dc; Evaluar a 20 hr la capacidad de 10,5V a 20ºC (ah) 50; Evaluar a 10 hr la capacidad de 10,8V a 20ºC (ah) 40; </t>
    </r>
    <r>
      <rPr>
        <sz val="10"/>
        <color indexed="63"/>
        <rFont val="Verdana"/>
        <family val="2"/>
      </rPr>
      <t xml:space="preserve">Almacenamiento (en carga completa) entre -15°C y +50°C; Carga -0°C to +40°C; Descarga -15°C to +40°C; </t>
    </r>
    <r>
      <rPr>
        <sz val="10"/>
        <rFont val="Verdana"/>
        <family val="2"/>
      </rPr>
      <t xml:space="preserve">Corriente de carga: Límite de carga de corriente en flotación (A) 12.5 ; Carga cíclica. Limite 12.5; Material de la caja: Standart ABS (UL94:HB); Impedancia: Medida a 1 kHz (mΩ): 5.7;Garantía: Dos años (2) </t>
    </r>
  </si>
  <si>
    <r>
      <t xml:space="preserve">CABLE PARA ALIMENTACION DC EN RADIOS TRANSCEPTORES BASE: </t>
    </r>
    <r>
      <rPr>
        <sz val="10"/>
        <rFont val="Verdana"/>
        <family val="2"/>
      </rPr>
      <t>CALIBRE #14 tipo AWG; Tipo Flexible; Soporte de Corriente en DC para 10-20 AMP; Encauchetado con colores para identificar polaridad (+ y -); Estándar AWG</t>
    </r>
  </si>
  <si>
    <t>MTS</t>
  </si>
  <si>
    <r>
      <t xml:space="preserve">CABLE COAXIAL FLEXIBLE RG-8 (Instalación antenas de Radios BASE Transceptores): </t>
    </r>
    <r>
      <rPr>
        <sz val="10"/>
        <rFont val="Verdana"/>
        <family val="2"/>
      </rPr>
      <t>Conductor de cobre desnudo; Aislamiento de polietileno; Material en cobre; Malla apantallada al 97%; Chaqueta de PVC; Tipo de cable: RG8 flexible; Impedancia: 50 ohmios; Atenuación: 1.9 dB por cada 30 metros a 100 Mhz, o mejor</t>
    </r>
  </si>
  <si>
    <r>
      <t xml:space="preserve">ANTENA VHF OMNIDIRECCIONAL: </t>
    </r>
    <r>
      <rPr>
        <sz val="10"/>
        <rFont val="Verdana"/>
        <family val="2"/>
      </rPr>
      <t>BANDA 118 A 136 MHz; IMPEDANCIA DE 50 OHMS; Material Antena: Fibra de vidrio; Ganancia: 0 db o mejor; Polarización: Vertical; Potencia: 50 W o Superior; Propagación RF: Antena omnidireccional; Ancho de Banda: 3 MHz; Conector: N Hembra; Garantía: Dos años (2) mínimo</t>
    </r>
  </si>
  <si>
    <r>
      <t xml:space="preserve">CONECTOR RF/ Coaxial N JACK STR 50. OHM– ABRAZADERA/SOLDADURA: </t>
    </r>
    <r>
      <rPr>
        <sz val="10"/>
        <rFont val="Verdana"/>
        <family val="2"/>
      </rPr>
      <t>Estilo del cuerpo: Conector recto; Tipo de conector: N Coaxial macho (lado antena y lado radio) para cable RG-8. Adaptable al conector de radio a ser ofertado; terminación coaxial: Soldadura / Clamp; Impedancia de entrada: 50 ohm; Tipo de cable RG: RG-8; Tipo de montaje: Cable; Material de contacto: De bronce; Cumple con RoHS: Si</t>
    </r>
  </si>
  <si>
    <t>COSTOS TOTALES</t>
  </si>
  <si>
    <t>IVA</t>
  </si>
  <si>
    <t>TOTAL PROYECTO</t>
  </si>
  <si>
    <t>NOTA 1. Se adjudica por el presupuesto oficial
NOTA 2. Si se requiere especificar listado de insumos o repuestos, anexarlo a este formato.</t>
  </si>
  <si>
    <t>FIRMA REPRESENTANTE LEGAL       ______________________________________________
Nombre    ______________________________________________
NIT             ______________________________________________
Direccion   ______________________________________________
Telefonos, Fax  ______________________________________________
Direccion correo electronico  ______________________________________________
Numero Celular  ______________________________________________
ciudad   ______________________________________________</t>
  </si>
  <si>
    <t>Principio de Procedencia:
1105.17.011</t>
  </si>
  <si>
    <r>
      <t xml:space="preserve">Versión: </t>
    </r>
    <r>
      <rPr>
        <sz val="10"/>
        <rFont val="Arial"/>
        <family val="2"/>
      </rPr>
      <t>01</t>
    </r>
  </si>
  <si>
    <t>Fecha:28/10/2019</t>
  </si>
  <si>
    <t>Página: 1 de 1</t>
  </si>
  <si>
    <t>DMC WIRELESS SYSTEM</t>
  </si>
  <si>
    <t>HISTORICOS 2020</t>
  </si>
  <si>
    <r>
      <rPr>
        <b/>
        <sz val="11"/>
        <color theme="1"/>
        <rFont val="Calibri"/>
        <family val="2"/>
        <scheme val="minor"/>
      </rPr>
      <t>RADIO BASE (TRANSCEPTOR) Banda Aeronáutica VHF</t>
    </r>
    <r>
      <rPr>
        <sz val="11"/>
        <color theme="1"/>
        <rFont val="Calibri"/>
        <family val="2"/>
        <scheme val="minor"/>
      </rPr>
      <t>: Rango de frecuencia VHF 118,000 Mhz a 136,975 Mhz con espaciamientos de 25,0 Khz;118.000 Mhz a 136,992 Mhz con espaciamientos de 8,33 Khz; Modulación: AM (6K00A3E / 5K60A3E); Estabilidad de frecuencia: ±5 ppm; Rango de temperatura de trabajo: -20 °C a 55 °C; Impedancia de antena: 50 ohmios; Número de canales de memoria: 20 posiciones de memoria mínimo; Energía de alimentación requerida:      AC 110 VAC/220 VAC 60 Hz - DC de 12 A 24 VDC; Potencia de salida RF: 8 W mínimo (potencia efectiva de portadora) o mejor; Emisión de espurios: - 60 dBc; Rango de modulación: 70 % (máximo 98%); Sensibilidad de recepción: señal de 2 microvoltios o menor, 6dB S/N; Selectividad de recepción: Con pasos de 25Khz ± 3 Khz 6 dB ±22 Khz 60 dB; Con pasos de 8,33 Khz ± 2,778 Khz 6 dB   ±7,33 Khz 60 dB; Respuesta de espurios: Mejor que 74 dBu ; Accesorios: Micrófono, kit de instalación en mesa (consola), parlante externo; Puerto de RF 50 OHM:Conector N Hembra (o con adaptador coaxial); Tipo de Montaje: Base para Consola Aeronáutica con Soporte mecánico de fijación metalico; Micrófono: De mano o de pedestal (de preferencia) con Impedancia Compatible al puerto de entrada; Pantalla: Alfanumérica e indicador de señal de recepción y transmisión, tipo matriz de puntos para visión nocturna y diurna; Selectividad: 6dB +- 3Khz    60dB+-22Khz; Impedancia de salida parlante:8 ohmios; Reducción de ruido: Función ANL (Automatic noise limiter); Límite de Modulación: 70% (Max 98%); Interfaz ETH: Acceso de red para control y acceso remoto(opcional); Puerto salida audio: Disponibilidad de un puerto análogo de voz para grabación externa; Garantía: Dos (2) años</t>
    </r>
  </si>
  <si>
    <t>ROHDE-SCHWARZ,</t>
  </si>
  <si>
    <t>MELTEC</t>
  </si>
  <si>
    <t>LEVEL SIIETE</t>
  </si>
  <si>
    <t xml:space="preserve">RAPIDEXXUS SA </t>
  </si>
  <si>
    <t>PROMEDIO</t>
  </si>
  <si>
    <t>DESVIACION ESTANDAR</t>
  </si>
  <si>
    <t>LIMI INF</t>
  </si>
  <si>
    <t>LIM SUP</t>
  </si>
  <si>
    <t>PRESUPUESTO</t>
  </si>
  <si>
    <t>IPC</t>
  </si>
  <si>
    <t>INCREMENTO IPC</t>
  </si>
  <si>
    <t>VALOR PARCIAL</t>
  </si>
  <si>
    <t>DMCWS</t>
  </si>
  <si>
    <t>RAPIDEXXUS</t>
  </si>
  <si>
    <r>
      <rPr>
        <b/>
        <sz val="10"/>
        <rFont val="Verdana"/>
        <family val="2"/>
      </rPr>
      <t>RADIOS TRANSCEPTORES PORTATILES BANDA AERONAUTICA VHF</t>
    </r>
    <r>
      <rPr>
        <sz val="10"/>
        <rFont val="Verdana"/>
        <family val="2"/>
      </rPr>
      <t>: Pantalla  Alfanumérica e indicador de señal, tipo matriz de puntos para visión nocturna y diurna; LCD &gt; a 2,3Pulg; Batería: Ion de litio de gran capacidad (2350 mAh) con Indicador de carga; Separación de canal: 8,33 KHz y 25 KHz; Tecla Acceso Configuración: que permita selección inmediata con EMERG 121,50 MHZ; Rango de frecuencia: 118.0 MHz a 136,992 MHz: Protección: Norma IP57; Antena Impedancia de: 50 ohmios omnidireccional;  Estabilidad de frecuencia: ±0,4 KHz o ; mejor; Memoria Canales: 20 o más posiciones de memoria, Configuracionpor Grupos, función de SCAN; Tipo de Modulación: AM (6K00A3E/5K60A3E);</t>
    </r>
    <r>
      <rPr>
        <b/>
        <sz val="10"/>
        <rFont val="Verdana"/>
        <family val="2"/>
      </rPr>
      <t xml:space="preserve"> </t>
    </r>
    <r>
      <rPr>
        <b/>
        <sz val="10"/>
        <color rgb="FFFF0000"/>
        <rFont val="Verdana"/>
        <family val="2"/>
      </rPr>
      <t>Cargador: Voltaje de entrada 110 / 220 VAC carga rápida</t>
    </r>
    <r>
      <rPr>
        <b/>
        <sz val="10"/>
        <rFont val="Verdana"/>
        <family val="2"/>
      </rPr>
      <t>;</t>
    </r>
    <r>
      <rPr>
        <sz val="10"/>
        <rFont val="Verdana"/>
        <family val="2"/>
      </rPr>
      <t xml:space="preserve"> TRANSMISION:  Potencia RF: Salida 6,0 W / 1,8W (PEP/Portadora); S/N &gt; de 35dB; Emisión de espurios:&gt; de 46dB; Audio Distorsión armónicos: &gt; de 10% (a 60% de Modulación); RECEPCION; Frecuencias Intermedia:46,35 MHZ / 450 KHZ; Sensibilidad: COM (6dB S/N) &gt; de 0 dB; Squelch Sensibilidad &gt; de 0 dB (AM); &gt; de - 5dB (FM); Audio Potencia salida: 530mW típicos (AM 8 ohm/ 60% Mod a 10% distorsión) Parlante externo; Conector Parlante externo:3-conductor 3,5 (d) mm (1/8") 8 ohm</t>
    </r>
  </si>
  <si>
    <r>
      <rPr>
        <b/>
        <sz val="10"/>
        <rFont val="Verdana"/>
        <family val="2"/>
      </rPr>
      <t>RADIOS TRANSCEPTORES PORTATILES BANDA AERONAUTICA VHF</t>
    </r>
    <r>
      <rPr>
        <sz val="10"/>
        <rFont val="Verdana"/>
        <family val="2"/>
      </rPr>
      <t>: Pantalla  Alfanumérica e indicador de señal, que facilite visión nocturna y diurna; LCD &gt; a 2,3Pulg; Batería: Ion de litio de gran capacidad (2350 mAh) con Indicador de carga; Separación de canal: 8,33 KHz y 25 KHz; Tecla Acceso Configuración: que permita selección inmediata con EMERG 121,50 MHZ; Rango de frecuencia: 118.0 MHz a 136,992 MHz 25/8,33 Khz : Protección: Norma IP57; Antena Impedancia de: 50 ohmios omnidireccional; Estabilidad de frecuencia: ±0,4 KHz o ; mejor; Memoria Canales: 20 o más posiciones de memoria, Configuracionpor Grupos, función de SCAN; Tipo de Modulación: AM (6K00A3E/5K60A3E); Cargador: Voltaje de entrada 110 / 220 VAC carga rápida; TRANSMISION:  Potencia RF: Salida 6,0 W / 1,8W (PEP/Portadora); S/N &gt; de 35dB; Emisión de espurios:&gt; de 46dB; Audio Distorsión armónicos: &gt; de 10% (a 60% de Modulación); RECEPCION; Frecuencias Intermedia:46,35 MHZ / 450 KHZ; Sensibilidad: COM (6dB S/N) &gt; de 0 dB; Squelch Sensibilidad &gt; de 0 dB (AM); &gt; de - 5dB (FM); Audio Potencia salida: 350 mW típicos (AM 8 ohm/ 60% Mod a 10% distorsión) Parlante externo; Conector Parlante externo:3-conductor 3,5 (d) mm (1/8") de 8 ohm</t>
    </r>
  </si>
  <si>
    <r>
      <t xml:space="preserve">CABLE COAXIAL FLEXIBLE RG-8 / U (Instalación antenas de Radios BASE Transceptores): </t>
    </r>
    <r>
      <rPr>
        <sz val="10"/>
        <rFont val="Verdana"/>
        <family val="2"/>
      </rPr>
      <t>Tipo 8237, para adaptar a conectores tipo AMPHENOL; Conductor de cobre desnudo; Aislamiento de polietileno; Material en cobre; Malla apantallada al 97%; Chaqueta de PVC; Tipo de cable: RG8 flexible; Impedancia: 50 ohmios; Atenuación: 1.9 dB por cada 30 metros a 100 Mhz, o mejor Calibre 13AWG</t>
    </r>
  </si>
  <si>
    <r>
      <t xml:space="preserve">ANTENA VHF OMNIDIRECCIONAL: </t>
    </r>
    <r>
      <rPr>
        <sz val="10"/>
        <rFont val="Verdana"/>
        <family val="2"/>
      </rPr>
      <t xml:space="preserve">BANDA 118 A 136 MHz; IMPEDANCIA DE 50 OHMS; Material Antena: Fibra de vidrio; Ganancia: 0 db o mejor; Polarización: Vertical; Potencia: 50 W o Superior; Propagación RF: Antena omnidireccional; Ancho de Banda: 3 MHz; Conector: N Hembra Tipo Amphenol; Garantía: Dos años (2) </t>
    </r>
  </si>
  <si>
    <r>
      <t>BATERIA 12 Vdc 50 A/h Amperios / Hora</t>
    </r>
    <r>
      <rPr>
        <sz val="10"/>
        <rFont val="Verdana"/>
        <family val="2"/>
      </rPr>
      <t xml:space="preserve">: Voltaje nominal (V) 12dc;  </t>
    </r>
    <r>
      <rPr>
        <sz val="10"/>
        <color indexed="63"/>
        <rFont val="Verdana"/>
        <family val="2"/>
      </rPr>
      <t xml:space="preserve">Almacenamiento (en carga completa) entre -15°C y +50°C; Carga -0°C to +40°C; Descarga -15°C to +40°C; </t>
    </r>
    <r>
      <rPr>
        <sz val="10"/>
        <rFont val="Verdana"/>
        <family val="2"/>
      </rPr>
      <t xml:space="preserve">Corriente de carga: Límite de carga de corriente en flotación (A) 12.5 ; Carga cíclica. Limite 12.5; Material de la caja: Standart ABS (UL94:HB); Impedancia: Medida a 1 kHz (mΩ): 5.7;  Garantía: (2) Dos años  </t>
    </r>
  </si>
  <si>
    <r>
      <t xml:space="preserve">CARGADOR / RECTIFICADOR 12 Vdc 20 Amperios: </t>
    </r>
    <r>
      <rPr>
        <sz val="10"/>
        <rFont val="Verdana"/>
        <family val="2"/>
      </rPr>
      <t xml:space="preserve">Se requieren Rectificador / Cargador para energizar los equipos transceptores de base en banda aeronáutica, que se ubicarán en las torres de control (ATC), con las siguientes especificaciones: Voltaje de entrada: 108 VAC a 132 VAC / 60 Hz; Voltaje de salida nominal: 13.8 V DC; Corriente de salida: 25 Amperios dc (ciclo de trabajo 30%); Protección de entrada: AC; Protección de transcientes de voltaje (picos de voltaje); Protección salida DC: Breaker de protección sobre corriente; Protección salida DC Baterías: Breaker de protección sobre corriente; Visualización: Display indicador de voltaje y corriente de salida (análogo o Digital); Estabilidad de voltaje salida: ± 5% con carga de 10 Amperios DC o mejor Conexiones:  Puerto AC entrada / Puerto DC batería / Puerto DC equipos/ Garantía: Dos (2) años </t>
    </r>
  </si>
  <si>
    <r>
      <rPr>
        <b/>
        <sz val="11"/>
        <color theme="1"/>
        <rFont val="Calibri"/>
        <family val="2"/>
        <scheme val="minor"/>
      </rPr>
      <t>RADIO BASE (TRANSCEPTOR) Banda Aeronáutica VHF</t>
    </r>
    <r>
      <rPr>
        <sz val="11"/>
        <color theme="1"/>
        <rFont val="Calibri"/>
        <family val="2"/>
        <scheme val="minor"/>
      </rPr>
      <t>: Rango de frecuencia VHF 118,000 Mhz a 136,975 Mhz con espaciamientos de 25,0 Khz;118.000 Mhz a 136,992 Mhz con espaciamientos de 8,33 Khz; Modulación: AM (6K00A3E / 5K60A3E); Estabilidad de frecuencia: ±5 ppm; Rango de temperatura de trabajo: -20 °C a 55 °C; Impedancia de antena: 50 ohmios; Número de canales de memoria: 20 posiciones de memoria mínimo; Energía de alimentación requerida:      AC 110 VAC/220 VAC 60 Hz - DC de 12 A 24 VDC; Potencia de salida RF: 8 W mínimo (potencia efectiva de portadora) o mejor; Emisión de espurios: - 60 dBc; Rango de modulación: 70 % (máximo 98%); Sensibilidad de recepción: señal de 2 microvoltios o menor, 6dB S/N; Selectividad de recepción: Con pasos de 25Khz ± 3 Khz 6 dB ±22 Khz 60 dB; Con pasos de 8,33 Khz ± 2,778 Khz 6 dB   ±7,33 Khz 60 dB; Respuesta de espurios: Mejor que 74 dBu ; Accesorios: Micrófono, kit de instalación en mesa (consola), parlante externo; Puerto de RF 50 OHM:Conector N Hembra (o con adaptador coaxial); Tipo de Montaje: Base para Consola Aeronáutica con Soporte mecánico de fijación metalico; Micrófono: De mano o de pedestal (de preferencia) con Impedancia Compatible al puerto de entrada; Pantalla: Alfanumérica e indicador de señal de recepción y transmisión, tipo matriz de puntos para visión nocturna y diurna; Selectividad: 6dB +- 3Khz /  60dB+-22Khz; Impedancia de salida parlante: 5W @ 4 Ohmios; Reducción de ruido: Función ANL (Automatic noise limiter); Límite de Modulación: 70% (Max 98%); Interfaz ETH: Acceso de red para control ; Puerto salida audio: Disponibilidad de un puerto análogo de voz para grabación externa; Garantía: Dos (2) años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</si>
</sst>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* #,##0.00_);_(&quot;$&quot;* \(#,##0.00\);_(&quot;$&quot;* &quot;-&quot;??_);_(@_)"/>
    <numFmt numFmtId="165" formatCode="_(&quot;$&quot;* #,##0_);_(&quot;$&quot;* \(#,##0\);_(&quot;$&quot;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b/>
      <sz val="12"/>
      <color rgb="FF000000"/>
      <name val="Arial"/>
      <family val="2"/>
    </font>
    <font>
      <sz val="10"/>
      <color indexed="63"/>
      <name val="Verdana"/>
      <family val="2"/>
    </font>
    <font>
      <sz val="10"/>
      <color rgb="FF00000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6"/>
      <color indexed="81"/>
      <name val="Tahoma"/>
      <family val="2"/>
    </font>
    <font>
      <sz val="16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0"/>
      <color rgb="FFFF0000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</cellStyleXfs>
  <cellXfs count="103">
    <xf numFmtId="0" fontId="0" fillId="0" borderId="0" xfId="0"/>
    <xf numFmtId="0" fontId="3" fillId="3" borderId="4" xfId="2" applyFont="1" applyFill="1" applyBorder="1" applyAlignment="1">
      <alignment horizontal="center" vertical="center" wrapText="1"/>
    </xf>
    <xf numFmtId="0" fontId="3" fillId="3" borderId="5" xfId="2" applyFont="1" applyFill="1" applyBorder="1" applyAlignment="1">
      <alignment horizontal="center" vertical="center" wrapText="1"/>
    </xf>
    <xf numFmtId="0" fontId="3" fillId="4" borderId="7" xfId="2" applyFont="1" applyFill="1" applyBorder="1" applyAlignment="1">
      <alignment horizontal="center" vertical="center" wrapText="1"/>
    </xf>
    <xf numFmtId="0" fontId="3" fillId="4" borderId="8" xfId="2" applyFont="1" applyFill="1" applyBorder="1" applyAlignment="1">
      <alignment horizontal="center" vertical="center" wrapText="1"/>
    </xf>
    <xf numFmtId="0" fontId="4" fillId="4" borderId="11" xfId="2" applyFont="1" applyFill="1" applyBorder="1" applyAlignment="1">
      <alignment horizontal="center" vertical="center" wrapText="1"/>
    </xf>
    <xf numFmtId="164" fontId="5" fillId="4" borderId="11" xfId="1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justify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vertical="center" wrapText="1"/>
    </xf>
    <xf numFmtId="0" fontId="4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justify" vertical="center"/>
    </xf>
    <xf numFmtId="0" fontId="5" fillId="0" borderId="11" xfId="0" applyFont="1" applyBorder="1" applyAlignment="1">
      <alignment horizontal="justify" vertical="center"/>
    </xf>
    <xf numFmtId="0" fontId="8" fillId="5" borderId="15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10" fillId="5" borderId="29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64" fontId="10" fillId="5" borderId="13" xfId="1" applyFont="1" applyFill="1" applyBorder="1" applyAlignment="1">
      <alignment horizontal="center" vertical="center" wrapText="1"/>
    </xf>
    <xf numFmtId="164" fontId="3" fillId="4" borderId="9" xfId="1" applyFont="1" applyFill="1" applyBorder="1" applyAlignment="1">
      <alignment horizontal="center" vertical="center" wrapText="1"/>
    </xf>
    <xf numFmtId="164" fontId="5" fillId="4" borderId="12" xfId="1" applyFont="1" applyFill="1" applyBorder="1" applyAlignment="1">
      <alignment horizontal="center" vertical="center" wrapText="1"/>
    </xf>
    <xf numFmtId="164" fontId="0" fillId="0" borderId="0" xfId="1" applyFont="1"/>
    <xf numFmtId="165" fontId="3" fillId="4" borderId="20" xfId="1" applyNumberFormat="1" applyFont="1" applyFill="1" applyBorder="1" applyAlignment="1">
      <alignment horizontal="center" vertical="center" wrapText="1"/>
    </xf>
    <xf numFmtId="165" fontId="3" fillId="4" borderId="18" xfId="1" applyNumberFormat="1" applyFont="1" applyFill="1" applyBorder="1" applyAlignment="1" applyProtection="1">
      <alignment horizontal="center" vertical="center" wrapText="1"/>
    </xf>
    <xf numFmtId="165" fontId="3" fillId="0" borderId="19" xfId="1" applyNumberFormat="1" applyFont="1" applyBorder="1" applyAlignment="1">
      <alignment horizontal="center" vertical="center" wrapText="1"/>
    </xf>
    <xf numFmtId="0" fontId="3" fillId="7" borderId="10" xfId="0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 wrapText="1"/>
    </xf>
    <xf numFmtId="164" fontId="10" fillId="5" borderId="0" xfId="1" applyFont="1" applyFill="1" applyBorder="1" applyAlignment="1">
      <alignment horizontal="center" vertical="center" wrapText="1"/>
    </xf>
    <xf numFmtId="0" fontId="3" fillId="2" borderId="0" xfId="2" applyFont="1" applyFill="1" applyBorder="1" applyAlignment="1">
      <alignment horizontal="center" vertical="center" wrapText="1"/>
    </xf>
    <xf numFmtId="164" fontId="5" fillId="4" borderId="30" xfId="1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165" fontId="3" fillId="4" borderId="0" xfId="1" applyNumberFormat="1" applyFont="1" applyFill="1" applyBorder="1" applyAlignment="1" applyProtection="1">
      <alignment horizontal="center" vertical="center" wrapText="1"/>
    </xf>
    <xf numFmtId="165" fontId="3" fillId="0" borderId="0" xfId="1" applyNumberFormat="1" applyFont="1" applyBorder="1" applyAlignment="1">
      <alignment horizontal="center" vertical="center" wrapText="1"/>
    </xf>
    <xf numFmtId="165" fontId="3" fillId="4" borderId="0" xfId="1" applyNumberFormat="1" applyFont="1" applyFill="1" applyBorder="1" applyAlignment="1">
      <alignment horizontal="center" vertical="center" wrapText="1"/>
    </xf>
    <xf numFmtId="49" fontId="9" fillId="4" borderId="0" xfId="0" applyNumberFormat="1" applyFont="1" applyFill="1" applyBorder="1" applyAlignment="1">
      <alignment horizontal="left" vertical="center" wrapText="1"/>
    </xf>
    <xf numFmtId="49" fontId="9" fillId="4" borderId="0" xfId="0" applyNumberFormat="1" applyFont="1" applyFill="1" applyBorder="1" applyAlignment="1">
      <alignment horizontal="right" vertical="center" wrapText="1"/>
    </xf>
    <xf numFmtId="0" fontId="3" fillId="3" borderId="4" xfId="2" applyFont="1" applyFill="1" applyBorder="1" applyAlignment="1">
      <alignment horizontal="center" vertical="center" wrapText="1"/>
    </xf>
    <xf numFmtId="0" fontId="3" fillId="3" borderId="5" xfId="2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0" fontId="0" fillId="0" borderId="0" xfId="3" applyNumberFormat="1" applyFont="1" applyAlignment="1">
      <alignment vertical="center"/>
    </xf>
    <xf numFmtId="0" fontId="3" fillId="4" borderId="31" xfId="2" applyFont="1" applyFill="1" applyBorder="1" applyAlignment="1">
      <alignment horizontal="center" vertical="center" wrapText="1"/>
    </xf>
    <xf numFmtId="164" fontId="5" fillId="4" borderId="30" xfId="1" applyFont="1" applyFill="1" applyBorder="1" applyAlignment="1" applyProtection="1">
      <alignment horizontal="center" vertical="center" wrapText="1"/>
    </xf>
    <xf numFmtId="164" fontId="3" fillId="4" borderId="31" xfId="1" applyFont="1" applyFill="1" applyBorder="1" applyAlignment="1">
      <alignment horizontal="center" vertical="center" wrapText="1"/>
    </xf>
    <xf numFmtId="165" fontId="3" fillId="4" borderId="19" xfId="1" applyNumberFormat="1" applyFont="1" applyFill="1" applyBorder="1" applyAlignment="1" applyProtection="1">
      <alignment horizontal="center" vertical="center" wrapText="1"/>
    </xf>
    <xf numFmtId="0" fontId="0" fillId="0" borderId="11" xfId="0" applyBorder="1"/>
    <xf numFmtId="164" fontId="0" fillId="0" borderId="11" xfId="1" applyFont="1" applyBorder="1" applyAlignment="1">
      <alignment vertical="center"/>
    </xf>
    <xf numFmtId="0" fontId="0" fillId="0" borderId="11" xfId="0" applyBorder="1" applyAlignment="1">
      <alignment vertical="center"/>
    </xf>
    <xf numFmtId="164" fontId="0" fillId="0" borderId="11" xfId="0" applyNumberFormat="1" applyBorder="1" applyAlignment="1">
      <alignment vertical="center"/>
    </xf>
    <xf numFmtId="0" fontId="13" fillId="0" borderId="11" xfId="0" applyFont="1" applyBorder="1"/>
    <xf numFmtId="0" fontId="0" fillId="0" borderId="0" xfId="0" applyFill="1"/>
    <xf numFmtId="39" fontId="3" fillId="0" borderId="19" xfId="1" applyNumberFormat="1" applyFont="1" applyBorder="1" applyAlignment="1">
      <alignment horizontal="right" vertical="center" wrapText="1"/>
    </xf>
    <xf numFmtId="39" fontId="13" fillId="0" borderId="11" xfId="0" applyNumberFormat="1" applyFont="1" applyBorder="1"/>
    <xf numFmtId="39" fontId="3" fillId="4" borderId="20" xfId="1" applyNumberFormat="1" applyFont="1" applyFill="1" applyBorder="1" applyAlignment="1">
      <alignment horizontal="right" vertical="center" wrapText="1"/>
    </xf>
    <xf numFmtId="39" fontId="3" fillId="4" borderId="18" xfId="1" applyNumberFormat="1" applyFont="1" applyFill="1" applyBorder="1" applyAlignment="1" applyProtection="1">
      <alignment horizontal="right" vertical="center" wrapText="1"/>
    </xf>
    <xf numFmtId="49" fontId="9" fillId="4" borderId="4" xfId="0" applyNumberFormat="1" applyFont="1" applyFill="1" applyBorder="1" applyAlignment="1">
      <alignment horizontal="left" vertical="center" wrapText="1"/>
    </xf>
    <xf numFmtId="49" fontId="9" fillId="4" borderId="5" xfId="0" applyNumberFormat="1" applyFont="1" applyFill="1" applyBorder="1" applyAlignment="1">
      <alignment horizontal="left" vertical="center" wrapText="1"/>
    </xf>
    <xf numFmtId="49" fontId="9" fillId="4" borderId="6" xfId="0" applyNumberFormat="1" applyFont="1" applyFill="1" applyBorder="1" applyAlignment="1">
      <alignment horizontal="left" vertical="center" wrapText="1"/>
    </xf>
    <xf numFmtId="49" fontId="10" fillId="4" borderId="21" xfId="0" applyNumberFormat="1" applyFont="1" applyFill="1" applyBorder="1" applyAlignment="1">
      <alignment horizontal="right" vertical="center" wrapText="1"/>
    </xf>
    <xf numFmtId="49" fontId="9" fillId="4" borderId="0" xfId="0" applyNumberFormat="1" applyFont="1" applyFill="1" applyAlignment="1">
      <alignment horizontal="right" vertical="center" wrapText="1"/>
    </xf>
    <xf numFmtId="49" fontId="9" fillId="4" borderId="22" xfId="0" applyNumberFormat="1" applyFont="1" applyFill="1" applyBorder="1" applyAlignment="1">
      <alignment horizontal="right" vertical="center" wrapText="1"/>
    </xf>
    <xf numFmtId="49" fontId="9" fillId="4" borderId="16" xfId="0" applyNumberFormat="1" applyFont="1" applyFill="1" applyBorder="1" applyAlignment="1">
      <alignment horizontal="right" vertical="center" wrapText="1"/>
    </xf>
    <xf numFmtId="49" fontId="9" fillId="4" borderId="17" xfId="0" applyNumberFormat="1" applyFont="1" applyFill="1" applyBorder="1" applyAlignment="1">
      <alignment horizontal="right" vertical="center" wrapText="1"/>
    </xf>
    <xf numFmtId="49" fontId="9" fillId="4" borderId="18" xfId="0" applyNumberFormat="1" applyFont="1" applyFill="1" applyBorder="1" applyAlignment="1">
      <alignment horizontal="right" vertical="center" wrapText="1"/>
    </xf>
    <xf numFmtId="0" fontId="3" fillId="3" borderId="4" xfId="2" applyFont="1" applyFill="1" applyBorder="1" applyAlignment="1">
      <alignment horizontal="center" vertical="center" wrapText="1"/>
    </xf>
    <xf numFmtId="0" fontId="3" fillId="3" borderId="5" xfId="2" applyFont="1" applyFill="1" applyBorder="1" applyAlignment="1">
      <alignment horizontal="center" vertical="center" wrapText="1"/>
    </xf>
    <xf numFmtId="0" fontId="3" fillId="3" borderId="6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wrapText="1"/>
    </xf>
    <xf numFmtId="0" fontId="3" fillId="3" borderId="3" xfId="2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9" fillId="4" borderId="16" xfId="2" applyFont="1" applyFill="1" applyBorder="1" applyAlignment="1">
      <alignment horizontal="center" vertical="center" wrapText="1"/>
    </xf>
    <xf numFmtId="0" fontId="9" fillId="4" borderId="17" xfId="2" applyFont="1" applyFill="1" applyBorder="1" applyAlignment="1">
      <alignment horizontal="center" vertical="center" wrapText="1"/>
    </xf>
    <xf numFmtId="0" fontId="9" fillId="4" borderId="18" xfId="2" applyFont="1" applyFill="1" applyBorder="1" applyAlignment="1">
      <alignment horizontal="center" vertical="center" wrapText="1"/>
    </xf>
    <xf numFmtId="49" fontId="9" fillId="4" borderId="1" xfId="0" applyNumberFormat="1" applyFont="1" applyFill="1" applyBorder="1" applyAlignment="1">
      <alignment horizontal="center" vertical="center" wrapText="1"/>
    </xf>
    <xf numFmtId="49" fontId="9" fillId="4" borderId="2" xfId="0" applyNumberFormat="1" applyFont="1" applyFill="1" applyBorder="1" applyAlignment="1">
      <alignment horizontal="center" vertical="center" wrapText="1"/>
    </xf>
    <xf numFmtId="49" fontId="9" fillId="4" borderId="3" xfId="0" applyNumberFormat="1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right" vertical="center" wrapText="1"/>
    </xf>
    <xf numFmtId="49" fontId="3" fillId="4" borderId="2" xfId="0" applyNumberFormat="1" applyFont="1" applyFill="1" applyBorder="1" applyAlignment="1">
      <alignment horizontal="right" vertical="center" wrapText="1"/>
    </xf>
    <xf numFmtId="49" fontId="3" fillId="4" borderId="3" xfId="0" applyNumberFormat="1" applyFont="1" applyFill="1" applyBorder="1" applyAlignment="1">
      <alignment horizontal="right" vertical="center" wrapText="1"/>
    </xf>
    <xf numFmtId="0" fontId="3" fillId="2" borderId="1" xfId="2" applyFont="1" applyFill="1" applyBorder="1" applyAlignment="1">
      <alignment horizontal="center" vertical="center" wrapText="1"/>
    </xf>
    <xf numFmtId="0" fontId="3" fillId="2" borderId="2" xfId="2" applyFont="1" applyFill="1" applyBorder="1" applyAlignment="1">
      <alignment horizontal="center" vertical="center" wrapText="1"/>
    </xf>
    <xf numFmtId="0" fontId="3" fillId="2" borderId="3" xfId="2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3" fillId="6" borderId="23" xfId="0" applyFont="1" applyFill="1" applyBorder="1" applyAlignment="1">
      <alignment horizontal="center" vertical="center" wrapText="1"/>
    </xf>
    <xf numFmtId="0" fontId="3" fillId="6" borderId="24" xfId="0" applyFont="1" applyFill="1" applyBorder="1" applyAlignment="1">
      <alignment horizontal="center" vertical="center" wrapText="1"/>
    </xf>
    <xf numFmtId="0" fontId="3" fillId="5" borderId="25" xfId="0" applyFont="1" applyFill="1" applyBorder="1" applyAlignment="1">
      <alignment horizontal="center" vertical="center" wrapText="1"/>
    </xf>
    <xf numFmtId="0" fontId="3" fillId="5" borderId="26" xfId="0" applyFont="1" applyFill="1" applyBorder="1" applyAlignment="1">
      <alignment horizontal="center" vertical="center" wrapText="1"/>
    </xf>
    <xf numFmtId="0" fontId="9" fillId="5" borderId="27" xfId="0" applyFont="1" applyFill="1" applyBorder="1" applyAlignment="1">
      <alignment horizontal="center" vertical="center" wrapText="1"/>
    </xf>
    <xf numFmtId="0" fontId="9" fillId="5" borderId="28" xfId="0" applyFont="1" applyFill="1" applyBorder="1" applyAlignment="1">
      <alignment horizontal="center" vertical="center" wrapText="1"/>
    </xf>
    <xf numFmtId="0" fontId="9" fillId="5" borderId="13" xfId="0" applyFont="1" applyFill="1" applyBorder="1" applyAlignment="1">
      <alignment horizontal="center" vertical="center" wrapText="1"/>
    </xf>
    <xf numFmtId="0" fontId="3" fillId="8" borderId="2" xfId="2" applyFont="1" applyFill="1" applyBorder="1" applyAlignment="1">
      <alignment horizontal="center" vertical="center" wrapText="1"/>
    </xf>
    <xf numFmtId="0" fontId="3" fillId="8" borderId="3" xfId="2" applyFont="1" applyFill="1" applyBorder="1" applyAlignment="1">
      <alignment horizontal="center" vertical="center" wrapText="1"/>
    </xf>
    <xf numFmtId="0" fontId="3" fillId="8" borderId="4" xfId="2" applyFont="1" applyFill="1" applyBorder="1" applyAlignment="1">
      <alignment horizontal="center" vertical="center" wrapText="1"/>
    </xf>
    <xf numFmtId="0" fontId="3" fillId="8" borderId="5" xfId="2" applyFont="1" applyFill="1" applyBorder="1" applyAlignment="1">
      <alignment horizontal="center" vertical="center" wrapText="1"/>
    </xf>
    <xf numFmtId="0" fontId="3" fillId="3" borderId="1" xfId="2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center"/>
    </xf>
  </cellXfs>
  <cellStyles count="4">
    <cellStyle name="Moneda" xfId="1" builtinId="4"/>
    <cellStyle name="Normal" xfId="0" builtinId="0"/>
    <cellStyle name="Normal 13" xfId="2" xr:uid="{00000000-0005-0000-0000-000002000000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231322</xdr:colOff>
      <xdr:row>2</xdr:row>
      <xdr:rowOff>303310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4D094389-852F-4558-A3AB-41EE0FD285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40922" cy="6747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231322</xdr:colOff>
      <xdr:row>2</xdr:row>
      <xdr:rowOff>274735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02B86E8-2B2C-4E4E-AD1F-9FB019CDF8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43643" cy="682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2"/>
  <sheetViews>
    <sheetView tabSelected="1" view="pageBreakPreview" zoomScale="70" zoomScaleNormal="70" zoomScaleSheetLayoutView="70" workbookViewId="0">
      <selection activeCell="C8" sqref="C8"/>
    </sheetView>
  </sheetViews>
  <sheetFormatPr baseColWidth="10" defaultColWidth="9.140625" defaultRowHeight="15" x14ac:dyDescent="0.25"/>
  <cols>
    <col min="2" max="2" width="102.42578125" customWidth="1"/>
    <col min="3" max="3" width="10.28515625" customWidth="1"/>
    <col min="4" max="4" width="13.42578125" customWidth="1"/>
    <col min="5" max="5" width="21.140625" customWidth="1"/>
    <col min="6" max="6" width="33.85546875" customWidth="1"/>
  </cols>
  <sheetData>
    <row r="1" spans="1:12" ht="15.75" x14ac:dyDescent="0.25">
      <c r="A1" s="86"/>
      <c r="B1" s="87"/>
      <c r="C1" s="90"/>
      <c r="D1" s="90"/>
      <c r="E1" s="90"/>
      <c r="F1" s="91"/>
    </row>
    <row r="2" spans="1:12" ht="15.75" x14ac:dyDescent="0.25">
      <c r="A2" s="88"/>
      <c r="B2" s="89"/>
      <c r="C2" s="92"/>
      <c r="D2" s="92"/>
      <c r="E2" s="92"/>
      <c r="F2" s="93"/>
    </row>
    <row r="3" spans="1:12" ht="32.25" customHeight="1" thickBot="1" x14ac:dyDescent="0.3">
      <c r="A3" s="94" t="s">
        <v>22</v>
      </c>
      <c r="B3" s="95"/>
      <c r="C3" s="96" t="s">
        <v>23</v>
      </c>
      <c r="D3" s="96"/>
      <c r="E3" s="16" t="s">
        <v>24</v>
      </c>
      <c r="F3" s="18" t="s">
        <v>25</v>
      </c>
    </row>
    <row r="4" spans="1:12" ht="45" customHeight="1" thickBot="1" x14ac:dyDescent="0.3">
      <c r="A4" s="83" t="s">
        <v>0</v>
      </c>
      <c r="B4" s="84"/>
      <c r="C4" s="84"/>
      <c r="D4" s="84"/>
      <c r="E4" s="84"/>
      <c r="F4" s="85"/>
      <c r="L4" s="52"/>
    </row>
    <row r="5" spans="1:12" ht="25.5" customHeight="1" thickBot="1" x14ac:dyDescent="0.3">
      <c r="A5" s="66" t="s">
        <v>1</v>
      </c>
      <c r="B5" s="67"/>
      <c r="C5" s="67"/>
      <c r="D5" s="67"/>
      <c r="E5" s="67"/>
      <c r="F5" s="68"/>
    </row>
    <row r="6" spans="1:12" ht="16.5" thickBot="1" x14ac:dyDescent="0.3">
      <c r="A6" s="37"/>
      <c r="B6" s="38"/>
      <c r="C6" s="38"/>
      <c r="D6" s="38"/>
      <c r="E6" s="69"/>
      <c r="F6" s="70"/>
    </row>
    <row r="7" spans="1:12" ht="15.75" x14ac:dyDescent="0.25">
      <c r="A7" s="3" t="s">
        <v>2</v>
      </c>
      <c r="B7" s="4" t="s">
        <v>3</v>
      </c>
      <c r="C7" s="4" t="s">
        <v>4</v>
      </c>
      <c r="D7" s="4" t="s">
        <v>5</v>
      </c>
      <c r="E7" s="4" t="s">
        <v>6</v>
      </c>
      <c r="F7" s="19" t="s">
        <v>7</v>
      </c>
    </row>
    <row r="8" spans="1:12" ht="240" x14ac:dyDescent="0.25">
      <c r="A8" s="39">
        <v>1</v>
      </c>
      <c r="B8" s="17" t="s">
        <v>49</v>
      </c>
      <c r="C8" s="5" t="s">
        <v>8</v>
      </c>
      <c r="D8" s="5">
        <v>14</v>
      </c>
      <c r="E8" s="6">
        <f>+ANALISIS!V8</f>
        <v>5831492.0150000006</v>
      </c>
      <c r="F8" s="20">
        <f>+E8*$D8</f>
        <v>81640888.210000008</v>
      </c>
    </row>
    <row r="9" spans="1:12" ht="165.75" x14ac:dyDescent="0.25">
      <c r="A9" s="25">
        <v>2</v>
      </c>
      <c r="B9" s="9" t="s">
        <v>44</v>
      </c>
      <c r="C9" s="8" t="s">
        <v>8</v>
      </c>
      <c r="D9" s="8">
        <v>19</v>
      </c>
      <c r="E9" s="6">
        <v>2536734.856355594</v>
      </c>
      <c r="F9" s="20">
        <f>+E9*$D9</f>
        <v>48197962.270756289</v>
      </c>
    </row>
    <row r="10" spans="1:12" ht="15.75" x14ac:dyDescent="0.25">
      <c r="A10" s="71" t="s">
        <v>9</v>
      </c>
      <c r="B10" s="72"/>
      <c r="C10" s="72"/>
      <c r="D10" s="72"/>
      <c r="E10" s="72"/>
      <c r="F10" s="73"/>
    </row>
    <row r="11" spans="1:12" ht="114.75" x14ac:dyDescent="0.25">
      <c r="A11" s="39">
        <v>3</v>
      </c>
      <c r="B11" s="7" t="s">
        <v>48</v>
      </c>
      <c r="C11" s="10" t="s">
        <v>8</v>
      </c>
      <c r="D11" s="11">
        <v>9</v>
      </c>
      <c r="E11" s="6">
        <f>+ANALISIS!V11</f>
        <v>1714245</v>
      </c>
      <c r="F11" s="20">
        <f t="shared" ref="F11:F16" si="0">+E11*$D11</f>
        <v>15428205</v>
      </c>
    </row>
    <row r="12" spans="1:12" ht="51" x14ac:dyDescent="0.25">
      <c r="A12" s="39">
        <v>4</v>
      </c>
      <c r="B12" s="12" t="s">
        <v>47</v>
      </c>
      <c r="C12" s="10" t="s">
        <v>8</v>
      </c>
      <c r="D12" s="11">
        <v>9</v>
      </c>
      <c r="E12" s="6">
        <f>+ANALISIS!V12</f>
        <v>313835</v>
      </c>
      <c r="F12" s="20">
        <f t="shared" si="0"/>
        <v>2824515</v>
      </c>
    </row>
    <row r="13" spans="1:12" ht="38.25" x14ac:dyDescent="0.25">
      <c r="A13" s="40">
        <v>5</v>
      </c>
      <c r="B13" s="13" t="s">
        <v>12</v>
      </c>
      <c r="C13" s="14" t="s">
        <v>13</v>
      </c>
      <c r="D13" s="15">
        <v>270</v>
      </c>
      <c r="E13" s="6">
        <f>+ANALISIS!V13</f>
        <v>5442.585</v>
      </c>
      <c r="F13" s="20">
        <f t="shared" si="0"/>
        <v>1469497.95</v>
      </c>
    </row>
    <row r="14" spans="1:12" ht="51" x14ac:dyDescent="0.25">
      <c r="A14" s="25">
        <v>6</v>
      </c>
      <c r="B14" s="7" t="s">
        <v>45</v>
      </c>
      <c r="C14" s="11" t="s">
        <v>13</v>
      </c>
      <c r="D14" s="11">
        <v>230</v>
      </c>
      <c r="E14" s="6">
        <f>+ANALISIS!V14</f>
        <v>44386.28</v>
      </c>
      <c r="F14" s="20">
        <f t="shared" si="0"/>
        <v>10208844.4</v>
      </c>
    </row>
    <row r="15" spans="1:12" ht="51" x14ac:dyDescent="0.25">
      <c r="A15" s="39">
        <v>7</v>
      </c>
      <c r="B15" s="13" t="s">
        <v>46</v>
      </c>
      <c r="C15" s="11" t="s">
        <v>8</v>
      </c>
      <c r="D15" s="11">
        <v>14</v>
      </c>
      <c r="E15" s="6">
        <f>+ANALISIS!V15</f>
        <v>510787.36499999999</v>
      </c>
      <c r="F15" s="20">
        <f t="shared" si="0"/>
        <v>7151023.1099999994</v>
      </c>
    </row>
    <row r="16" spans="1:12" ht="63.75" x14ac:dyDescent="0.25">
      <c r="A16" s="25">
        <v>8</v>
      </c>
      <c r="B16" s="13" t="s">
        <v>16</v>
      </c>
      <c r="C16" s="11" t="s">
        <v>8</v>
      </c>
      <c r="D16" s="11">
        <v>28</v>
      </c>
      <c r="E16" s="6">
        <f>+ANALISIS!V16</f>
        <v>40938.962500000001</v>
      </c>
      <c r="F16" s="20">
        <f t="shared" si="0"/>
        <v>1146290.95</v>
      </c>
    </row>
    <row r="17" spans="1:6" ht="16.5" thickBot="1" x14ac:dyDescent="0.3">
      <c r="A17" s="74" t="s">
        <v>17</v>
      </c>
      <c r="B17" s="75"/>
      <c r="C17" s="75"/>
      <c r="D17" s="75"/>
      <c r="E17" s="76"/>
      <c r="F17" s="56">
        <f>SUM(F8:F16)</f>
        <v>168067226.89075625</v>
      </c>
    </row>
    <row r="18" spans="1:6" ht="16.5" thickBot="1" x14ac:dyDescent="0.3">
      <c r="A18" s="77" t="s">
        <v>18</v>
      </c>
      <c r="B18" s="78"/>
      <c r="C18" s="78"/>
      <c r="D18" s="78"/>
      <c r="E18" s="79"/>
      <c r="F18" s="53">
        <f>(F17)*19/100</f>
        <v>31932773.109243687</v>
      </c>
    </row>
    <row r="19" spans="1:6" ht="16.5" thickBot="1" x14ac:dyDescent="0.3">
      <c r="A19" s="80" t="s">
        <v>19</v>
      </c>
      <c r="B19" s="81"/>
      <c r="C19" s="81"/>
      <c r="D19" s="81"/>
      <c r="E19" s="82"/>
      <c r="F19" s="55">
        <f>(F17+F18)</f>
        <v>199999999.99999994</v>
      </c>
    </row>
    <row r="20" spans="1:6" ht="51.75" customHeight="1" x14ac:dyDescent="0.25">
      <c r="A20" s="57" t="s">
        <v>20</v>
      </c>
      <c r="B20" s="58"/>
      <c r="C20" s="58"/>
      <c r="D20" s="58"/>
      <c r="E20" s="58"/>
      <c r="F20" s="59"/>
    </row>
    <row r="21" spans="1:6" ht="42.75" customHeight="1" x14ac:dyDescent="0.25">
      <c r="A21" s="60" t="s">
        <v>21</v>
      </c>
      <c r="B21" s="61"/>
      <c r="C21" s="61"/>
      <c r="D21" s="61"/>
      <c r="E21" s="61"/>
      <c r="F21" s="62"/>
    </row>
    <row r="22" spans="1:6" ht="72.75" customHeight="1" thickBot="1" x14ac:dyDescent="0.3">
      <c r="A22" s="63"/>
      <c r="B22" s="64"/>
      <c r="C22" s="64"/>
      <c r="D22" s="64"/>
      <c r="E22" s="64"/>
      <c r="F22" s="65"/>
    </row>
  </sheetData>
  <mergeCells count="14">
    <mergeCell ref="A4:F4"/>
    <mergeCell ref="A1:B2"/>
    <mergeCell ref="C1:F1"/>
    <mergeCell ref="C2:F2"/>
    <mergeCell ref="A3:B3"/>
    <mergeCell ref="C3:D3"/>
    <mergeCell ref="A20:F20"/>
    <mergeCell ref="A21:F22"/>
    <mergeCell ref="A5:F5"/>
    <mergeCell ref="E6:F6"/>
    <mergeCell ref="A10:F10"/>
    <mergeCell ref="A17:E17"/>
    <mergeCell ref="A18:E18"/>
    <mergeCell ref="A19:E19"/>
  </mergeCells>
  <pageMargins left="0.7" right="0.7" top="0.75" bottom="0.75" header="0.3" footer="0.3"/>
  <pageSetup scale="47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35"/>
  <sheetViews>
    <sheetView topLeftCell="A7" zoomScale="70" zoomScaleNormal="70" workbookViewId="0">
      <selection activeCell="W15" sqref="W15"/>
    </sheetView>
  </sheetViews>
  <sheetFormatPr baseColWidth="10" defaultColWidth="9.140625" defaultRowHeight="15" x14ac:dyDescent="0.25"/>
  <cols>
    <col min="2" max="2" width="102.42578125" customWidth="1"/>
    <col min="3" max="3" width="10.28515625" customWidth="1"/>
    <col min="4" max="4" width="13.42578125" customWidth="1"/>
    <col min="5" max="5" width="21.140625" customWidth="1"/>
    <col min="6" max="6" width="22" style="21" hidden="1" customWidth="1"/>
    <col min="7" max="7" width="22" style="21" customWidth="1"/>
    <col min="8" max="8" width="22" style="21" hidden="1" customWidth="1"/>
    <col min="9" max="9" width="22" style="21" customWidth="1"/>
    <col min="10" max="10" width="22" style="21" hidden="1" customWidth="1"/>
    <col min="11" max="11" width="26.7109375" hidden="1" customWidth="1"/>
    <col min="12" max="12" width="26.7109375" customWidth="1"/>
    <col min="13" max="13" width="24" hidden="1" customWidth="1"/>
    <col min="14" max="14" width="21.85546875" hidden="1" customWidth="1"/>
    <col min="15" max="15" width="21.85546875" customWidth="1"/>
    <col min="16" max="16" width="21.42578125" hidden="1" customWidth="1"/>
    <col min="17" max="17" width="18.85546875" style="41" bestFit="1" customWidth="1"/>
    <col min="18" max="18" width="25.42578125" bestFit="1" customWidth="1"/>
    <col min="20" max="21" width="16.85546875" bestFit="1" customWidth="1"/>
    <col min="22" max="22" width="22.140625" customWidth="1"/>
    <col min="23" max="23" width="26.28515625" customWidth="1"/>
  </cols>
  <sheetData>
    <row r="1" spans="1:23" ht="15.75" x14ac:dyDescent="0.25">
      <c r="A1" s="86"/>
      <c r="B1" s="87"/>
      <c r="C1" s="90"/>
      <c r="D1" s="90"/>
      <c r="E1" s="90"/>
      <c r="F1" s="91"/>
      <c r="G1" s="26"/>
      <c r="H1" s="26"/>
      <c r="I1" s="26"/>
      <c r="J1" s="26"/>
    </row>
    <row r="2" spans="1:23" ht="15.75" x14ac:dyDescent="0.25">
      <c r="A2" s="88"/>
      <c r="B2" s="89"/>
      <c r="C2" s="92"/>
      <c r="D2" s="92"/>
      <c r="E2" s="92"/>
      <c r="F2" s="93"/>
      <c r="G2" s="27"/>
      <c r="H2" s="27"/>
      <c r="I2" s="27"/>
      <c r="J2" s="27"/>
    </row>
    <row r="3" spans="1:23" ht="26.25" customHeight="1" thickBot="1" x14ac:dyDescent="0.3">
      <c r="A3" s="94" t="s">
        <v>22</v>
      </c>
      <c r="B3" s="95"/>
      <c r="C3" s="96" t="s">
        <v>23</v>
      </c>
      <c r="D3" s="96"/>
      <c r="E3" s="16" t="s">
        <v>24</v>
      </c>
      <c r="F3" s="18" t="s">
        <v>25</v>
      </c>
      <c r="G3" s="28"/>
      <c r="H3" s="28"/>
      <c r="I3" s="28"/>
      <c r="J3" s="28"/>
      <c r="M3" t="s">
        <v>38</v>
      </c>
      <c r="P3" s="42">
        <v>1.61E-2</v>
      </c>
    </row>
    <row r="4" spans="1:23" ht="71.25" customHeight="1" thickBot="1" x14ac:dyDescent="0.3">
      <c r="A4" s="83" t="s">
        <v>0</v>
      </c>
      <c r="B4" s="84"/>
      <c r="C4" s="84"/>
      <c r="D4" s="84"/>
      <c r="E4" s="84"/>
      <c r="F4" s="85"/>
      <c r="G4" s="29"/>
      <c r="H4" s="29"/>
      <c r="I4" s="29"/>
      <c r="J4" s="29"/>
    </row>
    <row r="5" spans="1:23" ht="16.5" thickBot="1" x14ac:dyDescent="0.3">
      <c r="A5" s="66" t="s">
        <v>1</v>
      </c>
      <c r="B5" s="67"/>
      <c r="C5" s="67"/>
      <c r="D5" s="67"/>
      <c r="E5" s="67"/>
      <c r="F5" s="68"/>
      <c r="G5" s="2"/>
      <c r="H5" s="2"/>
      <c r="I5" s="38"/>
      <c r="J5" s="38"/>
      <c r="K5" s="99" t="s">
        <v>27</v>
      </c>
      <c r="L5" s="100"/>
      <c r="M5" s="100"/>
      <c r="N5" s="100"/>
      <c r="O5" s="100"/>
      <c r="P5" s="100"/>
      <c r="Q5" s="66"/>
      <c r="R5" s="67"/>
      <c r="V5" s="102" t="s">
        <v>37</v>
      </c>
      <c r="W5" s="102"/>
    </row>
    <row r="6" spans="1:23" ht="16.5" thickBot="1" x14ac:dyDescent="0.3">
      <c r="A6" s="1"/>
      <c r="B6" s="2"/>
      <c r="C6" s="2"/>
      <c r="D6" s="2"/>
      <c r="E6" s="69" t="s">
        <v>26</v>
      </c>
      <c r="F6" s="70"/>
      <c r="G6" s="101" t="s">
        <v>32</v>
      </c>
      <c r="H6" s="69"/>
      <c r="I6" s="101" t="s">
        <v>31</v>
      </c>
      <c r="J6" s="70"/>
      <c r="K6" s="97" t="s">
        <v>29</v>
      </c>
      <c r="L6" s="97"/>
      <c r="M6" s="98"/>
      <c r="N6" s="97" t="s">
        <v>30</v>
      </c>
      <c r="O6" s="97"/>
      <c r="P6" s="97"/>
      <c r="Q6" s="49" t="s">
        <v>33</v>
      </c>
      <c r="R6" s="47" t="s">
        <v>34</v>
      </c>
      <c r="T6" s="47" t="s">
        <v>35</v>
      </c>
      <c r="U6" s="47" t="s">
        <v>36</v>
      </c>
      <c r="V6" s="51" t="s">
        <v>6</v>
      </c>
      <c r="W6" s="51" t="s">
        <v>40</v>
      </c>
    </row>
    <row r="7" spans="1:23" ht="28.5" customHeight="1" x14ac:dyDescent="0.25">
      <c r="A7" s="3" t="s">
        <v>2</v>
      </c>
      <c r="B7" s="4" t="s">
        <v>3</v>
      </c>
      <c r="C7" s="4" t="s">
        <v>4</v>
      </c>
      <c r="D7" s="4" t="s">
        <v>5</v>
      </c>
      <c r="E7" s="4" t="s">
        <v>6</v>
      </c>
      <c r="F7" s="19" t="s">
        <v>7</v>
      </c>
      <c r="G7" s="4" t="s">
        <v>6</v>
      </c>
      <c r="H7" s="19" t="s">
        <v>7</v>
      </c>
      <c r="I7" s="4" t="s">
        <v>6</v>
      </c>
      <c r="J7" s="19" t="s">
        <v>7</v>
      </c>
      <c r="K7" s="4" t="s">
        <v>6</v>
      </c>
      <c r="L7" s="43" t="s">
        <v>39</v>
      </c>
      <c r="M7" s="19" t="s">
        <v>7</v>
      </c>
      <c r="N7" s="4" t="s">
        <v>6</v>
      </c>
      <c r="O7" s="43" t="s">
        <v>39</v>
      </c>
      <c r="P7" s="45" t="s">
        <v>7</v>
      </c>
      <c r="Q7" s="49"/>
      <c r="R7" s="47"/>
      <c r="T7" s="47"/>
      <c r="U7" s="47"/>
      <c r="V7" s="47"/>
      <c r="W7" s="47"/>
    </row>
    <row r="8" spans="1:23" ht="258.75" customHeight="1" x14ac:dyDescent="0.25">
      <c r="A8" s="39">
        <v>1</v>
      </c>
      <c r="B8" s="17" t="s">
        <v>28</v>
      </c>
      <c r="C8" s="5" t="s">
        <v>8</v>
      </c>
      <c r="D8" s="5">
        <v>14</v>
      </c>
      <c r="E8" s="6">
        <v>6368284.0300000003</v>
      </c>
      <c r="F8" s="20">
        <f>+E8*$D$8</f>
        <v>89155976.420000002</v>
      </c>
      <c r="G8" s="30">
        <v>5294700</v>
      </c>
      <c r="H8" s="20">
        <f>+G8*$D8</f>
        <v>74125800</v>
      </c>
      <c r="I8" s="30">
        <v>7977500</v>
      </c>
      <c r="J8" s="20">
        <f>+I8*$D8</f>
        <v>111685000</v>
      </c>
      <c r="K8" s="6"/>
      <c r="L8" s="44"/>
      <c r="M8" s="20"/>
      <c r="N8" s="6"/>
      <c r="O8" s="44"/>
      <c r="P8" s="30"/>
      <c r="Q8" s="50">
        <f>+AVERAGE(E8,G8,I8)</f>
        <v>6546828.0100000007</v>
      </c>
      <c r="R8" s="49">
        <f>+STDEV(E8,G8,I8)</f>
        <v>1350282.3499534014</v>
      </c>
      <c r="S8" s="41"/>
      <c r="T8" s="50">
        <f>+Q8-R8</f>
        <v>5196545.6600465998</v>
      </c>
      <c r="U8" s="50">
        <f>+R8+Q8</f>
        <v>7897110.3599534016</v>
      </c>
      <c r="V8" s="50">
        <f>+AVERAGE(E8,G8)</f>
        <v>5831492.0150000006</v>
      </c>
      <c r="W8" s="50">
        <f>+V8*D8</f>
        <v>81640888.210000008</v>
      </c>
    </row>
    <row r="9" spans="1:23" ht="165.75" x14ac:dyDescent="0.25">
      <c r="A9" s="25">
        <v>3</v>
      </c>
      <c r="B9" s="9" t="s">
        <v>43</v>
      </c>
      <c r="C9" s="8" t="s">
        <v>8</v>
      </c>
      <c r="D9" s="8">
        <v>19</v>
      </c>
      <c r="E9" s="6">
        <v>2103014.73</v>
      </c>
      <c r="F9" s="20">
        <f>+E9*$D$8</f>
        <v>29442206.219999999</v>
      </c>
      <c r="G9" s="30">
        <v>3034600</v>
      </c>
      <c r="H9" s="20">
        <f>+G9*$D9</f>
        <v>57657400</v>
      </c>
      <c r="I9" s="30">
        <v>3377570</v>
      </c>
      <c r="J9" s="20">
        <f>+I9*$D9</f>
        <v>64173830</v>
      </c>
      <c r="K9" s="6">
        <v>2345000</v>
      </c>
      <c r="L9" s="44">
        <f>+K9*$P$3+K9</f>
        <v>2382754.5</v>
      </c>
      <c r="M9" s="20">
        <f>+K9*$D9</f>
        <v>44555000</v>
      </c>
      <c r="N9" s="6">
        <v>2567860</v>
      </c>
      <c r="O9" s="44">
        <f>+N9*$P$3+N9</f>
        <v>2609202.5460000001</v>
      </c>
      <c r="P9" s="30">
        <f>+N9*$D9</f>
        <v>48789340</v>
      </c>
      <c r="Q9" s="50">
        <f>+AVERAGE(E9,G9,L9,O9,I9)</f>
        <v>2701428.3552000001</v>
      </c>
      <c r="R9" s="49">
        <f>+STDEV(E9,G9,L9,O9,I9)</f>
        <v>509001.07107628434</v>
      </c>
      <c r="S9" s="41"/>
      <c r="T9" s="50">
        <f t="shared" ref="T9:T16" si="0">+Q9-R9</f>
        <v>2192427.2841237159</v>
      </c>
      <c r="U9" s="50">
        <f t="shared" ref="U9:U16" si="1">+R9+Q9</f>
        <v>3210429.4262762843</v>
      </c>
      <c r="V9" s="50">
        <f>+AVERAGE(E9,L9,O9,G9)</f>
        <v>2532392.9440000001</v>
      </c>
      <c r="W9" s="50">
        <f>+V9*D9</f>
        <v>48115465.936000004</v>
      </c>
    </row>
    <row r="10" spans="1:23" ht="15.75" x14ac:dyDescent="0.25">
      <c r="A10" s="71" t="s">
        <v>9</v>
      </c>
      <c r="B10" s="72"/>
      <c r="C10" s="72"/>
      <c r="D10" s="72"/>
      <c r="E10" s="72"/>
      <c r="F10" s="73"/>
      <c r="G10" s="31"/>
      <c r="H10" s="31"/>
      <c r="I10" s="31"/>
      <c r="J10" s="31"/>
      <c r="Q10" s="49"/>
      <c r="R10" s="49"/>
      <c r="S10" s="41"/>
      <c r="T10" s="49"/>
      <c r="U10" s="49"/>
      <c r="V10" s="50"/>
      <c r="W10" s="50"/>
    </row>
    <row r="11" spans="1:23" ht="127.5" x14ac:dyDescent="0.25">
      <c r="A11" s="39">
        <v>5</v>
      </c>
      <c r="B11" s="7" t="s">
        <v>10</v>
      </c>
      <c r="C11" s="10" t="s">
        <v>8</v>
      </c>
      <c r="D11" s="11">
        <v>9</v>
      </c>
      <c r="E11" s="6">
        <v>1892857.14</v>
      </c>
      <c r="F11" s="20">
        <f t="shared" ref="F11:F16" si="2">+E11*$D$8</f>
        <v>26499999.959999997</v>
      </c>
      <c r="G11" s="30">
        <v>1672000</v>
      </c>
      <c r="H11" s="20">
        <f t="shared" ref="H11:J16" si="3">+G11*$D11</f>
        <v>15048000</v>
      </c>
      <c r="I11" s="30">
        <v>1756490</v>
      </c>
      <c r="J11" s="20">
        <f t="shared" si="3"/>
        <v>15808410</v>
      </c>
      <c r="K11" s="6"/>
      <c r="L11" s="6"/>
      <c r="M11" s="6"/>
      <c r="N11" s="6"/>
      <c r="O11" s="6"/>
      <c r="P11" s="44"/>
      <c r="Q11" s="50">
        <f>+AVERAGE(E11,G11,I11)</f>
        <v>1773782.38</v>
      </c>
      <c r="R11" s="49">
        <f>+STDEV(E11,G11,I11)</f>
        <v>111439.39553314702</v>
      </c>
      <c r="S11" s="41"/>
      <c r="T11" s="50">
        <f t="shared" si="0"/>
        <v>1662342.9844668529</v>
      </c>
      <c r="U11" s="50">
        <f t="shared" si="1"/>
        <v>1885221.7755331469</v>
      </c>
      <c r="V11" s="50">
        <f>+AVERAGE(I11,G11)</f>
        <v>1714245</v>
      </c>
      <c r="W11" s="50">
        <f t="shared" ref="W11:W16" si="4">+V11*D11</f>
        <v>15428205</v>
      </c>
    </row>
    <row r="12" spans="1:23" ht="63.75" x14ac:dyDescent="0.25">
      <c r="A12" s="39">
        <v>6</v>
      </c>
      <c r="B12" s="12" t="s">
        <v>11</v>
      </c>
      <c r="C12" s="10" t="s">
        <v>8</v>
      </c>
      <c r="D12" s="11">
        <v>9</v>
      </c>
      <c r="E12" s="6">
        <v>300000</v>
      </c>
      <c r="F12" s="20">
        <f t="shared" si="2"/>
        <v>4200000</v>
      </c>
      <c r="G12" s="30">
        <v>445900</v>
      </c>
      <c r="H12" s="20">
        <f t="shared" si="3"/>
        <v>4013100</v>
      </c>
      <c r="I12" s="30">
        <v>327670</v>
      </c>
      <c r="J12" s="20">
        <f t="shared" si="3"/>
        <v>2949030</v>
      </c>
      <c r="K12" s="6"/>
      <c r="L12" s="6"/>
      <c r="M12" s="6"/>
      <c r="N12" s="6"/>
      <c r="O12" s="6"/>
      <c r="P12" s="44"/>
      <c r="Q12" s="50">
        <f>+AVERAGE(E12,G12,I12)</f>
        <v>357856.66666666669</v>
      </c>
      <c r="R12" s="49">
        <f>+STDEV(E12,G12,I12)</f>
        <v>77492.765038636629</v>
      </c>
      <c r="S12" s="41"/>
      <c r="T12" s="50">
        <f t="shared" si="0"/>
        <v>280363.90162803006</v>
      </c>
      <c r="U12" s="50">
        <f t="shared" si="1"/>
        <v>435349.43170530332</v>
      </c>
      <c r="V12" s="50">
        <f>+AVERAGE(E12,I12)</f>
        <v>313835</v>
      </c>
      <c r="W12" s="50">
        <f t="shared" si="4"/>
        <v>2824515</v>
      </c>
    </row>
    <row r="13" spans="1:23" ht="38.25" x14ac:dyDescent="0.25">
      <c r="A13" s="40">
        <v>7</v>
      </c>
      <c r="B13" s="13" t="s">
        <v>12</v>
      </c>
      <c r="C13" s="14" t="s">
        <v>13</v>
      </c>
      <c r="D13" s="15">
        <v>270</v>
      </c>
      <c r="E13" s="6">
        <v>5485.17</v>
      </c>
      <c r="F13" s="20">
        <f t="shared" si="2"/>
        <v>76792.38</v>
      </c>
      <c r="G13" s="30">
        <v>5400</v>
      </c>
      <c r="H13" s="20">
        <f t="shared" si="3"/>
        <v>1458000</v>
      </c>
      <c r="I13" s="30">
        <v>2500</v>
      </c>
      <c r="J13" s="20">
        <f t="shared" si="3"/>
        <v>675000</v>
      </c>
      <c r="K13" s="6"/>
      <c r="L13" s="6"/>
      <c r="M13" s="6"/>
      <c r="N13" s="6"/>
      <c r="O13" s="6"/>
      <c r="P13" s="44"/>
      <c r="Q13" s="50">
        <f>+AVERAGE(E13,G13,I13)</f>
        <v>4461.7233333333334</v>
      </c>
      <c r="R13" s="49">
        <f>+STDEV(E13,G13,I13)</f>
        <v>1699.4358798240471</v>
      </c>
      <c r="S13" s="41"/>
      <c r="T13" s="50">
        <f t="shared" si="0"/>
        <v>2762.287453509286</v>
      </c>
      <c r="U13" s="50">
        <f t="shared" si="1"/>
        <v>6161.1592131573807</v>
      </c>
      <c r="V13" s="50">
        <f>+AVERAGE(E13,G13)</f>
        <v>5442.585</v>
      </c>
      <c r="W13" s="50">
        <f t="shared" si="4"/>
        <v>1469497.95</v>
      </c>
    </row>
    <row r="14" spans="1:23" ht="51" x14ac:dyDescent="0.25">
      <c r="A14" s="25">
        <v>8</v>
      </c>
      <c r="B14" s="7" t="s">
        <v>14</v>
      </c>
      <c r="C14" s="11" t="s">
        <v>13</v>
      </c>
      <c r="D14" s="11">
        <v>230</v>
      </c>
      <c r="E14" s="6">
        <v>26877.34</v>
      </c>
      <c r="F14" s="20">
        <f t="shared" si="2"/>
        <v>376282.76</v>
      </c>
      <c r="G14" s="30">
        <v>39100</v>
      </c>
      <c r="H14" s="20">
        <f t="shared" si="3"/>
        <v>8993000</v>
      </c>
      <c r="I14" s="30">
        <v>65400</v>
      </c>
      <c r="J14" s="20">
        <f t="shared" si="3"/>
        <v>15042000</v>
      </c>
      <c r="K14" s="6">
        <v>52000</v>
      </c>
      <c r="L14" s="44">
        <f>+K14*$P$3+K14</f>
        <v>52837.2</v>
      </c>
      <c r="M14" s="20">
        <f>+K14*$D14</f>
        <v>11960000</v>
      </c>
      <c r="N14" s="6">
        <v>57800</v>
      </c>
      <c r="O14" s="44">
        <f>+N14*$P$3+N14</f>
        <v>58730.58</v>
      </c>
      <c r="P14" s="30">
        <f>+N14*$D14</f>
        <v>13294000</v>
      </c>
      <c r="Q14" s="50">
        <f>+AVERAGE(E14,G14,L14,O14,I14)</f>
        <v>48589.023999999998</v>
      </c>
      <c r="R14" s="49">
        <f>+STDEV(E14,G14,L14,O14,I14)</f>
        <v>15531.788935028693</v>
      </c>
      <c r="S14" s="41"/>
      <c r="T14" s="50">
        <f t="shared" si="0"/>
        <v>33057.235064971304</v>
      </c>
      <c r="U14" s="50">
        <f t="shared" si="1"/>
        <v>64120.812935028691</v>
      </c>
      <c r="V14" s="50">
        <f>+AVERAGE(E14,G14,L14,O14)</f>
        <v>44386.28</v>
      </c>
      <c r="W14" s="50">
        <f t="shared" si="4"/>
        <v>10208844.4</v>
      </c>
    </row>
    <row r="15" spans="1:23" ht="51" x14ac:dyDescent="0.25">
      <c r="A15" s="39">
        <v>9</v>
      </c>
      <c r="B15" s="13" t="s">
        <v>15</v>
      </c>
      <c r="C15" s="11" t="s">
        <v>8</v>
      </c>
      <c r="D15" s="11">
        <v>14</v>
      </c>
      <c r="E15" s="6">
        <v>492074.73</v>
      </c>
      <c r="F15" s="20">
        <f t="shared" si="2"/>
        <v>6889046.2199999997</v>
      </c>
      <c r="G15" s="30">
        <v>529500</v>
      </c>
      <c r="H15" s="20">
        <f t="shared" si="3"/>
        <v>7413000</v>
      </c>
      <c r="I15" s="30">
        <v>2670800</v>
      </c>
      <c r="J15" s="20">
        <f t="shared" si="3"/>
        <v>37391200</v>
      </c>
      <c r="K15" s="6"/>
      <c r="L15" s="6"/>
      <c r="M15" s="6"/>
      <c r="N15" s="6"/>
      <c r="O15" s="6"/>
      <c r="P15" s="44"/>
      <c r="Q15" s="50">
        <f>+AVERAGE(E15,G15,I15)</f>
        <v>1230791.5766666667</v>
      </c>
      <c r="R15" s="49">
        <f>+STDEV(E15,G15,I15)</f>
        <v>1247224.2609738868</v>
      </c>
      <c r="S15" s="41"/>
      <c r="T15" s="50">
        <f t="shared" si="0"/>
        <v>-16432.684307220159</v>
      </c>
      <c r="U15" s="50">
        <f t="shared" si="1"/>
        <v>2478015.8376405537</v>
      </c>
      <c r="V15" s="50">
        <f>+AVERAGE(E15,G15)</f>
        <v>510787.36499999999</v>
      </c>
      <c r="W15" s="50">
        <f t="shared" si="4"/>
        <v>7151023.1099999994</v>
      </c>
    </row>
    <row r="16" spans="1:23" ht="64.5" thickBot="1" x14ac:dyDescent="0.3">
      <c r="A16" s="25">
        <v>10</v>
      </c>
      <c r="B16" s="13" t="s">
        <v>16</v>
      </c>
      <c r="C16" s="11" t="s">
        <v>8</v>
      </c>
      <c r="D16" s="11">
        <v>28</v>
      </c>
      <c r="E16" s="6">
        <v>15797.29</v>
      </c>
      <c r="F16" s="20">
        <f t="shared" si="2"/>
        <v>221162.06</v>
      </c>
      <c r="G16" s="30">
        <v>20000</v>
      </c>
      <c r="H16" s="20">
        <f t="shared" si="3"/>
        <v>560000</v>
      </c>
      <c r="I16" s="30">
        <v>77560</v>
      </c>
      <c r="J16" s="20">
        <f t="shared" si="3"/>
        <v>2171680</v>
      </c>
      <c r="K16" s="6">
        <v>49600</v>
      </c>
      <c r="L16" s="44">
        <f>+K16*$P$3+K16</f>
        <v>50398.559999999998</v>
      </c>
      <c r="M16" s="20">
        <f>+K16*$D16</f>
        <v>1388800</v>
      </c>
      <c r="N16" s="6">
        <v>125300</v>
      </c>
      <c r="O16" s="44">
        <f>+N16*$P$3+N16</f>
        <v>127317.33</v>
      </c>
      <c r="P16" s="30">
        <f>+N16*$D16</f>
        <v>3508400</v>
      </c>
      <c r="Q16" s="50">
        <f>+AVERAGE(E16,G16,L16,O16,I16)</f>
        <v>58214.635999999999</v>
      </c>
      <c r="R16" s="49">
        <f>+STDEV(E16,G16,L16,O16,I16)</f>
        <v>46016.589716873095</v>
      </c>
      <c r="S16" s="41"/>
      <c r="T16" s="50">
        <f t="shared" si="0"/>
        <v>12198.046283126903</v>
      </c>
      <c r="U16" s="50">
        <f t="shared" si="1"/>
        <v>104231.2257168731</v>
      </c>
      <c r="V16" s="50">
        <f>+AVERAGE(E16,G16,I16,L16)</f>
        <v>40938.962500000001</v>
      </c>
      <c r="W16" s="50">
        <f t="shared" si="4"/>
        <v>1146290.95</v>
      </c>
    </row>
    <row r="17" spans="1:23" ht="16.5" thickBot="1" x14ac:dyDescent="0.3">
      <c r="A17" s="74" t="s">
        <v>17</v>
      </c>
      <c r="B17" s="75"/>
      <c r="C17" s="75"/>
      <c r="D17" s="75"/>
      <c r="E17" s="76"/>
      <c r="F17" s="23">
        <f>SUM(F8:F16)</f>
        <v>156861466.01999998</v>
      </c>
      <c r="G17" s="32"/>
      <c r="H17" s="23">
        <f>SUM(H8:H16)</f>
        <v>169268300</v>
      </c>
      <c r="I17" s="32"/>
      <c r="J17" s="46">
        <f>SUM(J8:J16)</f>
        <v>249896150</v>
      </c>
      <c r="W17" s="54">
        <f>SUM(W8:W16)</f>
        <v>167984730.55599999</v>
      </c>
    </row>
    <row r="18" spans="1:23" ht="16.5" thickBot="1" x14ac:dyDescent="0.3">
      <c r="A18" s="77" t="s">
        <v>18</v>
      </c>
      <c r="B18" s="78"/>
      <c r="C18" s="78"/>
      <c r="D18" s="78"/>
      <c r="E18" s="79"/>
      <c r="F18" s="24">
        <f>(F17)*19/100</f>
        <v>29803678.543799996</v>
      </c>
      <c r="G18" s="33"/>
      <c r="H18" s="24">
        <f>(H17)*19/100</f>
        <v>32160977</v>
      </c>
      <c r="I18" s="33"/>
      <c r="J18" s="24">
        <f>(J17)*19/100</f>
        <v>47480268.5</v>
      </c>
      <c r="W18" s="53">
        <f>(W17)*19/100</f>
        <v>31917098.805640001</v>
      </c>
    </row>
    <row r="19" spans="1:23" ht="16.5" thickBot="1" x14ac:dyDescent="0.3">
      <c r="A19" s="80" t="s">
        <v>19</v>
      </c>
      <c r="B19" s="81"/>
      <c r="C19" s="81"/>
      <c r="D19" s="81"/>
      <c r="E19" s="82"/>
      <c r="F19" s="22">
        <f>(F17+F18)</f>
        <v>186665144.56379998</v>
      </c>
      <c r="G19" s="34"/>
      <c r="H19" s="22">
        <f>(H17+H18)</f>
        <v>201429277</v>
      </c>
      <c r="I19" s="34"/>
      <c r="J19" s="22">
        <f>(J17+J18)</f>
        <v>297376418.5</v>
      </c>
      <c r="W19" s="55">
        <f>(W17+W18)</f>
        <v>199901829.36164001</v>
      </c>
    </row>
    <row r="20" spans="1:23" ht="65.25" customHeight="1" x14ac:dyDescent="0.25">
      <c r="A20" s="57" t="s">
        <v>20</v>
      </c>
      <c r="B20" s="58"/>
      <c r="C20" s="58"/>
      <c r="D20" s="58"/>
      <c r="E20" s="58"/>
      <c r="F20" s="59"/>
      <c r="G20" s="35"/>
      <c r="H20" s="35"/>
      <c r="I20" s="35"/>
      <c r="J20" s="35"/>
    </row>
    <row r="21" spans="1:23" x14ac:dyDescent="0.25">
      <c r="A21" s="60" t="s">
        <v>21</v>
      </c>
      <c r="B21" s="61"/>
      <c r="C21" s="61"/>
      <c r="D21" s="61"/>
      <c r="E21" s="61"/>
      <c r="F21" s="62"/>
      <c r="G21" s="36"/>
      <c r="H21" s="36"/>
      <c r="I21" s="36"/>
      <c r="J21" s="36"/>
    </row>
    <row r="22" spans="1:23" ht="90" customHeight="1" thickBot="1" x14ac:dyDescent="0.3">
      <c r="A22" s="63"/>
      <c r="B22" s="64"/>
      <c r="C22" s="64"/>
      <c r="D22" s="64"/>
      <c r="E22" s="64"/>
      <c r="F22" s="65"/>
      <c r="G22" s="36"/>
      <c r="H22" s="36"/>
      <c r="I22" s="36"/>
      <c r="J22" s="36"/>
    </row>
    <row r="33" spans="15:17" x14ac:dyDescent="0.25">
      <c r="O33" s="47" t="s">
        <v>41</v>
      </c>
      <c r="P33" s="47"/>
      <c r="Q33" s="48">
        <v>357114489.68000001</v>
      </c>
    </row>
    <row r="34" spans="15:17" x14ac:dyDescent="0.25">
      <c r="O34" s="47" t="s">
        <v>31</v>
      </c>
      <c r="P34" s="47"/>
      <c r="Q34" s="48">
        <v>516452503</v>
      </c>
    </row>
    <row r="35" spans="15:17" x14ac:dyDescent="0.25">
      <c r="O35" s="47" t="s">
        <v>42</v>
      </c>
      <c r="P35" s="47"/>
      <c r="Q35" s="48">
        <v>394103843</v>
      </c>
    </row>
  </sheetData>
  <mergeCells count="21">
    <mergeCell ref="V5:W5"/>
    <mergeCell ref="A21:F22"/>
    <mergeCell ref="A17:E17"/>
    <mergeCell ref="A18:E18"/>
    <mergeCell ref="A19:E19"/>
    <mergeCell ref="A20:F20"/>
    <mergeCell ref="Q5:R5"/>
    <mergeCell ref="N6:P6"/>
    <mergeCell ref="G6:H6"/>
    <mergeCell ref="A1:B2"/>
    <mergeCell ref="C1:F1"/>
    <mergeCell ref="C2:F2"/>
    <mergeCell ref="A3:B3"/>
    <mergeCell ref="C3:D3"/>
    <mergeCell ref="A4:F4"/>
    <mergeCell ref="A5:F5"/>
    <mergeCell ref="A10:F10"/>
    <mergeCell ref="E6:F6"/>
    <mergeCell ref="K6:M6"/>
    <mergeCell ref="K5:P5"/>
    <mergeCell ref="I6:J6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 OFICIAL</vt:lpstr>
      <vt:lpstr>ANALISIS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Fajardo</dc:creator>
  <cp:lastModifiedBy>William Orlando Fonseca Roa</cp:lastModifiedBy>
  <dcterms:created xsi:type="dcterms:W3CDTF">2021-04-13T03:13:13Z</dcterms:created>
  <dcterms:modified xsi:type="dcterms:W3CDTF">2021-05-12T17:16:39Z</dcterms:modified>
</cp:coreProperties>
</file>