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Viviana\Documentos\ESTRUCAD\PROYECTOS 2021\12.-MMTO AGUACHICA\12.1.-ESTUDIOS PREVIOS Y PROPUESTA-ESTRUCAD\PPTO\"/>
    </mc:Choice>
  </mc:AlternateContent>
  <bookViews>
    <workbookView xWindow="0" yWindow="0" windowWidth="13380" windowHeight="6630" tabRatio="906"/>
  </bookViews>
  <sheets>
    <sheet name="PRESUPUESTO OFICIAL" sheetId="265" r:id="rId1"/>
    <sheet name="MO2021" sheetId="272" state="hidden" r:id="rId2"/>
    <sheet name="Básicos" sheetId="274" state="hidden" r:id="rId3"/>
    <sheet name="1.01" sheetId="268" state="hidden" r:id="rId4"/>
    <sheet name="1.02" sheetId="275" state="hidden" r:id="rId5"/>
    <sheet name="M1.01" sheetId="273" state="hidden" r:id="rId6"/>
    <sheet name="Hoja1" sheetId="278" state="hidden" r:id="rId7"/>
    <sheet name="M1.02" sheetId="277" state="hidden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5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5" hidden="1">{#N/A,#N/A,TRUE,"1842CWN0"}</definedName>
    <definedName name="_ABC1" localSheetId="7" hidden="1">{#N/A,#N/A,TRUE,"1842CWN0"}</definedName>
    <definedName name="_ABC1" hidden="1">{#N/A,#N/A,TRUE,"1842CWN0"}</definedName>
    <definedName name="_abc2" localSheetId="5" hidden="1">{#N/A,#N/A,TRUE,"1842CWN0"}</definedName>
    <definedName name="_abc2" localSheetId="7" hidden="1">{#N/A,#N/A,TRUE,"1842CWN0"}</definedName>
    <definedName name="_abc2" hidden="1">{#N/A,#N/A,TRUE,"1842CWN0"}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3" hidden="1">#REF!</definedName>
    <definedName name="_Fill" localSheetId="2" hidden="1">#REF!</definedName>
    <definedName name="_Fill" localSheetId="1" hidden="1">#REF!</definedName>
    <definedName name="_Fill" hidden="1">#REF!</definedName>
    <definedName name="_xlnm._FilterDatabase" localSheetId="0" hidden="1">'PRESUPUESTO OFICIAL'!$I$10:$I$16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5" hidden="1">{#N/A,#N/A,TRUE,"1842CWN0"}</definedName>
    <definedName name="_hhg1" localSheetId="7" hidden="1">{#N/A,#N/A,TRUE,"1842CWN0"}</definedName>
    <definedName name="_hhg1" hidden="1">{#N/A,#N/A,TRUE,"1842CWN0"}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2" hidden="1">#REF!</definedName>
    <definedName name="_Key1" localSheetId="1" hidden="1">#REF!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3" hidden="1">#REF!</definedName>
    <definedName name="_Sort" localSheetId="2" hidden="1">#REF!</definedName>
    <definedName name="_Sort" localSheetId="1" hidden="1">#REF!</definedName>
    <definedName name="_Sort" hidden="1">#REF!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tividades">'PRESUPUESTO OFICIAL'!$G$13:$G$15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'PRESUPUESTO OFICIAL'!$A$1:$M$36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5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antidades">'PRESUPUESTO OFICIAL'!$I$13:$I$15</definedName>
    <definedName name="CBWorkbookPriority" hidden="1">-1602700874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rte" hidden="1">{"TAB1",#N/A,TRUE,"GENERAL";"TAB2",#N/A,TRUE,"GENERAL";"TAB3",#N/A,TRUE,"GENERAL";"TAB4",#N/A,TRUE,"GENERAL";"TAB5",#N/A,TRUE,"GENERAL"}</definedName>
    <definedName name="costo2" hidden="1">#REF!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5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5" hidden="1">{#N/A,#N/A,FALSE,"Hoja1";#N/A,#N/A,FALSE,"Hoja2"}</definedName>
    <definedName name="erfg" localSheetId="7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5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5" hidden="1">{#N/A,#N/A,TRUE,"1842CWN0"}</definedName>
    <definedName name="etertt" localSheetId="7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5" hidden="1">{#N/A,#N/A,TRUE,"1842CWN0"}</definedName>
    <definedName name="fhg" localSheetId="7" hidden="1">{#N/A,#N/A,TRUE,"1842CWN0"}</definedName>
    <definedName name="fhg" hidden="1">{#N/A,#N/A,TRUE,"1842CWN0"}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5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5" hidden="1">{#N/A,#N/A,TRUE,"1842CWN0"}</definedName>
    <definedName name="ggjgjkg" localSheetId="7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5" hidden="1">{#N/A,#N/A,TRUE,"1842CWN0"}</definedName>
    <definedName name="ghnbbfr" localSheetId="7" hidden="1">{#N/A,#N/A,TRUE,"1842CWN0"}</definedName>
    <definedName name="ghnbbfr" hidden="1">{#N/A,#N/A,TRUE,"1842CWN0"}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5" hidden="1">{#N/A,#N/A,TRUE,"1842CWN0"}</definedName>
    <definedName name="hhg" localSheetId="7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tem">'PRESUPUESTO OFICIAL'!$D$13:$D$15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5" hidden="1">{#N/A,#N/A,FALSE,"Hoja1";#N/A,#N/A,FALSE,"Hoja2"}</definedName>
    <definedName name="JJJ" localSheetId="7" hidden="1">{#N/A,#N/A,FALSE,"Hoja1";#N/A,#N/A,FALSE,"Hoja2"}</definedName>
    <definedName name="JJJ" hidden="1">{#N/A,#N/A,FALSE,"Hoja1";#N/A,#N/A,FALSE,"Hoja2"}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5" hidden="1">{#N/A,#N/A,FALSE,"Hoja1";#N/A,#N/A,FALSE,"Hoja2"}</definedName>
    <definedName name="MOA" localSheetId="7" hidden="1">{#N/A,#N/A,FALSE,"Hoja1";#N/A,#N/A,FALSE,"Hoja2"}</definedName>
    <definedName name="MOA" hidden="1">{#N/A,#N/A,FALSE,"Hoja1";#N/A,#N/A,FALSE,"Hoja2"}</definedName>
    <definedName name="MODIVejec" localSheetId="5" hidden="1">{#N/A,#N/A,FALSE,"Hoja1";#N/A,#N/A,FALSE,"Hoja2"}</definedName>
    <definedName name="MODIVejec" localSheetId="7" hidden="1">{#N/A,#N/A,FALSE,"Hoja1";#N/A,#N/A,FALSE,"Hoja2"}</definedName>
    <definedName name="MODIVejec" hidden="1">{#N/A,#N/A,FALSE,"Hoja1";#N/A,#N/A,FALSE,"Hoja2"}</definedName>
    <definedName name="MOE" localSheetId="5" hidden="1">{#N/A,#N/A,FALSE,"Hoja1";#N/A,#N/A,FALSE,"Hoja2"}</definedName>
    <definedName name="MOE" localSheetId="7" hidden="1">{#N/A,#N/A,FALSE,"Hoja1";#N/A,#N/A,FALSE,"Hoja2"}</definedName>
    <definedName name="MOE" hidden="1">{#N/A,#N/A,FALSE,"Hoja1";#N/A,#N/A,FALSE,"Hoja2"}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uebo" hidden="1">{"TAB1",#N/A,TRUE,"GENERAL";"TAB2",#N/A,TRUE,"GENERAL";"TAB3",#N/A,TRUE,"GENERAL";"TAB4",#N/A,TRUE,"GENERAL";"TAB5",#N/A,TRUE,"GENERAL"}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5" hidden="1">{#N/A,#N/A,TRUE,"1842CWN0"}</definedName>
    <definedName name="qwewertet" localSheetId="7" hidden="1">{#N/A,#N/A,TRUE,"1842CWN0"}</definedName>
    <definedName name="qwewertet" hidden="1">{#N/A,#N/A,TRUE,"1842CWN0"}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5" hidden="1">{#N/A,#N/A,TRUE,"1842CWN0"}</definedName>
    <definedName name="SDDSAFF" localSheetId="7" hidden="1">{#N/A,#N/A,TRUE,"1842CWN0"}</definedName>
    <definedName name="SDDSAFF" hidden="1">{#N/A,#N/A,TRUE,"1842CWN0"}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5" hidden="1">{#N/A,#N/A,TRUE,"1842CWN0"}</definedName>
    <definedName name="SDFDG" localSheetId="7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5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5" hidden="1">{#N/A,#N/A,TRUE,"1842CWN0"}</definedName>
    <definedName name="sdsdfsdff" localSheetId="7" hidden="1">{#N/A,#N/A,TRUE,"1842CWN0"}</definedName>
    <definedName name="sdsdfsdff" hidden="1">{#N/A,#N/A,TRUE,"1842CWN0"}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3" hidden="1">'1.01'!#REF!</definedName>
    <definedName name="solver_adj" localSheetId="2" hidden="1">Básicos!#REF!</definedName>
    <definedName name="solver_adj" localSheetId="1" hidden="1">'MO2021'!#REF!</definedName>
    <definedName name="solver_adj" localSheetId="0" hidden="1">'PRESUPUESTO OFICIAL'!$K$18</definedName>
    <definedName name="solver_cvg" localSheetId="3" hidden="1">0.0001</definedName>
    <definedName name="solver_cvg" localSheetId="2" hidden="1">0.0001</definedName>
    <definedName name="solver_cvg" localSheetId="1" hidden="1">0.0001</definedName>
    <definedName name="solver_cvg" localSheetId="0" hidden="1">0.0001</definedName>
    <definedName name="solver_drv" localSheetId="3" hidden="1">1</definedName>
    <definedName name="solver_drv" localSheetId="2" hidden="1">1</definedName>
    <definedName name="solver_drv" localSheetId="1" hidden="1">1</definedName>
    <definedName name="solver_drv" localSheetId="0" hidden="1">1</definedName>
    <definedName name="solver_est" localSheetId="3" hidden="1">1</definedName>
    <definedName name="solver_est" localSheetId="2" hidden="1">1</definedName>
    <definedName name="solver_est" localSheetId="1" hidden="1">1</definedName>
    <definedName name="solver_est" localSheetId="0" hidden="1">1</definedName>
    <definedName name="solver_itr" localSheetId="3" hidden="1">100</definedName>
    <definedName name="solver_itr" localSheetId="2" hidden="1">100</definedName>
    <definedName name="solver_itr" localSheetId="1" hidden="1">100</definedName>
    <definedName name="solver_itr" localSheetId="0" hidden="1">100</definedName>
    <definedName name="solver_lhs1" localSheetId="3" hidden="1">'1.01'!#REF!</definedName>
    <definedName name="solver_lhs1" localSheetId="2" hidden="1">Básicos!#REF!</definedName>
    <definedName name="solver_lhs1" localSheetId="1" hidden="1">'MO2021'!#REF!</definedName>
    <definedName name="solver_lhs1" localSheetId="0" hidden="1">'PRESUPUESTO OFICIAL'!$K$26</definedName>
    <definedName name="solver_lin" localSheetId="3" hidden="1">2</definedName>
    <definedName name="solver_lin" localSheetId="2" hidden="1">2</definedName>
    <definedName name="solver_lin" localSheetId="1" hidden="1">2</definedName>
    <definedName name="solver_lin" localSheetId="0" hidden="1">2</definedName>
    <definedName name="solver_neg" localSheetId="3" hidden="1">2</definedName>
    <definedName name="solver_neg" localSheetId="2" hidden="1">2</definedName>
    <definedName name="solver_neg" localSheetId="1" hidden="1">2</definedName>
    <definedName name="solver_neg" localSheetId="0" hidden="1">2</definedName>
    <definedName name="solver_num" localSheetId="3" hidden="1">1</definedName>
    <definedName name="solver_num" localSheetId="2" hidden="1">1</definedName>
    <definedName name="solver_num" localSheetId="1" hidden="1">1</definedName>
    <definedName name="solver_num" localSheetId="0" hidden="1">1</definedName>
    <definedName name="solver_nwt" localSheetId="3" hidden="1">1</definedName>
    <definedName name="solver_nwt" localSheetId="2" hidden="1">1</definedName>
    <definedName name="solver_nwt" localSheetId="1" hidden="1">1</definedName>
    <definedName name="solver_nwt" localSheetId="0" hidden="1">1</definedName>
    <definedName name="solver_opt" localSheetId="3" hidden="1">'1.01'!#REF!</definedName>
    <definedName name="solver_opt" localSheetId="2" hidden="1">Básicos!#REF!</definedName>
    <definedName name="solver_opt" localSheetId="1" hidden="1">'MO2021'!#REF!</definedName>
    <definedName name="solver_opt" localSheetId="0" hidden="1">'PRESUPUESTO OFICIAL'!$K$26</definedName>
    <definedName name="solver_pre" localSheetId="3" hidden="1">0.000001</definedName>
    <definedName name="solver_pre" localSheetId="2" hidden="1">0.000001</definedName>
    <definedName name="solver_pre" localSheetId="1" hidden="1">0.000001</definedName>
    <definedName name="solver_pre" localSheetId="0" hidden="1">0.000001</definedName>
    <definedName name="solver_rel1" localSheetId="3" hidden="1">2</definedName>
    <definedName name="solver_rel1" localSheetId="2" hidden="1">2</definedName>
    <definedName name="solver_rel1" localSheetId="1" hidden="1">2</definedName>
    <definedName name="solver_rel1" localSheetId="0" hidden="1">2</definedName>
    <definedName name="solver_rhs1" localSheetId="3" hidden="1">'1.01'!#REF!</definedName>
    <definedName name="solver_rhs1" localSheetId="2" hidden="1">Básicos!#REF!</definedName>
    <definedName name="solver_rhs1" localSheetId="1" hidden="1">'MO2021'!#REF!</definedName>
    <definedName name="solver_rhs1" localSheetId="0" hidden="1">'PRESUPUESTO OFICIAL'!$K$27</definedName>
    <definedName name="solver_scl" localSheetId="3" hidden="1">2</definedName>
    <definedName name="solver_scl" localSheetId="2" hidden="1">2</definedName>
    <definedName name="solver_scl" localSheetId="1" hidden="1">2</definedName>
    <definedName name="solver_scl" localSheetId="0" hidden="1">2</definedName>
    <definedName name="solver_sho" localSheetId="3" hidden="1">2</definedName>
    <definedName name="solver_sho" localSheetId="2" hidden="1">2</definedName>
    <definedName name="solver_sho" localSheetId="1" hidden="1">2</definedName>
    <definedName name="solver_sho" localSheetId="0" hidden="1">2</definedName>
    <definedName name="solver_tim" localSheetId="3" hidden="1">100</definedName>
    <definedName name="solver_tim" localSheetId="2" hidden="1">100</definedName>
    <definedName name="solver_tim" localSheetId="1" hidden="1">100</definedName>
    <definedName name="solver_tim" localSheetId="0" hidden="1">100</definedName>
    <definedName name="solver_tol" localSheetId="3" hidden="1">0.05</definedName>
    <definedName name="solver_tol" localSheetId="2" hidden="1">0.05</definedName>
    <definedName name="solver_tol" localSheetId="1" hidden="1">0.05</definedName>
    <definedName name="solver_tol" localSheetId="0" hidden="1">0.05</definedName>
    <definedName name="solver_typ" localSheetId="3" hidden="1">3</definedName>
    <definedName name="solver_typ" localSheetId="2" hidden="1">3</definedName>
    <definedName name="solver_typ" localSheetId="1" hidden="1">3</definedName>
    <definedName name="solver_typ" localSheetId="0" hidden="1">3</definedName>
    <definedName name="solver_val" localSheetId="3" hidden="1">490454</definedName>
    <definedName name="solver_val" localSheetId="2" hidden="1">490454</definedName>
    <definedName name="solver_val" localSheetId="1" hidden="1">490454</definedName>
    <definedName name="solver_val" localSheetId="0" hidden="1">63899000000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K_1" hidden="1">[4]INST!#REF!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'PRESUPUESTO OFICIAL'!$H$13:$H$15</definedName>
    <definedName name="unj" hidden="1">[3]INST!#REF!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5" hidden="1">{#N/A,#N/A,TRUE,"1842CWN0"}</definedName>
    <definedName name="wrn.civil._.works." localSheetId="7" hidden="1">{#N/A,#N/A,TRUE,"1842CWN0"}</definedName>
    <definedName name="wrn.civil._.works." hidden="1">{#N/A,#N/A,TRUE,"1842CWN0"}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5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5" hidden="1">{#N/A,#N/A,TRUE,"T1"}</definedName>
    <definedName name="wrn.OPERADORES." localSheetId="7" hidden="1">{#N/A,#N/A,TRUE,"T1"}</definedName>
    <definedName name="wrn.OPERADORES." hidden="1">{#N/A,#N/A,TRUE,"T1"}</definedName>
    <definedName name="wrn.res7" localSheetId="5" hidden="1">{#N/A,#N/A,FALSE,"Hoja1";#N/A,#N/A,FALSE,"Hoja2"}</definedName>
    <definedName name="wrn.res7" localSheetId="7" hidden="1">{#N/A,#N/A,FALSE,"Hoja1";#N/A,#N/A,FALSE,"Hoja2"}</definedName>
    <definedName name="wrn.res7" hidden="1">{#N/A,#N/A,FALSE,"Hoja1";#N/A,#N/A,FALSE,"Hoja2"}</definedName>
    <definedName name="wrn.Resumen." localSheetId="5" hidden="1">{#N/A,#N/A,FALSE,"Hoja1";#N/A,#N/A,FALSE,"Hoja2"}</definedName>
    <definedName name="wrn.Resumen." localSheetId="7" hidden="1">{#N/A,#N/A,FALSE,"Hoja1";#N/A,#N/A,FALSE,"Hoja2"}</definedName>
    <definedName name="wrn.Resumen." hidden="1">{#N/A,#N/A,FALSE,"Hoja1";#N/A,#N/A,FALSE,"Hoja2"}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5" hidden="1">{#N/A,#N/A,TRUE,"1842CWN0"}</definedName>
    <definedName name="XSW" localSheetId="7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B246B4D3_41B8_4237_8166_9970D120FD6A_.wvu.FilterData" localSheetId="0" hidden="1">'PRESUPUESTO OFICIAL'!$I$10:$I$16</definedName>
    <definedName name="Z_E8A818AD_FA16_40A1_9379_4072C183431C_.wvu.FilterData" localSheetId="0" hidden="1">'PRESUPUESTO OFICIAL'!$I$10:$I$16</definedName>
    <definedName name="ZAQ" localSheetId="5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52511"/>
  <customWorkbookViews>
    <customWorkbookView name="Memorias capítulo1" guid="{B246B4D3-41B8-4237-8166-9970D120FD6A}" maximized="1" xWindow="-8" yWindow="-8" windowWidth="1936" windowHeight="1056" tabRatio="906" activeSheetId="326"/>
    <customWorkbookView name="Apu capitulo1" guid="{E8A818AD-FA16-40A1-9379-4072C183431C}" maximized="1" xWindow="-8" yWindow="-8" windowWidth="1936" windowHeight="1056" tabRatio="906" activeSheetId="268"/>
  </customWorkbookViews>
</workbook>
</file>

<file path=xl/calcChain.xml><?xml version="1.0" encoding="utf-8"?>
<calcChain xmlns="http://schemas.openxmlformats.org/spreadsheetml/2006/main">
  <c r="T14" i="265" l="1"/>
  <c r="T13" i="265"/>
  <c r="S15" i="265"/>
  <c r="Q15" i="265"/>
  <c r="Q14" i="265"/>
  <c r="P15" i="265"/>
  <c r="P14" i="265"/>
  <c r="P13" i="265"/>
  <c r="M20" i="275" l="1"/>
  <c r="L16" i="275"/>
  <c r="O21" i="265"/>
  <c r="N21" i="265"/>
  <c r="L15" i="275" l="1"/>
  <c r="I13" i="277" l="1"/>
  <c r="J13" i="277" s="1"/>
  <c r="E9" i="277" l="1"/>
  <c r="D9" i="277"/>
  <c r="L9" i="277" s="1"/>
  <c r="I12" i="277"/>
  <c r="J12" i="277" s="1"/>
  <c r="I12" i="273"/>
  <c r="J12" i="273"/>
  <c r="O30" i="275"/>
  <c r="J14" i="277" l="1"/>
  <c r="I14" i="265" s="1"/>
  <c r="C10" i="275" l="1"/>
  <c r="O10" i="275" s="1"/>
  <c r="D10" i="275"/>
  <c r="L45" i="275"/>
  <c r="L44" i="275"/>
  <c r="L43" i="275"/>
  <c r="O36" i="275"/>
  <c r="K35" i="275"/>
  <c r="O35" i="275" s="1"/>
  <c r="O38" i="275" s="1"/>
  <c r="O13" i="275" s="1"/>
  <c r="C35" i="275"/>
  <c r="O32" i="275"/>
  <c r="O21" i="275"/>
  <c r="O20" i="275"/>
  <c r="O16" i="275"/>
  <c r="O15" i="275"/>
  <c r="O14" i="275"/>
  <c r="O25" i="275" l="1"/>
  <c r="O27" i="275" s="1"/>
  <c r="O17" i="275"/>
  <c r="M10" i="275"/>
  <c r="O40" i="275" l="1"/>
  <c r="M43" i="275" s="1"/>
  <c r="M45" i="275" l="1"/>
  <c r="M44" i="275"/>
  <c r="O46" i="275" l="1"/>
  <c r="O48" i="275" s="1"/>
  <c r="J14" i="265" s="1"/>
  <c r="K14" i="265" s="1"/>
  <c r="I19" i="273" l="1"/>
  <c r="J19" i="273" s="1"/>
  <c r="G20" i="273"/>
  <c r="I18" i="273" l="1"/>
  <c r="J18" i="273" s="1"/>
  <c r="O14" i="268" l="1"/>
  <c r="O15" i="268"/>
  <c r="O13" i="268"/>
  <c r="I17" i="273" l="1"/>
  <c r="J17" i="273" s="1"/>
  <c r="I13" i="273"/>
  <c r="J13" i="273" s="1"/>
  <c r="I14" i="273"/>
  <c r="J14" i="273" s="1"/>
  <c r="I15" i="273"/>
  <c r="J15" i="273" s="1"/>
  <c r="I16" i="273"/>
  <c r="J16" i="273" s="1"/>
  <c r="J21" i="273"/>
  <c r="O35" i="268" l="1"/>
  <c r="C445" i="274" l="1"/>
  <c r="L432" i="274"/>
  <c r="O432" i="274" s="1"/>
  <c r="M431" i="274"/>
  <c r="O431" i="274" s="1"/>
  <c r="M430" i="274"/>
  <c r="M429" i="274"/>
  <c r="O429" i="274" s="1"/>
  <c r="L455" i="274"/>
  <c r="L454" i="274"/>
  <c r="L453" i="274"/>
  <c r="O441" i="274"/>
  <c r="J440" i="274"/>
  <c r="L440" i="274" s="1"/>
  <c r="O434" i="274"/>
  <c r="O433" i="274"/>
  <c r="O430" i="274"/>
  <c r="C387" i="274"/>
  <c r="M382" i="274"/>
  <c r="J382" i="274"/>
  <c r="L382" i="274" s="1"/>
  <c r="L364" i="274"/>
  <c r="L248" i="274"/>
  <c r="L190" i="274"/>
  <c r="L132" i="274"/>
  <c r="L74" i="274"/>
  <c r="L422" i="274" s="1"/>
  <c r="O422" i="274" s="1"/>
  <c r="M372" i="274"/>
  <c r="O372" i="274" s="1"/>
  <c r="M373" i="274"/>
  <c r="O373" i="274"/>
  <c r="M371" i="274"/>
  <c r="O371" i="274" s="1"/>
  <c r="L397" i="274"/>
  <c r="L396" i="274"/>
  <c r="L395" i="274"/>
  <c r="O383" i="274"/>
  <c r="O376" i="274"/>
  <c r="O375" i="274"/>
  <c r="O374" i="274"/>
  <c r="O364" i="274"/>
  <c r="C329" i="274"/>
  <c r="M324" i="274"/>
  <c r="J324" i="274"/>
  <c r="L324" i="274" s="1"/>
  <c r="L314" i="274"/>
  <c r="O314" i="274" s="1"/>
  <c r="L339" i="274"/>
  <c r="L338" i="274"/>
  <c r="L337" i="274"/>
  <c r="O325" i="274"/>
  <c r="O318" i="274"/>
  <c r="O317" i="274"/>
  <c r="O316" i="274"/>
  <c r="O315" i="274"/>
  <c r="O313" i="274"/>
  <c r="O306" i="274"/>
  <c r="C271" i="274"/>
  <c r="M256" i="274"/>
  <c r="O256" i="274" s="1"/>
  <c r="M257" i="274"/>
  <c r="O257" i="274" s="1"/>
  <c r="M258" i="274"/>
  <c r="M259" i="274"/>
  <c r="O259" i="274" s="1"/>
  <c r="M260" i="274"/>
  <c r="M255" i="274"/>
  <c r="O255" i="274" s="1"/>
  <c r="M267" i="274"/>
  <c r="M266" i="274"/>
  <c r="L281" i="274"/>
  <c r="L280" i="274"/>
  <c r="L279" i="274"/>
  <c r="J267" i="274"/>
  <c r="L267" i="274" s="1"/>
  <c r="J266" i="274"/>
  <c r="L266" i="274" s="1"/>
  <c r="L260" i="274"/>
  <c r="O260" i="274" s="1"/>
  <c r="O258" i="274"/>
  <c r="M248" i="274"/>
  <c r="O248" i="274" s="1"/>
  <c r="C213" i="274"/>
  <c r="M209" i="274"/>
  <c r="M208" i="274"/>
  <c r="M198" i="274"/>
  <c r="O198" i="274" s="1"/>
  <c r="M199" i="274"/>
  <c r="M200" i="274"/>
  <c r="O200" i="274" s="1"/>
  <c r="M201" i="274"/>
  <c r="M202" i="274"/>
  <c r="M197" i="274"/>
  <c r="O197" i="274" s="1"/>
  <c r="L223" i="274"/>
  <c r="L222" i="274"/>
  <c r="L221" i="274"/>
  <c r="J209" i="274"/>
  <c r="L209" i="274" s="1"/>
  <c r="J208" i="274"/>
  <c r="L208" i="274" s="1"/>
  <c r="L202" i="274"/>
  <c r="O201" i="274"/>
  <c r="O199" i="274"/>
  <c r="M190" i="274"/>
  <c r="C155" i="274"/>
  <c r="M151" i="274"/>
  <c r="M150" i="274"/>
  <c r="M140" i="274"/>
  <c r="O140" i="274" s="1"/>
  <c r="M141" i="274"/>
  <c r="O141" i="274" s="1"/>
  <c r="M142" i="274"/>
  <c r="O142" i="274" s="1"/>
  <c r="M143" i="274"/>
  <c r="M144" i="274"/>
  <c r="M139" i="274"/>
  <c r="O139" i="274" s="1"/>
  <c r="L165" i="274"/>
  <c r="L164" i="274"/>
  <c r="L163" i="274"/>
  <c r="J151" i="274"/>
  <c r="L151" i="274" s="1"/>
  <c r="J150" i="274"/>
  <c r="L150" i="274" s="1"/>
  <c r="L144" i="274"/>
  <c r="O143" i="274"/>
  <c r="M132" i="274"/>
  <c r="O132" i="274" s="1"/>
  <c r="M93" i="274"/>
  <c r="M92" i="274"/>
  <c r="M440" i="274" s="1"/>
  <c r="O144" i="274" l="1"/>
  <c r="O146" i="274"/>
  <c r="O262" i="274"/>
  <c r="O263" i="274" s="1"/>
  <c r="O440" i="274"/>
  <c r="O442" i="274" s="1"/>
  <c r="O266" i="274"/>
  <c r="O436" i="274"/>
  <c r="O437" i="274" s="1"/>
  <c r="O382" i="274"/>
  <c r="O384" i="274" s="1"/>
  <c r="O190" i="274"/>
  <c r="O378" i="274"/>
  <c r="O379" i="274" s="1"/>
  <c r="O324" i="274"/>
  <c r="O326" i="274" s="1"/>
  <c r="O320" i="274"/>
  <c r="O321" i="274" s="1"/>
  <c r="O267" i="274"/>
  <c r="O209" i="274"/>
  <c r="O208" i="274"/>
  <c r="O202" i="274"/>
  <c r="O151" i="274"/>
  <c r="O150" i="274"/>
  <c r="O147" i="274"/>
  <c r="O268" i="274" l="1"/>
  <c r="O204" i="274"/>
  <c r="O205" i="274" s="1"/>
  <c r="O210" i="274"/>
  <c r="O152" i="274"/>
  <c r="C97" i="274" l="1"/>
  <c r="L86" i="274" l="1"/>
  <c r="M82" i="274"/>
  <c r="M83" i="274"/>
  <c r="O83" i="274" s="1"/>
  <c r="M84" i="274"/>
  <c r="M85" i="274"/>
  <c r="M86" i="274"/>
  <c r="M81" i="274"/>
  <c r="O81" i="274" s="1"/>
  <c r="L107" i="274"/>
  <c r="L106" i="274"/>
  <c r="L105" i="274"/>
  <c r="J93" i="274"/>
  <c r="L93" i="274" s="1"/>
  <c r="O93" i="274" s="1"/>
  <c r="J92" i="274"/>
  <c r="L92" i="274" s="1"/>
  <c r="O92" i="274" s="1"/>
  <c r="O85" i="274"/>
  <c r="O84" i="274"/>
  <c r="O82" i="274"/>
  <c r="O74" i="274"/>
  <c r="M74" i="274"/>
  <c r="J35" i="274"/>
  <c r="L35" i="274" s="1"/>
  <c r="O35" i="274" s="1"/>
  <c r="J34" i="274"/>
  <c r="L34" i="274" s="1"/>
  <c r="O34" i="274" s="1"/>
  <c r="O16" i="274"/>
  <c r="M16" i="274"/>
  <c r="O24" i="274"/>
  <c r="O25" i="274"/>
  <c r="O26" i="274"/>
  <c r="O27" i="274"/>
  <c r="O28" i="274"/>
  <c r="O23" i="274"/>
  <c r="C39" i="274"/>
  <c r="D9" i="273"/>
  <c r="L9" i="273" s="1"/>
  <c r="L44" i="268"/>
  <c r="L43" i="268"/>
  <c r="L42" i="268"/>
  <c r="O29" i="268"/>
  <c r="O31" i="268" s="1"/>
  <c r="C34" i="268"/>
  <c r="D130" i="272"/>
  <c r="D118" i="272"/>
  <c r="D106" i="272"/>
  <c r="D94" i="272"/>
  <c r="D82" i="272"/>
  <c r="F77" i="272"/>
  <c r="F113" i="272" s="1"/>
  <c r="F73" i="272"/>
  <c r="F109" i="272" s="1"/>
  <c r="F60" i="272"/>
  <c r="F59" i="272"/>
  <c r="F58" i="272"/>
  <c r="F57" i="272"/>
  <c r="F37" i="272"/>
  <c r="G37" i="272" s="1"/>
  <c r="F26" i="272"/>
  <c r="F22" i="272"/>
  <c r="D21" i="272"/>
  <c r="F16" i="272"/>
  <c r="F15" i="272"/>
  <c r="G15" i="272" s="1"/>
  <c r="F14" i="272"/>
  <c r="F27" i="272" s="1"/>
  <c r="G27" i="272" s="1"/>
  <c r="F13" i="272"/>
  <c r="F23" i="272" s="1"/>
  <c r="G23" i="272" s="1"/>
  <c r="C9" i="268"/>
  <c r="M9" i="268" s="1"/>
  <c r="O20" i="268"/>
  <c r="O19" i="268"/>
  <c r="O24" i="268" l="1"/>
  <c r="O26" i="268" s="1"/>
  <c r="I13" i="265"/>
  <c r="O9" i="268" s="1"/>
  <c r="O30" i="274"/>
  <c r="O86" i="274"/>
  <c r="O88" i="274" s="1"/>
  <c r="O89" i="274" s="1"/>
  <c r="G26" i="272"/>
  <c r="O36" i="274"/>
  <c r="O94" i="274"/>
  <c r="O31" i="274"/>
  <c r="D9" i="268"/>
  <c r="E9" i="273"/>
  <c r="G28" i="272"/>
  <c r="G22" i="272"/>
  <c r="F121" i="272"/>
  <c r="F32" i="272"/>
  <c r="G32" i="272" s="1"/>
  <c r="F17" i="272"/>
  <c r="F20" i="272" s="1"/>
  <c r="F40" i="272"/>
  <c r="G40" i="272" s="1"/>
  <c r="F125" i="272"/>
  <c r="F89" i="272"/>
  <c r="F31" i="272"/>
  <c r="G31" i="272" s="1"/>
  <c r="F101" i="272"/>
  <c r="F36" i="272"/>
  <c r="G36" i="272" s="1"/>
  <c r="F78" i="272"/>
  <c r="F126" i="272" s="1"/>
  <c r="F33" i="272"/>
  <c r="G33" i="272" s="1"/>
  <c r="F41" i="272"/>
  <c r="G41" i="272" s="1"/>
  <c r="F74" i="272"/>
  <c r="F85" i="272"/>
  <c r="F97" i="272"/>
  <c r="F21" i="272" l="1"/>
  <c r="G21" i="272" s="1"/>
  <c r="G20" i="272"/>
  <c r="F114" i="272"/>
  <c r="F102" i="272"/>
  <c r="F81" i="272"/>
  <c r="F90" i="272"/>
  <c r="F79" i="272"/>
  <c r="F127" i="272" s="1"/>
  <c r="F91" i="272"/>
  <c r="F110" i="272"/>
  <c r="F98" i="272"/>
  <c r="F86" i="272"/>
  <c r="F75" i="272"/>
  <c r="F122" i="272"/>
  <c r="F129" i="272" s="1"/>
  <c r="F43" i="272" l="1"/>
  <c r="G43" i="272" s="1"/>
  <c r="F117" i="272"/>
  <c r="F103" i="272"/>
  <c r="F115" i="272"/>
  <c r="F82" i="272"/>
  <c r="F93" i="272"/>
  <c r="F105" i="272"/>
  <c r="F99" i="272"/>
  <c r="F87" i="272"/>
  <c r="F94" i="272" s="1"/>
  <c r="F123" i="272"/>
  <c r="F130" i="272" s="1"/>
  <c r="F111" i="272"/>
  <c r="K271" i="274" l="1"/>
  <c r="O271" i="274" s="1"/>
  <c r="O274" i="274" s="1"/>
  <c r="O247" i="274" s="1"/>
  <c r="O252" i="274" s="1"/>
  <c r="O276" i="274" s="1"/>
  <c r="K387" i="274"/>
  <c r="O387" i="274" s="1"/>
  <c r="O390" i="274" s="1"/>
  <c r="O363" i="274" s="1"/>
  <c r="O368" i="274" s="1"/>
  <c r="O392" i="274" s="1"/>
  <c r="K155" i="274"/>
  <c r="O155" i="274" s="1"/>
  <c r="O158" i="274" s="1"/>
  <c r="O131" i="274" s="1"/>
  <c r="O136" i="274" s="1"/>
  <c r="O160" i="274" s="1"/>
  <c r="K213" i="274"/>
  <c r="O213" i="274" s="1"/>
  <c r="O216" i="274" s="1"/>
  <c r="O189" i="274" s="1"/>
  <c r="O194" i="274" s="1"/>
  <c r="O218" i="274" s="1"/>
  <c r="K329" i="274"/>
  <c r="O329" i="274" s="1"/>
  <c r="O332" i="274" s="1"/>
  <c r="O305" i="274" s="1"/>
  <c r="O310" i="274" s="1"/>
  <c r="O334" i="274" s="1"/>
  <c r="K445" i="274"/>
  <c r="O445" i="274" s="1"/>
  <c r="O448" i="274" s="1"/>
  <c r="O421" i="274" s="1"/>
  <c r="O426" i="274" s="1"/>
  <c r="O450" i="274" s="1"/>
  <c r="K97" i="274"/>
  <c r="O97" i="274" s="1"/>
  <c r="O100" i="274" s="1"/>
  <c r="O73" i="274" s="1"/>
  <c r="O78" i="274" s="1"/>
  <c r="O102" i="274" s="1"/>
  <c r="K34" i="268"/>
  <c r="K39" i="274"/>
  <c r="O39" i="274" s="1"/>
  <c r="O42" i="274" s="1"/>
  <c r="O15" i="274" s="1"/>
  <c r="O20" i="274" s="1"/>
  <c r="O44" i="274" s="1"/>
  <c r="F56" i="272"/>
  <c r="F61" i="272" s="1"/>
  <c r="G61" i="272" s="1"/>
  <c r="F106" i="272"/>
  <c r="F118" i="272"/>
  <c r="O34" i="268" l="1"/>
  <c r="O37" i="268" s="1"/>
  <c r="O12" i="268" s="1"/>
  <c r="O16" i="268" s="1"/>
  <c r="O39" i="268" s="1"/>
  <c r="M42" i="268" s="1"/>
  <c r="M106" i="274"/>
  <c r="M107" i="274"/>
  <c r="M105" i="274"/>
  <c r="M339" i="274"/>
  <c r="M338" i="274"/>
  <c r="M337" i="274"/>
  <c r="M222" i="274"/>
  <c r="M221" i="274"/>
  <c r="O224" i="274" s="1"/>
  <c r="O226" i="274" s="1"/>
  <c r="M223" i="274"/>
  <c r="M165" i="274"/>
  <c r="M163" i="274"/>
  <c r="M164" i="274"/>
  <c r="M454" i="274"/>
  <c r="M453" i="274"/>
  <c r="M455" i="274"/>
  <c r="M396" i="274"/>
  <c r="M397" i="274"/>
  <c r="M395" i="274"/>
  <c r="M49" i="274"/>
  <c r="M47" i="274"/>
  <c r="M48" i="274"/>
  <c r="M280" i="274"/>
  <c r="M281" i="274"/>
  <c r="M279" i="274"/>
  <c r="F62" i="272"/>
  <c r="G62" i="272" s="1"/>
  <c r="F63" i="272"/>
  <c r="G63" i="272" s="1"/>
  <c r="M44" i="268" l="1"/>
  <c r="M43" i="268"/>
  <c r="O45" i="268" s="1"/>
  <c r="O47" i="268" s="1"/>
  <c r="O282" i="274"/>
  <c r="O284" i="274" s="1"/>
  <c r="O108" i="274"/>
  <c r="O110" i="274" s="1"/>
  <c r="O50" i="274"/>
  <c r="O52" i="274" s="1"/>
  <c r="O456" i="274"/>
  <c r="O458" i="274" s="1"/>
  <c r="O340" i="274"/>
  <c r="O342" i="274" s="1"/>
  <c r="O166" i="274"/>
  <c r="O168" i="274" s="1"/>
  <c r="O398" i="274"/>
  <c r="O400" i="274" s="1"/>
  <c r="K28" i="265"/>
  <c r="J13" i="265" l="1"/>
  <c r="K13" i="265" l="1"/>
  <c r="K15" i="265" s="1"/>
  <c r="K16" i="265" s="1"/>
  <c r="K18" i="265" s="1"/>
  <c r="K19" i="265" s="1"/>
  <c r="K20" i="265" s="1"/>
  <c r="K21" i="265" s="1"/>
  <c r="O18" i="265" l="1"/>
  <c r="P18" i="265" s="1"/>
  <c r="P24" i="265"/>
</calcChain>
</file>

<file path=xl/sharedStrings.xml><?xml version="1.0" encoding="utf-8"?>
<sst xmlns="http://schemas.openxmlformats.org/spreadsheetml/2006/main" count="957" uniqueCount="248">
  <si>
    <t>Nº</t>
  </si>
  <si>
    <t>ÍTEM DE PAGO</t>
  </si>
  <si>
    <t xml:space="preserve">ESPECIFICACIONES </t>
  </si>
  <si>
    <t>DESCRIPCIÓN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</si>
  <si>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</si>
  <si>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</si>
  <si>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</si>
  <si>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</si>
  <si>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</si>
  <si>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</si>
  <si>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</si>
  <si>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</si>
  <si>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</si>
  <si>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</si>
  <si>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</si>
  <si>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</si>
  <si>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</si>
  <si>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</si>
  <si>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</si>
  <si>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</si>
  <si>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</si>
  <si>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</si>
  <si>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</si>
  <si>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</si>
  <si>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Código</t>
  </si>
  <si>
    <t>CCE-EICP-FM-14</t>
  </si>
  <si>
    <t>Versión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</si>
  <si>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</si>
  <si>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</si>
  <si>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</si>
  <si>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</si>
  <si>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</si>
  <si>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</si>
  <si>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</si>
  <si>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</si>
  <si>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</si>
  <si>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</si>
  <si>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</si>
  <si>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</si>
  <si>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</si>
  <si>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</si>
  <si>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</si>
  <si>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</si>
  <si>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</si>
  <si>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</si>
  <si>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</si>
  <si>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</si>
  <si>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</si>
  <si>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</si>
  <si>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</si>
  <si>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</si>
  <si>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TARIFA</t>
  </si>
  <si>
    <t>IV. MANO DE OBRA</t>
  </si>
  <si>
    <t>TRABAJADOR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</si>
  <si>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</si>
  <si>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</si>
  <si>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</si>
  <si>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</si>
  <si>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</si>
  <si>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</si>
  <si>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</si>
  <si>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</si>
  <si>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</si>
  <si>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</si>
  <si>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</si>
  <si>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</si>
  <si>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</si>
  <si>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r>
      <rPr>
        <b/>
        <sz val="9"/>
        <rFont val="Arial"/>
        <family val="2"/>
      </rPr>
      <t xml:space="preserve">NOTA 1: </t>
    </r>
    <r>
      <rPr>
        <sz val="9"/>
        <rFont val="Arial"/>
        <family val="2"/>
      </rPr>
      <t xml:space="preserve"> Se debe tener en cuenta que el PRECIO UNITARIO incluye el valor de A.I.U. </t>
    </r>
  </si>
  <si>
    <r>
      <rPr>
        <b/>
        <sz val="9"/>
        <rFont val="Arial"/>
        <family val="2"/>
      </rPr>
      <t>NOTA 3:</t>
    </r>
    <r>
      <rPr>
        <sz val="9"/>
        <rFont val="Arial"/>
        <family val="2"/>
      </rPr>
      <t xml:space="preserve"> El A.I.U y su discriminación deben estar en porcentaje (%). </t>
    </r>
  </si>
  <si>
    <r>
      <rPr>
        <b/>
        <sz val="9"/>
        <rFont val="Arial"/>
        <family val="2"/>
      </rPr>
      <t>NOTA 5:</t>
    </r>
    <r>
      <rPr>
        <sz val="9"/>
        <rFont val="Arial"/>
        <family val="2"/>
      </rPr>
      <t xml:space="preserve">  </t>
    </r>
  </si>
  <si>
    <r>
      <t xml:space="preserve">NOTA 6: </t>
    </r>
    <r>
      <rPr>
        <sz val="9"/>
        <rFont val="Arial"/>
        <family val="2"/>
      </rPr>
      <t xml:space="preserve"> </t>
    </r>
  </si>
  <si>
    <t>FORMULARIO 1 PRESUPUESTO OFICIAL</t>
  </si>
  <si>
    <r>
      <rPr>
        <b/>
        <sz val="9"/>
        <rFont val="Arial"/>
        <family val="2"/>
      </rPr>
      <t>NOTA 4:</t>
    </r>
    <r>
      <rPr>
        <sz val="9"/>
        <rFont val="Arial"/>
        <family val="2"/>
      </rPr>
      <t xml:space="preserve">   Los valores de los Materiales de Obra y equipo se ajustan a los valores comerciales.</t>
    </r>
  </si>
  <si>
    <t>1. Preliminares</t>
  </si>
  <si>
    <t>ALCALDÍA DE AGUACHICA</t>
  </si>
  <si>
    <t>ÍTEMS DE PRESUPUESTO OFICIAL</t>
  </si>
  <si>
    <r>
      <t>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 xml:space="preserve"> o Ton/Km</t>
    </r>
  </si>
  <si>
    <t>M2</t>
  </si>
  <si>
    <t>und</t>
  </si>
  <si>
    <t>kg</t>
  </si>
  <si>
    <t>Desperdicio</t>
  </si>
  <si>
    <t>Herramienta menor (%M.O)</t>
  </si>
  <si>
    <t>MO2020</t>
  </si>
  <si>
    <t>TARIFAS MANO DE OBRA Y PRESTACIONES SOCIALES</t>
  </si>
  <si>
    <t>1.-SALARIOS DE MANO DE OBRA</t>
  </si>
  <si>
    <t>%</t>
  </si>
  <si>
    <t>A- Salario Minimo Legal</t>
  </si>
  <si>
    <t>B- Auxilio de Transporte</t>
  </si>
  <si>
    <t>C- Total Mensual</t>
  </si>
  <si>
    <t>D-  Anual (SB*12)</t>
  </si>
  <si>
    <t xml:space="preserve">    Subsidio de Transporte Anual</t>
  </si>
  <si>
    <t xml:space="preserve">    Descuento a subsidio de transporte</t>
  </si>
  <si>
    <t>E-  Anual con Subsidio de Transporte</t>
  </si>
  <si>
    <t xml:space="preserve">PRESTACIONES </t>
  </si>
  <si>
    <t>BASE</t>
  </si>
  <si>
    <t xml:space="preserve">     Cesantias</t>
  </si>
  <si>
    <t>E</t>
  </si>
  <si>
    <t xml:space="preserve">     Intereses</t>
  </si>
  <si>
    <t xml:space="preserve">     Vacaciones 15 Dias</t>
  </si>
  <si>
    <t>A</t>
  </si>
  <si>
    <t xml:space="preserve">     Primas 30 Dias</t>
  </si>
  <si>
    <t>C</t>
  </si>
  <si>
    <t>OTROS COSTOS</t>
  </si>
  <si>
    <t xml:space="preserve">     Botas, Camisa y Overol</t>
  </si>
  <si>
    <t xml:space="preserve">     Seguro Colectivo</t>
  </si>
  <si>
    <t>D</t>
  </si>
  <si>
    <t xml:space="preserve">     Examen médico</t>
  </si>
  <si>
    <t>SEGURIDAD SOCIAL</t>
  </si>
  <si>
    <t xml:space="preserve">     Pensiones</t>
  </si>
  <si>
    <t xml:space="preserve">     Medicina Familiar</t>
  </si>
  <si>
    <t xml:space="preserve">     Riesgos Profesionales</t>
  </si>
  <si>
    <t>APORTES SENA</t>
  </si>
  <si>
    <t xml:space="preserve">     Aporte Ordinario</t>
  </si>
  <si>
    <t xml:space="preserve">    F.I.C</t>
  </si>
  <si>
    <t>Nota 4</t>
  </si>
  <si>
    <t>OTROS APORTES</t>
  </si>
  <si>
    <t xml:space="preserve">    I.C.B.F</t>
  </si>
  <si>
    <t xml:space="preserve">    Subsidio Familiar</t>
  </si>
  <si>
    <t>VALOR REAL DEL SALARIO</t>
  </si>
  <si>
    <t xml:space="preserve">NOTAS: </t>
  </si>
  <si>
    <t>1.- Subsidio de transporte solo se paga hasta sueldos de 2 salarios minimos mensules legales vigentes.</t>
  </si>
  <si>
    <t>2.- Subsidio de transporte anual = Subsidio mensual / 30 x (365 dias-18 fiestas - 3 permisos- 15 dias vacaciones).</t>
  </si>
  <si>
    <t>3.- Porcentajes solo son validos para actividades de construccion. Para otros empleados se debe utilizar 30 dias de cesantia y 2.2% (promedio para empresas de bajo riesgo).</t>
  </si>
  <si>
    <t>4.- Un salario minimo por cada 40 trabajadores. El valor se obtiene asi: (Salario minimo x 12 / 40) / Salario annual estudiado.</t>
  </si>
  <si>
    <t>5.- El artículo 65 de la ley 1819 de 2016 exonera las sociedades y personas jurídicas del pago de parafiscales de Sena e ICBF y cotizaciones al régimen de salud por trabajadores que devenguen menos de 10 salarios mínimos</t>
  </si>
  <si>
    <t>6.- Todos los porcentajes estan relacionados con el salario para 360 dias.</t>
  </si>
  <si>
    <t>7.- Los 18 feriados hacen referencia a los dias feriados que de lunes a viernes tendra 2020</t>
  </si>
  <si>
    <t>2- CALCULO DE SOBRECOSTO POR HORAS EFECTIVAS TRABAJADAS-OBREROS CON UN SALARIO MINIMO TRABAJADO</t>
  </si>
  <si>
    <t>A- Anual con Subsidio de Transporte</t>
  </si>
  <si>
    <t>B- Horas Calendario Anuales</t>
  </si>
  <si>
    <t>365 x 8 Hhr</t>
  </si>
  <si>
    <t>C- Horas Laborales Anuales</t>
  </si>
  <si>
    <t>(52 Sem x 48 Hr)+8Hr</t>
  </si>
  <si>
    <t>D- Horas Habiles Anuales</t>
  </si>
  <si>
    <t>2920 Hr-((52 Dom + 18 Fiestas + 3 Permisos+15 días vacaciones) x 8 Hr)</t>
  </si>
  <si>
    <t>E- Valor Hora simplificada</t>
  </si>
  <si>
    <t>(SB/30)/8</t>
  </si>
  <si>
    <t>F- Valor Hora Calendario</t>
  </si>
  <si>
    <t>A/B</t>
  </si>
  <si>
    <t>G- Valor Hora Laboral</t>
  </si>
  <si>
    <t>A/C</t>
  </si>
  <si>
    <t>H- Valor Hora Efectiva</t>
  </si>
  <si>
    <t>A/D</t>
  </si>
  <si>
    <t>Los factores de sobrecostos se utilizan para valorizar el tiempo efectivo que un obrero dedica a su labor y refleja el costo del tiempo durante el cual no esta trabajando pero si esta devengando.</t>
  </si>
  <si>
    <t>Si se toma como base la hora calendario, se incrementa 24.57% para obtener la hora efectiva.</t>
  </si>
  <si>
    <t>Si se toma como base la hora laboral, se incrementa 6.83% para obtener la hora efectiva.</t>
  </si>
  <si>
    <t>CALCULO DE CUADRILLAS</t>
  </si>
  <si>
    <t xml:space="preserve">CUADRILLA "AA" (Albañileria) </t>
  </si>
  <si>
    <t>Jornal Ayudante</t>
  </si>
  <si>
    <t>1.2 Minimos</t>
  </si>
  <si>
    <t>Valor Real del Jornal</t>
  </si>
  <si>
    <t>Valor Total Hr Ayudante</t>
  </si>
  <si>
    <t>Jornal Oficial</t>
  </si>
  <si>
    <t>2.1 Minimos</t>
  </si>
  <si>
    <t>Valor Total Hr Oficial</t>
  </si>
  <si>
    <t>Valor Dia Cuadrilla</t>
  </si>
  <si>
    <t>Valor Hr Cuadrilla</t>
  </si>
  <si>
    <t xml:space="preserve">CUADRILLA "BB" (Instalaciones) </t>
  </si>
  <si>
    <t>1.32 Minimos</t>
  </si>
  <si>
    <t>2.31 Minimos</t>
  </si>
  <si>
    <t xml:space="preserve">CUADRILLA "CC" (Pintura) </t>
  </si>
  <si>
    <t>1.38 Minimos</t>
  </si>
  <si>
    <t>2.415 Minimos</t>
  </si>
  <si>
    <t xml:space="preserve">CUADRILLA "DD" (Carpinterias) </t>
  </si>
  <si>
    <t>1.44 Minimos</t>
  </si>
  <si>
    <t>2.52 Minimos</t>
  </si>
  <si>
    <t xml:space="preserve">CUADRILLA "EE" (Cableado Estructural) </t>
  </si>
  <si>
    <t>1.56 Minimos</t>
  </si>
  <si>
    <t>2.73 Minimos</t>
  </si>
  <si>
    <t>HORA TOTAL</t>
  </si>
  <si>
    <t>Área/lugar/elemento</t>
  </si>
  <si>
    <t>Longitud (m)</t>
  </si>
  <si>
    <t>Ancho (m)</t>
  </si>
  <si>
    <t>Total</t>
  </si>
  <si>
    <t>ESQUEMA</t>
  </si>
  <si>
    <t>Observaciones:</t>
  </si>
  <si>
    <t>m3</t>
  </si>
  <si>
    <t>MEMORIA DE CANTIDADES</t>
  </si>
  <si>
    <t>Código MC 14     Versión 2</t>
  </si>
  <si>
    <t xml:space="preserve">Fecha: </t>
  </si>
  <si>
    <t>B1</t>
  </si>
  <si>
    <t>Concreto 28Mpa</t>
  </si>
  <si>
    <t>M3</t>
  </si>
  <si>
    <t>Cemento</t>
  </si>
  <si>
    <t>Triturado</t>
  </si>
  <si>
    <t>Arena</t>
  </si>
  <si>
    <t>Agua</t>
  </si>
  <si>
    <t>Aditivo redutor de agua y plastificante (eucon)</t>
  </si>
  <si>
    <t>Aditivo acelerante u retardante</t>
  </si>
  <si>
    <t>Kg</t>
  </si>
  <si>
    <t>Lt</t>
  </si>
  <si>
    <t>Mezcladora</t>
  </si>
  <si>
    <t>Triturado Planta Obra</t>
  </si>
  <si>
    <t>Arena cantera obra</t>
  </si>
  <si>
    <t>B2</t>
  </si>
  <si>
    <t>Concreto 24.5Mpa</t>
  </si>
  <si>
    <t>ÍTEMS BÁSICOS</t>
  </si>
  <si>
    <t>B3</t>
  </si>
  <si>
    <t>Concreto 21Mpa</t>
  </si>
  <si>
    <t>Concreto 17.5Mpa</t>
  </si>
  <si>
    <t>Concreto 14Mpa</t>
  </si>
  <si>
    <t>B4</t>
  </si>
  <si>
    <t>B5</t>
  </si>
  <si>
    <t>B6</t>
  </si>
  <si>
    <t>KG</t>
  </si>
  <si>
    <t>Barra de acero corrugada 420Mpa</t>
  </si>
  <si>
    <t>Acero de refuerzo 420MPa figurado</t>
  </si>
  <si>
    <t>Disco de corte de metal</t>
  </si>
  <si>
    <t>Acero Ferretería obra</t>
  </si>
  <si>
    <t>B7</t>
  </si>
  <si>
    <t>Mortero 1:4</t>
  </si>
  <si>
    <t>Arena fina</t>
  </si>
  <si>
    <t>lt</t>
  </si>
  <si>
    <t>Arena Cantera Obra</t>
  </si>
  <si>
    <t>B8</t>
  </si>
  <si>
    <t>Mortero 1:4 impermeabilizado</t>
  </si>
  <si>
    <t>Aditivo impermeabilizante (sika 1)</t>
  </si>
  <si>
    <t>Plan de manejo de tránsito</t>
  </si>
  <si>
    <t>Interventoría</t>
  </si>
  <si>
    <t>MANTENIMIENTO RUTINARIO DE LAS VIAS TERCIARIAS DEL MUNICIPIO DE AGUACHICA, DEPARTAMENTO DEL CESAR</t>
  </si>
  <si>
    <t>Gerente de Planeación y Obras</t>
  </si>
  <si>
    <t>Conformación de calzada existente, sin adición de material - incluye rectificación de cunetas</t>
  </si>
  <si>
    <t>Carrotanque de agua</t>
  </si>
  <si>
    <t>Motoniveladora ancho cuchilla 4,27m</t>
  </si>
  <si>
    <t>UND</t>
  </si>
  <si>
    <t>Leonel Pallares Guillin</t>
  </si>
  <si>
    <t>07 de enero de 2021</t>
  </si>
  <si>
    <t>Vibrocompactador 10 Ton</t>
  </si>
  <si>
    <t>Mejoramiento de la sub-rasante con adicion de materiales</t>
  </si>
  <si>
    <t>Via Nacional  - Planadas de Limoncito</t>
  </si>
  <si>
    <t>Yee platanal (vereda boqueron) - Vereda Honduras(fin de via)</t>
  </si>
  <si>
    <t>Yee platanal (vereda boqueron) - Quebrada el Tigre (fin de via vereda boqueron)</t>
  </si>
  <si>
    <t>Yee planadas de limoncito - Yee palenquillo (vereda palenquillo)</t>
  </si>
  <si>
    <t>Yee palenquillo ( vereda palenquillo) - Fin de Via Palenquillo (escuela sede palenquillo)</t>
  </si>
  <si>
    <t xml:space="preserve">Yee palenquillo ( vereda palenquillo) - Fin de Via Santa Rosa de Caracol </t>
  </si>
  <si>
    <t>Yee Comeavio - Escuela Cerro Redondo (vereda cerro redondo)</t>
  </si>
  <si>
    <t>A. PARCIAL</t>
  </si>
  <si>
    <t>Planadas de limoncito - Yee Platanal (vereda boqueron)</t>
  </si>
  <si>
    <t>material de sub-base</t>
  </si>
  <si>
    <t>Via Nacional  - escuela Guaduas</t>
  </si>
  <si>
    <t>desperdicio</t>
  </si>
  <si>
    <t>Yee de Guaduas - Medios Caños</t>
  </si>
  <si>
    <t>Giancarlo Solano Lobo</t>
  </si>
  <si>
    <t>R/L ESTRUCAD INGENIERIA Y CONSULTORIA S.A.S.</t>
  </si>
  <si>
    <t>OFERENTE</t>
  </si>
  <si>
    <t>ANALISIS DE PRECIOS UNITARIOS</t>
  </si>
  <si>
    <t>PROPONENTE</t>
  </si>
  <si>
    <t>PDF 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</si>
</sst>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0\ &quot;días&quot;"/>
    <numFmt numFmtId="205" formatCode="_-* #,##0.00\ _P_t_s_-;\-* #,##0.00\ _P_t_s_-;_-* &quot;-&quot;??\ _P_t_s_-;_-@_-"/>
    <numFmt numFmtId="206" formatCode="_-[$$-240A]\ * #,##0.00_-;\-[$$-240A]\ * #,##0.00_-;_-[$$-240A]\ * &quot;-&quot;??_-;_-@_-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rgb="FF595959"/>
      <name val="Arial"/>
      <family val="2"/>
      <charset val="1"/>
    </font>
    <font>
      <sz val="9"/>
      <color rgb="FF595959"/>
      <name val="Arial"/>
      <family val="2"/>
      <charset val="1"/>
    </font>
    <font>
      <u/>
      <sz val="9"/>
      <name val="Arial"/>
      <family val="2"/>
    </font>
    <font>
      <b/>
      <sz val="9"/>
      <name val="Arial Narrow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indexed="8"/>
      <name val="Century Gothic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8"/>
      <name val="Arial"/>
    </font>
    <font>
      <sz val="10"/>
      <name val="Arial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6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53">
      <alignment horizontal="right"/>
    </xf>
    <xf numFmtId="188" fontId="7" fillId="0" borderId="53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53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7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169" fontId="9" fillId="0" borderId="0" applyFont="0" applyFill="0" applyBorder="0" applyAlignment="0" applyProtection="0"/>
    <xf numFmtId="44" fontId="69" fillId="0" borderId="0" applyFont="0" applyFill="0" applyBorder="0" applyAlignment="0" applyProtection="0"/>
  </cellStyleXfs>
  <cellXfs count="576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40" xfId="89" applyFont="1" applyBorder="1"/>
    <xf numFmtId="0" fontId="33" fillId="0" borderId="41" xfId="89" applyFont="1" applyBorder="1"/>
    <xf numFmtId="0" fontId="33" fillId="0" borderId="41" xfId="89" applyFont="1" applyBorder="1" applyAlignment="1">
      <alignment horizontal="center"/>
    </xf>
    <xf numFmtId="0" fontId="33" fillId="0" borderId="42" xfId="89" applyFont="1" applyBorder="1"/>
    <xf numFmtId="0" fontId="33" fillId="0" borderId="38" xfId="89" applyFont="1" applyBorder="1"/>
    <xf numFmtId="0" fontId="33" fillId="0" borderId="39" xfId="89" applyFont="1" applyBorder="1"/>
    <xf numFmtId="0" fontId="33" fillId="0" borderId="0" xfId="90" applyFont="1"/>
    <xf numFmtId="0" fontId="33" fillId="0" borderId="38" xfId="90" applyFont="1" applyBorder="1"/>
    <xf numFmtId="0" fontId="33" fillId="0" borderId="39" xfId="90" applyFont="1" applyBorder="1"/>
    <xf numFmtId="182" fontId="33" fillId="0" borderId="39" xfId="90" applyNumberFormat="1" applyFont="1" applyBorder="1"/>
    <xf numFmtId="184" fontId="33" fillId="0" borderId="39" xfId="90" applyNumberFormat="1" applyFont="1" applyBorder="1"/>
    <xf numFmtId="0" fontId="33" fillId="0" borderId="36" xfId="90" applyFont="1" applyBorder="1"/>
    <xf numFmtId="0" fontId="33" fillId="0" borderId="37" xfId="89" applyFont="1" applyBorder="1"/>
    <xf numFmtId="0" fontId="33" fillId="0" borderId="37" xfId="89" applyFont="1" applyBorder="1" applyAlignment="1">
      <alignment horizontal="center"/>
    </xf>
    <xf numFmtId="185" fontId="33" fillId="0" borderId="37" xfId="34" applyNumberFormat="1" applyFont="1" applyBorder="1"/>
    <xf numFmtId="0" fontId="33" fillId="0" borderId="43" xfId="89" applyFont="1" applyBorder="1"/>
    <xf numFmtId="0" fontId="43" fillId="0" borderId="39" xfId="255" applyFont="1" applyFill="1" applyBorder="1" applyAlignment="1">
      <alignment horizontal="center" vertical="center"/>
    </xf>
    <xf numFmtId="0" fontId="43" fillId="0" borderId="39" xfId="0" applyFont="1" applyFill="1" applyBorder="1" applyAlignment="1">
      <alignment horizontal="center" vertical="center"/>
    </xf>
    <xf numFmtId="0" fontId="43" fillId="0" borderId="39" xfId="0" applyFont="1" applyFill="1" applyBorder="1" applyAlignment="1">
      <alignment vertical="center"/>
    </xf>
    <xf numFmtId="1" fontId="43" fillId="0" borderId="39" xfId="0" applyNumberFormat="1" applyFont="1" applyFill="1" applyBorder="1" applyAlignment="1">
      <alignment horizontal="center" vertical="center"/>
    </xf>
    <xf numFmtId="0" fontId="43" fillId="0" borderId="39" xfId="0" applyFont="1" applyFill="1" applyBorder="1" applyAlignment="1">
      <alignment horizontal="center"/>
    </xf>
    <xf numFmtId="0" fontId="46" fillId="0" borderId="78" xfId="0" applyFont="1" applyBorder="1" applyAlignment="1">
      <alignment horizontal="left" vertical="center"/>
    </xf>
    <xf numFmtId="0" fontId="47" fillId="0" borderId="78" xfId="0" applyFont="1" applyBorder="1" applyAlignment="1">
      <alignment horizontal="left" vertical="center"/>
    </xf>
    <xf numFmtId="0" fontId="33" fillId="0" borderId="0" xfId="89" applyFont="1" applyBorder="1"/>
    <xf numFmtId="0" fontId="49" fillId="24" borderId="47" xfId="73" applyFont="1" applyFill="1" applyBorder="1" applyAlignment="1">
      <alignment vertical="center"/>
    </xf>
    <xf numFmtId="0" fontId="49" fillId="24" borderId="48" xfId="73" applyFont="1" applyFill="1" applyBorder="1" applyAlignment="1">
      <alignment vertical="center"/>
    </xf>
    <xf numFmtId="0" fontId="48" fillId="0" borderId="14" xfId="74" applyFont="1" applyBorder="1" applyAlignment="1">
      <alignment horizontal="center" vertical="center"/>
    </xf>
    <xf numFmtId="0" fontId="48" fillId="0" borderId="14" xfId="74" applyFont="1" applyBorder="1" applyAlignment="1">
      <alignment horizontal="left" vertical="center" wrapText="1"/>
    </xf>
    <xf numFmtId="167" fontId="48" fillId="0" borderId="24" xfId="62" applyNumberFormat="1" applyFont="1" applyBorder="1" applyAlignment="1">
      <alignment horizontal="right" vertical="center" wrapText="1"/>
    </xf>
    <xf numFmtId="49" fontId="49" fillId="0" borderId="0" xfId="131" applyNumberFormat="1" applyFont="1" applyAlignment="1">
      <alignment horizontal="right" vertical="center"/>
    </xf>
    <xf numFmtId="186" fontId="49" fillId="0" borderId="0" xfId="131" applyNumberFormat="1" applyFont="1" applyAlignment="1">
      <alignment vertical="center"/>
    </xf>
    <xf numFmtId="0" fontId="48" fillId="0" borderId="0" xfId="128" applyFont="1"/>
    <xf numFmtId="0" fontId="48" fillId="0" borderId="0" xfId="128" applyFont="1" applyAlignment="1">
      <alignment horizontal="center"/>
    </xf>
    <xf numFmtId="0" fontId="48" fillId="0" borderId="0" xfId="126" applyFont="1" applyAlignment="1">
      <alignment horizontal="center" vertical="center"/>
    </xf>
    <xf numFmtId="9" fontId="48" fillId="0" borderId="31" xfId="129" applyNumberFormat="1" applyFont="1" applyBorder="1" applyAlignment="1">
      <alignment horizontal="center" vertical="center"/>
    </xf>
    <xf numFmtId="181" fontId="49" fillId="0" borderId="31" xfId="129" applyNumberFormat="1" applyFont="1" applyBorder="1" applyAlignment="1">
      <alignment vertical="center"/>
    </xf>
    <xf numFmtId="0" fontId="48" fillId="0" borderId="28" xfId="128" applyFont="1" applyBorder="1" applyAlignment="1">
      <alignment vertical="center"/>
    </xf>
    <xf numFmtId="2" fontId="48" fillId="0" borderId="0" xfId="128" applyNumberFormat="1" applyFont="1"/>
    <xf numFmtId="181" fontId="48" fillId="0" borderId="0" xfId="129" applyNumberFormat="1" applyFont="1"/>
    <xf numFmtId="39" fontId="49" fillId="0" borderId="0" xfId="129" applyNumberFormat="1" applyFont="1" applyAlignment="1">
      <alignment vertical="center"/>
    </xf>
    <xf numFmtId="0" fontId="49" fillId="0" borderId="34" xfId="79" applyFont="1" applyBorder="1" applyAlignment="1">
      <alignment vertical="center"/>
    </xf>
    <xf numFmtId="186" fontId="50" fillId="0" borderId="51" xfId="60" applyNumberFormat="1" applyFont="1" applyFill="1" applyBorder="1" applyAlignment="1">
      <alignment horizontal="center" vertical="center"/>
    </xf>
    <xf numFmtId="186" fontId="42" fillId="0" borderId="18" xfId="60" applyNumberFormat="1" applyFont="1" applyFill="1" applyBorder="1" applyAlignment="1">
      <alignment horizontal="center" vertical="center"/>
    </xf>
    <xf numFmtId="9" fontId="5" fillId="0" borderId="30" xfId="95" applyFont="1" applyFill="1" applyBorder="1" applyAlignment="1">
      <alignment horizontal="center" vertical="center"/>
    </xf>
    <xf numFmtId="0" fontId="50" fillId="24" borderId="45" xfId="73" applyFont="1" applyFill="1" applyBorder="1" applyAlignment="1">
      <alignment vertical="center"/>
    </xf>
    <xf numFmtId="0" fontId="51" fillId="0" borderId="13" xfId="73" applyFont="1" applyBorder="1" applyAlignment="1">
      <alignment horizontal="left" vertical="center"/>
    </xf>
    <xf numFmtId="0" fontId="50" fillId="0" borderId="27" xfId="128" applyFont="1" applyBorder="1" applyAlignment="1">
      <alignment horizontal="left" vertical="center"/>
    </xf>
    <xf numFmtId="0" fontId="51" fillId="0" borderId="61" xfId="0" applyFont="1" applyBorder="1" applyAlignment="1">
      <alignment horizontal="right" vertical="center"/>
    </xf>
    <xf numFmtId="0" fontId="51" fillId="0" borderId="29" xfId="0" applyFont="1" applyBorder="1" applyAlignment="1">
      <alignment horizontal="center" vertical="center"/>
    </xf>
    <xf numFmtId="0" fontId="51" fillId="0" borderId="35" xfId="0" applyFont="1" applyBorder="1" applyAlignment="1">
      <alignment horizontal="center" vertical="center"/>
    </xf>
    <xf numFmtId="0" fontId="51" fillId="0" borderId="77" xfId="255" applyFont="1" applyBorder="1" applyAlignment="1">
      <alignment horizontal="center" vertical="center"/>
    </xf>
    <xf numFmtId="0" fontId="51" fillId="0" borderId="77" xfId="255" applyFont="1" applyBorder="1" applyAlignment="1">
      <alignment vertical="center"/>
    </xf>
    <xf numFmtId="0" fontId="51" fillId="0" borderId="53" xfId="255" applyFont="1" applyBorder="1" applyAlignment="1">
      <alignment vertical="center"/>
    </xf>
    <xf numFmtId="0" fontId="51" fillId="0" borderId="76" xfId="255" applyFont="1" applyBorder="1" applyAlignment="1">
      <alignment vertical="center"/>
    </xf>
    <xf numFmtId="0" fontId="50" fillId="24" borderId="29" xfId="0" applyFont="1" applyFill="1" applyBorder="1" applyAlignment="1">
      <alignment horizontal="center"/>
    </xf>
    <xf numFmtId="0" fontId="50" fillId="24" borderId="35" xfId="0" applyFont="1" applyFill="1" applyBorder="1" applyAlignment="1">
      <alignment horizontal="center"/>
    </xf>
    <xf numFmtId="0" fontId="50" fillId="24" borderId="50" xfId="0" applyFont="1" applyFill="1" applyBorder="1" applyAlignment="1">
      <alignment horizontal="center"/>
    </xf>
    <xf numFmtId="0" fontId="50" fillId="24" borderId="16" xfId="0" applyFont="1" applyFill="1" applyBorder="1" applyAlignment="1">
      <alignment horizontal="center"/>
    </xf>
    <xf numFmtId="0" fontId="50" fillId="24" borderId="29" xfId="0" applyFont="1" applyFill="1" applyBorder="1"/>
    <xf numFmtId="0" fontId="50" fillId="24" borderId="73" xfId="0" applyFont="1" applyFill="1" applyBorder="1" applyAlignment="1">
      <alignment horizontal="center" vertical="center"/>
    </xf>
    <xf numFmtId="0" fontId="50" fillId="24" borderId="29" xfId="0" applyFont="1" applyFill="1" applyBorder="1" applyAlignment="1">
      <alignment horizontal="center" wrapText="1"/>
    </xf>
    <xf numFmtId="0" fontId="50" fillId="24" borderId="35" xfId="0" applyFont="1" applyFill="1" applyBorder="1" applyAlignment="1">
      <alignment horizontal="center" wrapText="1"/>
    </xf>
    <xf numFmtId="0" fontId="50" fillId="24" borderId="17" xfId="0" applyFont="1" applyFill="1" applyBorder="1" applyAlignment="1">
      <alignment horizontal="center" wrapText="1"/>
    </xf>
    <xf numFmtId="0" fontId="51" fillId="0" borderId="65" xfId="0" applyFont="1" applyBorder="1"/>
    <xf numFmtId="0" fontId="51" fillId="0" borderId="58" xfId="0" applyFont="1" applyBorder="1"/>
    <xf numFmtId="0" fontId="51" fillId="0" borderId="27" xfId="0" applyFont="1" applyBorder="1"/>
    <xf numFmtId="0" fontId="51" fillId="0" borderId="31" xfId="0" applyFont="1" applyBorder="1"/>
    <xf numFmtId="0" fontId="50" fillId="0" borderId="11" xfId="0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50" fillId="0" borderId="12" xfId="0" applyFont="1" applyBorder="1" applyAlignment="1">
      <alignment vertical="center"/>
    </xf>
    <xf numFmtId="0" fontId="50" fillId="0" borderId="13" xfId="0" applyFont="1" applyBorder="1" applyAlignment="1">
      <alignment vertical="center"/>
    </xf>
    <xf numFmtId="0" fontId="50" fillId="0" borderId="14" xfId="0" applyFont="1" applyBorder="1" applyAlignment="1">
      <alignment vertical="center"/>
    </xf>
    <xf numFmtId="0" fontId="50" fillId="0" borderId="15" xfId="0" applyFont="1" applyBorder="1" applyAlignment="1">
      <alignment vertical="center"/>
    </xf>
    <xf numFmtId="0" fontId="51" fillId="0" borderId="11" xfId="0" applyFont="1" applyBorder="1"/>
    <xf numFmtId="0" fontId="51" fillId="0" borderId="0" xfId="0" applyFont="1" applyBorder="1"/>
    <xf numFmtId="0" fontId="51" fillId="0" borderId="12" xfId="0" applyFont="1" applyBorder="1"/>
    <xf numFmtId="0" fontId="51" fillId="0" borderId="59" xfId="0" applyFont="1" applyBorder="1"/>
    <xf numFmtId="0" fontId="51" fillId="0" borderId="11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51" fillId="0" borderId="12" xfId="0" applyFont="1" applyBorder="1" applyAlignment="1">
      <alignment horizontal="center"/>
    </xf>
    <xf numFmtId="0" fontId="51" fillId="0" borderId="14" xfId="0" applyFont="1" applyBorder="1"/>
    <xf numFmtId="0" fontId="43" fillId="0" borderId="0" xfId="0" applyFont="1"/>
    <xf numFmtId="0" fontId="43" fillId="0" borderId="0" xfId="0" applyFont="1" applyFill="1"/>
    <xf numFmtId="0" fontId="43" fillId="0" borderId="40" xfId="0" applyFont="1" applyBorder="1"/>
    <xf numFmtId="0" fontId="43" fillId="0" borderId="79" xfId="0" applyFont="1" applyBorder="1"/>
    <xf numFmtId="0" fontId="43" fillId="0" borderId="80" xfId="0" applyFont="1" applyFill="1" applyBorder="1"/>
    <xf numFmtId="0" fontId="43" fillId="0" borderId="38" xfId="0" applyFont="1" applyBorder="1"/>
    <xf numFmtId="0" fontId="53" fillId="0" borderId="78" xfId="0" applyFont="1" applyBorder="1" applyAlignment="1">
      <alignment horizontal="left" vertical="center"/>
    </xf>
    <xf numFmtId="0" fontId="54" fillId="0" borderId="78" xfId="0" applyFont="1" applyBorder="1" applyAlignment="1">
      <alignment horizontal="left" vertical="center"/>
    </xf>
    <xf numFmtId="0" fontId="43" fillId="0" borderId="0" xfId="0" applyFont="1" applyBorder="1"/>
    <xf numFmtId="0" fontId="43" fillId="0" borderId="39" xfId="0" applyFont="1" applyFill="1" applyBorder="1"/>
    <xf numFmtId="0" fontId="53" fillId="0" borderId="85" xfId="0" applyFont="1" applyBorder="1"/>
    <xf numFmtId="0" fontId="54" fillId="0" borderId="14" xfId="0" applyFont="1" applyBorder="1"/>
    <xf numFmtId="0" fontId="53" fillId="0" borderId="14" xfId="0" applyFont="1" applyBorder="1"/>
    <xf numFmtId="0" fontId="43" fillId="0" borderId="14" xfId="0" applyFont="1" applyBorder="1"/>
    <xf numFmtId="0" fontId="51" fillId="0" borderId="75" xfId="255" applyFont="1" applyBorder="1" applyAlignment="1">
      <alignment vertical="center"/>
    </xf>
    <xf numFmtId="0" fontId="51" fillId="0" borderId="0" xfId="255" applyFont="1" applyBorder="1" applyAlignment="1">
      <alignment vertical="center"/>
    </xf>
    <xf numFmtId="0" fontId="51" fillId="0" borderId="12" xfId="255" applyFont="1" applyBorder="1" applyAlignment="1">
      <alignment vertical="center"/>
    </xf>
    <xf numFmtId="0" fontId="51" fillId="0" borderId="65" xfId="0" applyFont="1" applyBorder="1" applyAlignment="1">
      <alignment horizontal="center"/>
    </xf>
    <xf numFmtId="0" fontId="50" fillId="0" borderId="58" xfId="0" applyFont="1" applyBorder="1" applyAlignment="1">
      <alignment horizontal="center"/>
    </xf>
    <xf numFmtId="0" fontId="51" fillId="0" borderId="58" xfId="0" applyFont="1" applyBorder="1" applyAlignment="1">
      <alignment vertical="center"/>
    </xf>
    <xf numFmtId="0" fontId="51" fillId="0" borderId="74" xfId="0" applyFont="1" applyBorder="1" applyAlignment="1">
      <alignment vertical="center"/>
    </xf>
    <xf numFmtId="0" fontId="51" fillId="0" borderId="62" xfId="0" applyFont="1" applyBorder="1" applyAlignment="1">
      <alignment horizontal="center"/>
    </xf>
    <xf numFmtId="0" fontId="50" fillId="0" borderId="61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51" fillId="0" borderId="0" xfId="0" applyFont="1" applyBorder="1" applyAlignment="1">
      <alignment horizontal="right" vertical="center"/>
    </xf>
    <xf numFmtId="1" fontId="51" fillId="0" borderId="18" xfId="0" applyNumberFormat="1" applyFont="1" applyBorder="1" applyAlignment="1">
      <alignment horizontal="center" vertical="center"/>
    </xf>
    <xf numFmtId="1" fontId="51" fillId="0" borderId="30" xfId="0" applyNumberFormat="1" applyFont="1" applyBorder="1" applyAlignment="1">
      <alignment horizontal="center" vertical="center"/>
    </xf>
    <xf numFmtId="0" fontId="56" fillId="0" borderId="39" xfId="0" applyFont="1" applyFill="1" applyBorder="1" applyAlignment="1" applyProtection="1">
      <alignment horizontal="center"/>
      <protection locked="0"/>
    </xf>
    <xf numFmtId="0" fontId="56" fillId="0" borderId="39" xfId="0" applyFont="1" applyFill="1" applyBorder="1" applyAlignment="1">
      <alignment horizontal="center" vertical="center"/>
    </xf>
    <xf numFmtId="0" fontId="51" fillId="0" borderId="71" xfId="0" applyFont="1" applyFill="1" applyBorder="1" applyAlignment="1">
      <alignment horizontal="center" vertical="center"/>
    </xf>
    <xf numFmtId="4" fontId="51" fillId="0" borderId="71" xfId="0" applyNumberFormat="1" applyFont="1" applyFill="1" applyBorder="1" applyAlignment="1">
      <alignment horizontal="center" vertical="center"/>
    </xf>
    <xf numFmtId="4" fontId="43" fillId="0" borderId="39" xfId="0" applyNumberFormat="1" applyFont="1" applyFill="1" applyBorder="1" applyAlignment="1">
      <alignment horizontal="center" vertical="center"/>
    </xf>
    <xf numFmtId="0" fontId="43" fillId="0" borderId="84" xfId="0" applyFont="1" applyBorder="1"/>
    <xf numFmtId="0" fontId="56" fillId="0" borderId="39" xfId="0" applyFont="1" applyFill="1" applyBorder="1" applyAlignment="1">
      <alignment horizontal="left" vertical="center"/>
    </xf>
    <xf numFmtId="0" fontId="56" fillId="0" borderId="39" xfId="0" applyFont="1" applyFill="1" applyBorder="1" applyAlignment="1">
      <alignment horizontal="center"/>
    </xf>
    <xf numFmtId="173" fontId="51" fillId="0" borderId="18" xfId="34" applyFont="1" applyBorder="1"/>
    <xf numFmtId="173" fontId="51" fillId="0" borderId="30" xfId="34" applyFont="1" applyBorder="1"/>
    <xf numFmtId="173" fontId="43" fillId="0" borderId="39" xfId="34" applyFont="1" applyFill="1" applyBorder="1"/>
    <xf numFmtId="0" fontId="51" fillId="0" borderId="67" xfId="0" applyFont="1" applyBorder="1"/>
    <xf numFmtId="0" fontId="51" fillId="0" borderId="68" xfId="0" applyFont="1" applyBorder="1"/>
    <xf numFmtId="173" fontId="51" fillId="0" borderId="66" xfId="34" applyFont="1" applyBorder="1"/>
    <xf numFmtId="173" fontId="51" fillId="0" borderId="63" xfId="0" applyNumberFormat="1" applyFont="1" applyBorder="1"/>
    <xf numFmtId="173" fontId="43" fillId="0" borderId="39" xfId="0" applyNumberFormat="1" applyFont="1" applyFill="1" applyBorder="1"/>
    <xf numFmtId="0" fontId="51" fillId="0" borderId="22" xfId="0" applyFont="1" applyBorder="1" applyAlignment="1">
      <alignment horizontal="center"/>
    </xf>
    <xf numFmtId="2" fontId="51" fillId="0" borderId="18" xfId="0" applyNumberFormat="1" applyFont="1" applyBorder="1"/>
    <xf numFmtId="173" fontId="51" fillId="0" borderId="46" xfId="34" applyFont="1" applyBorder="1"/>
    <xf numFmtId="173" fontId="51" fillId="0" borderId="63" xfId="34" applyFont="1" applyBorder="1"/>
    <xf numFmtId="2" fontId="51" fillId="0" borderId="18" xfId="0" applyNumberFormat="1" applyFont="1" applyBorder="1" applyAlignment="1">
      <alignment horizontal="center"/>
    </xf>
    <xf numFmtId="2" fontId="51" fillId="0" borderId="22" xfId="0" applyNumberFormat="1" applyFont="1" applyBorder="1" applyAlignment="1">
      <alignment horizontal="center"/>
    </xf>
    <xf numFmtId="0" fontId="51" fillId="0" borderId="66" xfId="0" applyFont="1" applyBorder="1"/>
    <xf numFmtId="173" fontId="51" fillId="0" borderId="44" xfId="34" applyFont="1" applyBorder="1"/>
    <xf numFmtId="0" fontId="56" fillId="0" borderId="39" xfId="0" applyFont="1" applyFill="1" applyBorder="1" applyAlignment="1">
      <alignment horizontal="center" wrapText="1"/>
    </xf>
    <xf numFmtId="0" fontId="51" fillId="0" borderId="21" xfId="0" applyFont="1" applyBorder="1" applyAlignment="1">
      <alignment horizontal="left"/>
    </xf>
    <xf numFmtId="0" fontId="51" fillId="0" borderId="22" xfId="0" applyFont="1" applyBorder="1" applyAlignment="1">
      <alignment horizontal="left"/>
    </xf>
    <xf numFmtId="173" fontId="51" fillId="0" borderId="51" xfId="34" applyFont="1" applyBorder="1" applyAlignment="1">
      <alignment horizontal="center" wrapText="1"/>
    </xf>
    <xf numFmtId="173" fontId="43" fillId="0" borderId="39" xfId="34" applyFont="1" applyFill="1" applyBorder="1" applyAlignment="1">
      <alignment horizontal="center" wrapText="1"/>
    </xf>
    <xf numFmtId="166" fontId="51" fillId="24" borderId="63" xfId="0" applyNumberFormat="1" applyFont="1" applyFill="1" applyBorder="1"/>
    <xf numFmtId="166" fontId="43" fillId="0" borderId="39" xfId="0" applyNumberFormat="1" applyFont="1" applyFill="1" applyBorder="1"/>
    <xf numFmtId="43" fontId="51" fillId="0" borderId="22" xfId="34" applyNumberFormat="1" applyFont="1" applyBorder="1"/>
    <xf numFmtId="9" fontId="51" fillId="0" borderId="23" xfId="95" applyFont="1" applyBorder="1"/>
    <xf numFmtId="9" fontId="51" fillId="0" borderId="18" xfId="95" applyFont="1" applyBorder="1" applyAlignment="1">
      <alignment horizontal="center"/>
    </xf>
    <xf numFmtId="43" fontId="51" fillId="0" borderId="30" xfId="34" applyNumberFormat="1" applyFont="1" applyBorder="1"/>
    <xf numFmtId="43" fontId="43" fillId="0" borderId="39" xfId="34" applyNumberFormat="1" applyFont="1" applyFill="1" applyBorder="1"/>
    <xf numFmtId="43" fontId="51" fillId="0" borderId="31" xfId="34" applyNumberFormat="1" applyFont="1" applyBorder="1"/>
    <xf numFmtId="9" fontId="51" fillId="0" borderId="28" xfId="95" applyFont="1" applyBorder="1"/>
    <xf numFmtId="43" fontId="51" fillId="0" borderId="63" xfId="0" applyNumberFormat="1" applyFont="1" applyBorder="1"/>
    <xf numFmtId="43" fontId="43" fillId="0" borderId="39" xfId="0" applyNumberFormat="1" applyFont="1" applyFill="1" applyBorder="1"/>
    <xf numFmtId="43" fontId="51" fillId="24" borderId="63" xfId="0" applyNumberFormat="1" applyFont="1" applyFill="1" applyBorder="1"/>
    <xf numFmtId="0" fontId="43" fillId="0" borderId="39" xfId="0" applyFont="1" applyFill="1" applyBorder="1" applyAlignment="1">
      <alignment horizontal="right"/>
    </xf>
    <xf numFmtId="0" fontId="43" fillId="0" borderId="81" xfId="0" applyFont="1" applyBorder="1"/>
    <xf numFmtId="0" fontId="43" fillId="0" borderId="82" xfId="0" applyFont="1" applyBorder="1"/>
    <xf numFmtId="0" fontId="43" fillId="0" borderId="83" xfId="0" applyFont="1" applyFill="1" applyBorder="1"/>
    <xf numFmtId="0" fontId="50" fillId="24" borderId="16" xfId="0" applyFont="1" applyFill="1" applyBorder="1" applyAlignment="1">
      <alignment horizontal="left"/>
    </xf>
    <xf numFmtId="0" fontId="50" fillId="24" borderId="29" xfId="0" applyFont="1" applyFill="1" applyBorder="1" applyAlignment="1">
      <alignment horizontal="left"/>
    </xf>
    <xf numFmtId="0" fontId="51" fillId="0" borderId="65" xfId="0" applyFont="1" applyBorder="1" applyAlignment="1"/>
    <xf numFmtId="0" fontId="51" fillId="0" borderId="58" xfId="0" applyFont="1" applyBorder="1" applyAlignment="1"/>
    <xf numFmtId="0" fontId="51" fillId="0" borderId="67" xfId="0" applyFont="1" applyBorder="1" applyAlignment="1"/>
    <xf numFmtId="0" fontId="51" fillId="0" borderId="58" xfId="0" applyFont="1" applyBorder="1" applyAlignment="1">
      <alignment horizontal="center"/>
    </xf>
    <xf numFmtId="2" fontId="51" fillId="0" borderId="77" xfId="0" applyNumberFormat="1" applyFont="1" applyBorder="1"/>
    <xf numFmtId="173" fontId="51" fillId="0" borderId="68" xfId="34" applyFont="1" applyBorder="1" applyAlignment="1">
      <alignment horizontal="center"/>
    </xf>
    <xf numFmtId="173" fontId="51" fillId="0" borderId="67" xfId="34" applyFont="1" applyBorder="1" applyAlignment="1">
      <alignment horizontal="center"/>
    </xf>
    <xf numFmtId="173" fontId="51" fillId="0" borderId="76" xfId="34" applyFont="1" applyBorder="1"/>
    <xf numFmtId="0" fontId="8" fillId="0" borderId="20" xfId="126" applyFont="1" applyBorder="1" applyAlignment="1">
      <alignment horizontal="center" vertical="center" wrapText="1"/>
    </xf>
    <xf numFmtId="0" fontId="51" fillId="0" borderId="68" xfId="0" applyFont="1" applyBorder="1" applyAlignment="1"/>
    <xf numFmtId="0" fontId="51" fillId="0" borderId="19" xfId="0" applyFont="1" applyBorder="1" applyAlignment="1">
      <alignment horizontal="center"/>
    </xf>
    <xf numFmtId="0" fontId="51" fillId="0" borderId="23" xfId="0" applyFont="1" applyBorder="1" applyAlignment="1">
      <alignment horizontal="center"/>
    </xf>
    <xf numFmtId="0" fontId="42" fillId="0" borderId="0" xfId="0" applyFont="1" applyBorder="1"/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46" fillId="0" borderId="14" xfId="0" applyFont="1" applyBorder="1" applyAlignment="1">
      <alignment horizontal="left" vertical="center"/>
    </xf>
    <xf numFmtId="0" fontId="47" fillId="0" borderId="14" xfId="0" applyFont="1" applyBorder="1" applyAlignment="1">
      <alignment horizontal="left" vertical="center"/>
    </xf>
    <xf numFmtId="0" fontId="33" fillId="0" borderId="14" xfId="89" applyFont="1" applyBorder="1"/>
    <xf numFmtId="0" fontId="51" fillId="0" borderId="55" xfId="73" applyFont="1" applyBorder="1" applyAlignment="1">
      <alignment horizontal="center" vertical="center"/>
    </xf>
    <xf numFmtId="0" fontId="51" fillId="0" borderId="18" xfId="74" applyFont="1" applyBorder="1" applyAlignment="1">
      <alignment horizontal="center" vertical="center"/>
    </xf>
    <xf numFmtId="0" fontId="51" fillId="0" borderId="18" xfId="74" applyFont="1" applyBorder="1" applyAlignment="1">
      <alignment horizontal="left" vertical="center" wrapText="1"/>
    </xf>
    <xf numFmtId="4" fontId="51" fillId="0" borderId="18" xfId="39" applyNumberFormat="1" applyFont="1" applyBorder="1" applyAlignment="1">
      <alignment vertical="center" wrapText="1"/>
    </xf>
    <xf numFmtId="167" fontId="51" fillId="0" borderId="18" xfId="62" applyNumberFormat="1" applyFont="1" applyBorder="1" applyAlignment="1">
      <alignment horizontal="right" vertical="center" wrapText="1"/>
    </xf>
    <xf numFmtId="167" fontId="51" fillId="0" borderId="51" xfId="62" applyNumberFormat="1" applyFont="1" applyBorder="1" applyAlignment="1">
      <alignment horizontal="right" vertical="center" wrapText="1"/>
    </xf>
    <xf numFmtId="190" fontId="51" fillId="0" borderId="77" xfId="0" applyNumberFormat="1" applyFont="1" applyBorder="1"/>
    <xf numFmtId="9" fontId="51" fillId="0" borderId="20" xfId="0" applyNumberFormat="1" applyFont="1" applyBorder="1"/>
    <xf numFmtId="0" fontId="50" fillId="0" borderId="12" xfId="0" applyFont="1" applyFill="1" applyBorder="1" applyAlignment="1">
      <alignment vertical="center"/>
    </xf>
    <xf numFmtId="0" fontId="51" fillId="0" borderId="12" xfId="0" applyFont="1" applyFill="1" applyBorder="1"/>
    <xf numFmtId="0" fontId="51" fillId="0" borderId="12" xfId="0" applyFont="1" applyFill="1" applyBorder="1" applyAlignment="1">
      <alignment horizontal="center"/>
    </xf>
    <xf numFmtId="0" fontId="51" fillId="0" borderId="15" xfId="0" applyFont="1" applyFill="1" applyBorder="1" applyAlignment="1"/>
    <xf numFmtId="0" fontId="54" fillId="0" borderId="0" xfId="0" applyFont="1" applyBorder="1"/>
    <xf numFmtId="0" fontId="53" fillId="0" borderId="0" xfId="0" applyFont="1" applyBorder="1"/>
    <xf numFmtId="0" fontId="55" fillId="0" borderId="62" xfId="256" applyFont="1" applyFill="1" applyBorder="1" applyAlignment="1" applyProtection="1"/>
    <xf numFmtId="0" fontId="50" fillId="0" borderId="61" xfId="0" applyFont="1" applyFill="1" applyBorder="1" applyAlignment="1"/>
    <xf numFmtId="0" fontId="51" fillId="0" borderId="60" xfId="255" applyFont="1" applyFill="1" applyBorder="1" applyAlignment="1">
      <alignment vertical="center"/>
    </xf>
    <xf numFmtId="0" fontId="51" fillId="0" borderId="12" xfId="0" applyFont="1" applyFill="1" applyBorder="1" applyAlignment="1">
      <alignment horizontal="center" vertical="center"/>
    </xf>
    <xf numFmtId="1" fontId="51" fillId="0" borderId="12" xfId="0" applyNumberFormat="1" applyFont="1" applyFill="1" applyBorder="1" applyAlignment="1">
      <alignment horizontal="center" vertical="center"/>
    </xf>
    <xf numFmtId="0" fontId="50" fillId="0" borderId="12" xfId="0" applyFont="1" applyFill="1" applyBorder="1" applyAlignment="1" applyProtection="1">
      <protection locked="0"/>
    </xf>
    <xf numFmtId="0" fontId="50" fillId="0" borderId="12" xfId="0" applyFont="1" applyFill="1" applyBorder="1" applyAlignment="1">
      <alignment horizontal="center" vertical="center"/>
    </xf>
    <xf numFmtId="4" fontId="51" fillId="0" borderId="12" xfId="0" applyNumberFormat="1" applyFont="1" applyFill="1" applyBorder="1" applyAlignment="1">
      <alignment horizontal="center" vertical="center"/>
    </xf>
    <xf numFmtId="0" fontId="50" fillId="0" borderId="12" xfId="0" applyFont="1" applyFill="1" applyBorder="1" applyAlignment="1">
      <alignment horizontal="center"/>
    </xf>
    <xf numFmtId="173" fontId="51" fillId="0" borderId="12" xfId="34" applyFont="1" applyFill="1" applyBorder="1"/>
    <xf numFmtId="173" fontId="51" fillId="0" borderId="12" xfId="0" applyNumberFormat="1" applyFont="1" applyFill="1" applyBorder="1"/>
    <xf numFmtId="0" fontId="50" fillId="0" borderId="12" xfId="0" applyFont="1" applyFill="1" applyBorder="1" applyAlignment="1">
      <alignment horizontal="center" wrapText="1"/>
    </xf>
    <xf numFmtId="173" fontId="51" fillId="0" borderId="12" xfId="34" applyFont="1" applyFill="1" applyBorder="1" applyAlignment="1">
      <alignment horizontal="center" wrapText="1"/>
    </xf>
    <xf numFmtId="166" fontId="51" fillId="0" borderId="12" xfId="0" applyNumberFormat="1" applyFont="1" applyFill="1" applyBorder="1"/>
    <xf numFmtId="43" fontId="51" fillId="0" borderId="12" xfId="34" applyNumberFormat="1" applyFont="1" applyFill="1" applyBorder="1"/>
    <xf numFmtId="43" fontId="51" fillId="0" borderId="12" xfId="0" applyNumberFormat="1" applyFont="1" applyFill="1" applyBorder="1"/>
    <xf numFmtId="0" fontId="57" fillId="0" borderId="0" xfId="91" applyFont="1"/>
    <xf numFmtId="0" fontId="58" fillId="0" borderId="0" xfId="91" applyFont="1"/>
    <xf numFmtId="0" fontId="57" fillId="0" borderId="0" xfId="91" applyFont="1" applyAlignment="1">
      <alignment horizontal="center"/>
    </xf>
    <xf numFmtId="0" fontId="59" fillId="0" borderId="0" xfId="91" applyFont="1"/>
    <xf numFmtId="181" fontId="58" fillId="0" borderId="0" xfId="129" applyNumberFormat="1" applyFont="1"/>
    <xf numFmtId="10" fontId="58" fillId="0" borderId="0" xfId="208" applyNumberFormat="1" applyFont="1"/>
    <xf numFmtId="204" fontId="59" fillId="0" borderId="0" xfId="91" applyNumberFormat="1" applyFont="1"/>
    <xf numFmtId="173" fontId="58" fillId="0" borderId="0" xfId="208" applyNumberFormat="1" applyFont="1"/>
    <xf numFmtId="0" fontId="58" fillId="0" borderId="0" xfId="91" applyFont="1" applyAlignment="1">
      <alignment horizontal="center"/>
    </xf>
    <xf numFmtId="10" fontId="58" fillId="0" borderId="0" xfId="208" applyNumberFormat="1" applyFont="1" applyAlignment="1"/>
    <xf numFmtId="181" fontId="58" fillId="0" borderId="0" xfId="91" applyNumberFormat="1" applyFont="1"/>
    <xf numFmtId="176" fontId="58" fillId="0" borderId="0" xfId="91" applyNumberFormat="1" applyFont="1"/>
    <xf numFmtId="205" fontId="58" fillId="0" borderId="0" xfId="208" applyNumberFormat="1" applyFont="1" applyAlignment="1"/>
    <xf numFmtId="3" fontId="58" fillId="0" borderId="0" xfId="91" applyNumberFormat="1" applyFont="1"/>
    <xf numFmtId="189" fontId="58" fillId="0" borderId="0" xfId="91" applyNumberFormat="1" applyFont="1"/>
    <xf numFmtId="2" fontId="58" fillId="0" borderId="0" xfId="91" applyNumberFormat="1" applyFont="1"/>
    <xf numFmtId="0" fontId="58" fillId="0" borderId="0" xfId="91" applyFont="1" applyAlignment="1">
      <alignment wrapText="1"/>
    </xf>
    <xf numFmtId="0" fontId="58" fillId="0" borderId="0" xfId="91" applyFont="1" applyAlignment="1">
      <alignment horizontal="left" vertical="top" wrapText="1"/>
    </xf>
    <xf numFmtId="0" fontId="58" fillId="0" borderId="0" xfId="91" applyFont="1" applyAlignment="1">
      <alignment horizontal="center" vertical="top" wrapText="1"/>
    </xf>
    <xf numFmtId="9" fontId="58" fillId="0" borderId="0" xfId="95" applyFont="1"/>
    <xf numFmtId="189" fontId="59" fillId="0" borderId="0" xfId="91" applyNumberFormat="1" applyFont="1"/>
    <xf numFmtId="10" fontId="58" fillId="0" borderId="0" xfId="208" applyNumberFormat="1" applyFont="1" applyAlignment="1">
      <alignment horizontal="center"/>
    </xf>
    <xf numFmtId="0" fontId="58" fillId="0" borderId="0" xfId="91" applyFont="1" applyAlignment="1">
      <alignment horizontal="left"/>
    </xf>
    <xf numFmtId="0" fontId="57" fillId="0" borderId="0" xfId="91" applyFont="1" applyFill="1" applyBorder="1" applyAlignment="1">
      <alignment horizontal="center"/>
    </xf>
    <xf numFmtId="0" fontId="57" fillId="0" borderId="12" xfId="91" applyFont="1" applyFill="1" applyBorder="1" applyAlignment="1">
      <alignment horizontal="center"/>
    </xf>
    <xf numFmtId="0" fontId="57" fillId="0" borderId="0" xfId="91" applyFont="1" applyAlignment="1">
      <alignment horizontal="center" vertical="top" wrapText="1"/>
    </xf>
    <xf numFmtId="0" fontId="51" fillId="0" borderId="12" xfId="0" applyFont="1" applyFill="1" applyBorder="1" applyAlignment="1"/>
    <xf numFmtId="0" fontId="58" fillId="0" borderId="13" xfId="91" applyFont="1" applyBorder="1"/>
    <xf numFmtId="0" fontId="58" fillId="0" borderId="14" xfId="91" applyFont="1" applyBorder="1" applyAlignment="1">
      <alignment horizontal="left"/>
    </xf>
    <xf numFmtId="0" fontId="59" fillId="0" borderId="14" xfId="91" applyFont="1" applyBorder="1"/>
    <xf numFmtId="181" fontId="58" fillId="0" borderId="14" xfId="91" applyNumberFormat="1" applyFont="1" applyBorder="1"/>
    <xf numFmtId="0" fontId="43" fillId="0" borderId="87" xfId="0" applyFont="1" applyBorder="1"/>
    <xf numFmtId="0" fontId="51" fillId="0" borderId="14" xfId="0" applyFont="1" applyBorder="1" applyAlignment="1">
      <alignment horizontal="center"/>
    </xf>
    <xf numFmtId="0" fontId="51" fillId="0" borderId="66" xfId="0" applyFont="1" applyBorder="1" applyAlignment="1">
      <alignment horizontal="center"/>
    </xf>
    <xf numFmtId="0" fontId="50" fillId="0" borderId="47" xfId="0" applyFont="1" applyBorder="1" applyAlignment="1">
      <alignment vertical="center"/>
    </xf>
    <xf numFmtId="0" fontId="51" fillId="0" borderId="24" xfId="0" applyFont="1" applyBorder="1"/>
    <xf numFmtId="0" fontId="50" fillId="24" borderId="17" xfId="0" applyFont="1" applyFill="1" applyBorder="1" applyAlignment="1">
      <alignment horizontal="center"/>
    </xf>
    <xf numFmtId="173" fontId="51" fillId="0" borderId="23" xfId="34" applyFont="1" applyBorder="1" applyAlignment="1">
      <alignment horizontal="center"/>
    </xf>
    <xf numFmtId="0" fontId="53" fillId="0" borderId="86" xfId="0" applyFont="1" applyBorder="1" applyAlignment="1">
      <alignment horizontal="left" vertical="center"/>
    </xf>
    <xf numFmtId="0" fontId="54" fillId="0" borderId="0" xfId="0" applyFont="1" applyBorder="1" applyAlignment="1">
      <alignment horizontal="left" vertical="center"/>
    </xf>
    <xf numFmtId="0" fontId="53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center" vertical="center"/>
    </xf>
    <xf numFmtId="0" fontId="1" fillId="0" borderId="0" xfId="257" applyProtection="1">
      <protection locked="0"/>
    </xf>
    <xf numFmtId="169" fontId="1" fillId="0" borderId="0" xfId="203" applyFont="1" applyFill="1" applyProtection="1">
      <protection locked="0"/>
    </xf>
    <xf numFmtId="0" fontId="61" fillId="0" borderId="0" xfId="257" applyFont="1" applyAlignment="1" applyProtection="1">
      <alignment vertical="center" wrapText="1"/>
      <protection locked="0"/>
    </xf>
    <xf numFmtId="169" fontId="61" fillId="0" borderId="0" xfId="203" applyFont="1" applyFill="1" applyBorder="1" applyAlignment="1" applyProtection="1">
      <alignment vertical="center" wrapText="1"/>
      <protection locked="0"/>
    </xf>
    <xf numFmtId="0" fontId="60" fillId="0" borderId="0" xfId="257" applyFont="1" applyAlignment="1" applyProtection="1">
      <alignment vertical="center" wrapText="1"/>
      <protection locked="0"/>
    </xf>
    <xf numFmtId="0" fontId="61" fillId="0" borderId="22" xfId="257" applyFont="1" applyBorder="1" applyAlignment="1" applyProtection="1">
      <alignment vertical="center" wrapText="1"/>
      <protection locked="0"/>
    </xf>
    <xf numFmtId="0" fontId="62" fillId="0" borderId="0" xfId="257" applyFont="1" applyAlignment="1" applyProtection="1">
      <alignment horizontal="center" vertical="center" wrapText="1"/>
      <protection locked="0"/>
    </xf>
    <xf numFmtId="0" fontId="62" fillId="0" borderId="0" xfId="257" applyFont="1" applyAlignment="1" applyProtection="1">
      <alignment horizontal="left" vertical="center" wrapText="1"/>
      <protection locked="0"/>
    </xf>
    <xf numFmtId="169" fontId="62" fillId="0" borderId="0" xfId="203" applyFont="1" applyFill="1" applyBorder="1" applyAlignment="1" applyProtection="1">
      <alignment vertical="center" wrapText="1"/>
      <protection locked="0"/>
    </xf>
    <xf numFmtId="0" fontId="62" fillId="0" borderId="18" xfId="257" applyFont="1" applyBorder="1" applyAlignment="1" applyProtection="1">
      <alignment horizontal="center" vertical="center" wrapText="1"/>
      <protection locked="0"/>
    </xf>
    <xf numFmtId="0" fontId="1" fillId="0" borderId="67" xfId="257" applyBorder="1" applyProtection="1">
      <protection locked="0"/>
    </xf>
    <xf numFmtId="169" fontId="1" fillId="0" borderId="0" xfId="203" applyFont="1" applyFill="1" applyBorder="1" applyProtection="1">
      <protection locked="0"/>
    </xf>
    <xf numFmtId="0" fontId="1" fillId="0" borderId="49" xfId="257" applyBorder="1" applyProtection="1">
      <protection locked="0"/>
    </xf>
    <xf numFmtId="0" fontId="61" fillId="0" borderId="59" xfId="257" applyFont="1" applyBorder="1" applyAlignment="1" applyProtection="1">
      <alignment vertical="center" wrapText="1"/>
      <protection locked="0"/>
    </xf>
    <xf numFmtId="0" fontId="1" fillId="0" borderId="69" xfId="257" applyBorder="1" applyProtection="1">
      <protection locked="0"/>
    </xf>
    <xf numFmtId="0" fontId="61" fillId="0" borderId="0" xfId="257" applyFont="1" applyBorder="1" applyAlignment="1" applyProtection="1">
      <alignment vertical="center"/>
      <protection locked="0"/>
    </xf>
    <xf numFmtId="0" fontId="61" fillId="0" borderId="0" xfId="257" applyFont="1" applyBorder="1" applyAlignment="1" applyProtection="1">
      <alignment vertical="center" wrapText="1"/>
      <protection locked="0"/>
    </xf>
    <xf numFmtId="0" fontId="1" fillId="0" borderId="0" xfId="257" applyBorder="1" applyProtection="1">
      <protection locked="0"/>
    </xf>
    <xf numFmtId="0" fontId="62" fillId="0" borderId="0" xfId="257" applyFont="1" applyBorder="1" applyAlignment="1" applyProtection="1">
      <alignment horizontal="center" vertical="center" wrapText="1"/>
      <protection locked="0"/>
    </xf>
    <xf numFmtId="0" fontId="62" fillId="0" borderId="0" xfId="257" applyFont="1" applyBorder="1" applyAlignment="1" applyProtection="1">
      <alignment vertical="center"/>
      <protection locked="0"/>
    </xf>
    <xf numFmtId="0" fontId="62" fillId="0" borderId="0" xfId="257" applyFont="1" applyBorder="1" applyAlignment="1" applyProtection="1">
      <alignment vertical="center" wrapText="1"/>
      <protection locked="0"/>
    </xf>
    <xf numFmtId="0" fontId="64" fillId="0" borderId="0" xfId="257" applyFont="1" applyBorder="1" applyProtection="1">
      <protection locked="0"/>
    </xf>
    <xf numFmtId="16" fontId="61" fillId="0" borderId="0" xfId="257" applyNumberFormat="1" applyFont="1" applyBorder="1" applyAlignment="1" applyProtection="1">
      <alignment horizontal="left" vertical="center" wrapText="1"/>
      <protection locked="0"/>
    </xf>
    <xf numFmtId="16" fontId="61" fillId="0" borderId="0" xfId="257" applyNumberFormat="1" applyFont="1" applyBorder="1" applyAlignment="1" applyProtection="1">
      <alignment horizontal="left" vertical="center"/>
      <protection locked="0"/>
    </xf>
    <xf numFmtId="0" fontId="61" fillId="0" borderId="0" xfId="257" applyFont="1" applyBorder="1" applyAlignment="1" applyProtection="1">
      <alignment horizontal="right" vertical="center" wrapText="1"/>
      <protection locked="0"/>
    </xf>
    <xf numFmtId="0" fontId="1" fillId="0" borderId="88" xfId="257" applyBorder="1" applyProtection="1">
      <protection locked="0"/>
    </xf>
    <xf numFmtId="0" fontId="1" fillId="0" borderId="89" xfId="257" applyBorder="1" applyProtection="1">
      <protection locked="0"/>
    </xf>
    <xf numFmtId="0" fontId="1" fillId="0" borderId="90" xfId="257" applyBorder="1" applyProtection="1">
      <protection locked="0"/>
    </xf>
    <xf numFmtId="0" fontId="1" fillId="0" borderId="91" xfId="257" applyBorder="1" applyProtection="1">
      <protection locked="0"/>
    </xf>
    <xf numFmtId="0" fontId="1" fillId="0" borderId="92" xfId="257" applyBorder="1" applyProtection="1">
      <protection locked="0"/>
    </xf>
    <xf numFmtId="0" fontId="60" fillId="0" borderId="92" xfId="257" applyFont="1" applyBorder="1" applyAlignment="1" applyProtection="1">
      <alignment vertical="center" wrapText="1"/>
      <protection locked="0"/>
    </xf>
    <xf numFmtId="0" fontId="1" fillId="0" borderId="93" xfId="257" applyBorder="1" applyProtection="1">
      <protection locked="0"/>
    </xf>
    <xf numFmtId="0" fontId="1" fillId="0" borderId="94" xfId="257" applyBorder="1" applyProtection="1">
      <protection locked="0"/>
    </xf>
    <xf numFmtId="0" fontId="1" fillId="0" borderId="95" xfId="257" applyBorder="1" applyProtection="1">
      <protection locked="0"/>
    </xf>
    <xf numFmtId="169" fontId="1" fillId="0" borderId="94" xfId="203" applyFont="1" applyFill="1" applyBorder="1" applyProtection="1">
      <protection locked="0"/>
    </xf>
    <xf numFmtId="169" fontId="1" fillId="0" borderId="89" xfId="203" applyFont="1" applyFill="1" applyBorder="1" applyProtection="1">
      <protection locked="0"/>
    </xf>
    <xf numFmtId="0" fontId="1" fillId="0" borderId="41" xfId="257" applyBorder="1" applyProtection="1">
      <protection locked="0"/>
    </xf>
    <xf numFmtId="0" fontId="1" fillId="0" borderId="42" xfId="257" applyBorder="1" applyProtection="1">
      <protection locked="0"/>
    </xf>
    <xf numFmtId="0" fontId="61" fillId="0" borderId="38" xfId="257" applyFont="1" applyBorder="1" applyAlignment="1" applyProtection="1">
      <alignment vertical="center"/>
      <protection locked="0"/>
    </xf>
    <xf numFmtId="0" fontId="1" fillId="0" borderId="39" xfId="257" applyBorder="1" applyProtection="1">
      <protection locked="0"/>
    </xf>
    <xf numFmtId="0" fontId="60" fillId="0" borderId="39" xfId="257" applyFont="1" applyBorder="1" applyAlignment="1" applyProtection="1">
      <alignment vertical="center" wrapText="1"/>
      <protection locked="0"/>
    </xf>
    <xf numFmtId="16" fontId="61" fillId="0" borderId="38" xfId="257" applyNumberFormat="1" applyFont="1" applyBorder="1" applyAlignment="1" applyProtection="1">
      <alignment horizontal="left" vertical="center"/>
      <protection locked="0"/>
    </xf>
    <xf numFmtId="0" fontId="1" fillId="0" borderId="82" xfId="257" applyBorder="1" applyProtection="1">
      <protection locked="0"/>
    </xf>
    <xf numFmtId="0" fontId="1" fillId="0" borderId="83" xfId="257" applyBorder="1" applyProtection="1">
      <protection locked="0"/>
    </xf>
    <xf numFmtId="0" fontId="61" fillId="0" borderId="81" xfId="257" applyFont="1" applyBorder="1" applyAlignment="1" applyProtection="1">
      <alignment vertical="center"/>
      <protection locked="0"/>
    </xf>
    <xf numFmtId="0" fontId="61" fillId="0" borderId="82" xfId="257" applyFont="1" applyBorder="1" applyAlignment="1" applyProtection="1">
      <alignment vertical="center" wrapText="1"/>
      <protection locked="0"/>
    </xf>
    <xf numFmtId="0" fontId="62" fillId="0" borderId="92" xfId="257" applyFont="1" applyBorder="1" applyAlignment="1" applyProtection="1">
      <alignment vertical="center" wrapText="1"/>
      <protection locked="0"/>
    </xf>
    <xf numFmtId="0" fontId="62" fillId="0" borderId="39" xfId="257" applyFont="1" applyBorder="1" applyAlignment="1" applyProtection="1">
      <alignment vertical="center" wrapText="1"/>
      <protection locked="0"/>
    </xf>
    <xf numFmtId="0" fontId="62" fillId="0" borderId="38" xfId="257" applyFont="1" applyBorder="1" applyAlignment="1" applyProtection="1">
      <alignment horizontal="center" vertical="center" wrapText="1"/>
      <protection locked="0"/>
    </xf>
    <xf numFmtId="0" fontId="62" fillId="0" borderId="38" xfId="257" applyFont="1" applyBorder="1" applyAlignment="1" applyProtection="1">
      <alignment vertical="center"/>
      <protection locked="0"/>
    </xf>
    <xf numFmtId="0" fontId="62" fillId="0" borderId="82" xfId="257" applyFont="1" applyBorder="1" applyProtection="1">
      <protection locked="0"/>
    </xf>
    <xf numFmtId="4" fontId="62" fillId="0" borderId="82" xfId="257" applyNumberFormat="1" applyFont="1" applyBorder="1" applyProtection="1">
      <protection locked="0"/>
    </xf>
    <xf numFmtId="169" fontId="62" fillId="0" borderId="82" xfId="203" applyFont="1" applyFill="1" applyBorder="1" applyAlignment="1" applyProtection="1">
      <protection locked="0"/>
    </xf>
    <xf numFmtId="0" fontId="66" fillId="0" borderId="38" xfId="257" applyFont="1" applyBorder="1" applyAlignment="1" applyProtection="1">
      <alignment horizontal="center" vertical="center" wrapText="1"/>
      <protection locked="0"/>
    </xf>
    <xf numFmtId="0" fontId="66" fillId="0" borderId="40" xfId="257" applyFont="1" applyBorder="1" applyAlignment="1" applyProtection="1">
      <alignment vertical="center" wrapText="1"/>
      <protection locked="0"/>
    </xf>
    <xf numFmtId="0" fontId="66" fillId="0" borderId="41" xfId="257" applyFont="1" applyBorder="1" applyAlignment="1" applyProtection="1">
      <alignment vertical="center" wrapText="1"/>
      <protection locked="0"/>
    </xf>
    <xf numFmtId="0" fontId="62" fillId="0" borderId="38" xfId="257" applyFont="1" applyBorder="1" applyAlignment="1" applyProtection="1">
      <alignment vertical="center" wrapText="1"/>
      <protection locked="0"/>
    </xf>
    <xf numFmtId="0" fontId="66" fillId="0" borderId="38" xfId="257" applyFont="1" applyBorder="1" applyAlignment="1" applyProtection="1">
      <alignment vertical="center" wrapText="1"/>
      <protection locked="0"/>
    </xf>
    <xf numFmtId="0" fontId="66" fillId="0" borderId="0" xfId="257" applyFont="1" applyBorder="1" applyAlignment="1" applyProtection="1">
      <alignment vertical="center" wrapText="1"/>
      <protection locked="0"/>
    </xf>
    <xf numFmtId="0" fontId="61" fillId="0" borderId="38" xfId="257" applyFont="1" applyBorder="1" applyAlignment="1" applyProtection="1">
      <alignment vertical="center" wrapText="1"/>
      <protection locked="0"/>
    </xf>
    <xf numFmtId="0" fontId="66" fillId="0" borderId="62" xfId="257" applyFont="1" applyBorder="1" applyAlignment="1" applyProtection="1">
      <alignment vertical="center" wrapText="1"/>
      <protection locked="0"/>
    </xf>
    <xf numFmtId="0" fontId="66" fillId="0" borderId="61" xfId="257" applyFont="1" applyBorder="1" applyAlignment="1" applyProtection="1">
      <alignment vertical="center" wrapText="1"/>
      <protection locked="0"/>
    </xf>
    <xf numFmtId="0" fontId="1" fillId="0" borderId="61" xfId="257" applyBorder="1" applyProtection="1">
      <protection locked="0"/>
    </xf>
    <xf numFmtId="0" fontId="1" fillId="0" borderId="60" xfId="257" applyBorder="1" applyProtection="1">
      <protection locked="0"/>
    </xf>
    <xf numFmtId="0" fontId="66" fillId="0" borderId="11" xfId="257" applyFont="1" applyBorder="1" applyAlignment="1" applyProtection="1">
      <alignment horizontal="center" vertical="center" wrapText="1"/>
      <protection locked="0"/>
    </xf>
    <xf numFmtId="0" fontId="61" fillId="0" borderId="11" xfId="257" applyFont="1" applyBorder="1" applyAlignment="1" applyProtection="1">
      <alignment vertical="center" wrapText="1"/>
      <protection locked="0"/>
    </xf>
    <xf numFmtId="0" fontId="1" fillId="0" borderId="12" xfId="257" applyBorder="1" applyProtection="1">
      <protection locked="0"/>
    </xf>
    <xf numFmtId="0" fontId="62" fillId="0" borderId="11" xfId="257" applyFont="1" applyBorder="1" applyAlignment="1" applyProtection="1">
      <alignment vertical="center" wrapText="1"/>
      <protection locked="0"/>
    </xf>
    <xf numFmtId="0" fontId="60" fillId="0" borderId="12" xfId="257" applyFont="1" applyBorder="1" applyAlignment="1" applyProtection="1">
      <alignment vertical="center" wrapText="1"/>
      <protection locked="0"/>
    </xf>
    <xf numFmtId="0" fontId="62" fillId="0" borderId="12" xfId="257" applyFont="1" applyBorder="1" applyAlignment="1" applyProtection="1">
      <alignment vertical="center" wrapText="1"/>
      <protection locked="0"/>
    </xf>
    <xf numFmtId="16" fontId="61" fillId="0" borderId="11" xfId="257" applyNumberFormat="1" applyFont="1" applyBorder="1" applyAlignment="1" applyProtection="1">
      <alignment horizontal="left" vertical="center" wrapText="1"/>
      <protection locked="0"/>
    </xf>
    <xf numFmtId="0" fontId="62" fillId="0" borderId="11" xfId="257" applyFont="1" applyBorder="1" applyAlignment="1" applyProtection="1">
      <alignment horizontal="center" vertical="center" wrapText="1"/>
      <protection locked="0"/>
    </xf>
    <xf numFmtId="0" fontId="61" fillId="0" borderId="13" xfId="257" applyFont="1" applyBorder="1" applyAlignment="1" applyProtection="1">
      <alignment vertical="center" wrapText="1"/>
      <protection locked="0"/>
    </xf>
    <xf numFmtId="0" fontId="61" fillId="0" borderId="14" xfId="257" applyFont="1" applyBorder="1" applyAlignment="1" applyProtection="1">
      <alignment vertical="center" wrapText="1"/>
      <protection locked="0"/>
    </xf>
    <xf numFmtId="0" fontId="61" fillId="0" borderId="14" xfId="257" applyFont="1" applyBorder="1" applyProtection="1">
      <protection locked="0"/>
    </xf>
    <xf numFmtId="4" fontId="61" fillId="0" borderId="14" xfId="257" applyNumberFormat="1" applyFont="1" applyBorder="1" applyAlignment="1" applyProtection="1">
      <alignment horizontal="right"/>
      <protection locked="0"/>
    </xf>
    <xf numFmtId="4" fontId="61" fillId="0" borderId="14" xfId="257" applyNumberFormat="1" applyFont="1" applyBorder="1" applyProtection="1">
      <protection locked="0"/>
    </xf>
    <xf numFmtId="0" fontId="61" fillId="0" borderId="14" xfId="257" applyFont="1" applyBorder="1" applyAlignment="1" applyProtection="1">
      <alignment horizontal="center" vertical="center" wrapText="1"/>
      <protection locked="0"/>
    </xf>
    <xf numFmtId="169" fontId="61" fillId="0" borderId="14" xfId="203" applyFont="1" applyFill="1" applyBorder="1" applyAlignment="1" applyProtection="1">
      <alignment vertical="center" wrapText="1"/>
      <protection locked="0"/>
    </xf>
    <xf numFmtId="0" fontId="1" fillId="0" borderId="14" xfId="257" applyBorder="1" applyProtection="1">
      <protection locked="0"/>
    </xf>
    <xf numFmtId="0" fontId="1" fillId="0" borderId="15" xfId="257" applyBorder="1" applyProtection="1">
      <protection locked="0"/>
    </xf>
    <xf numFmtId="169" fontId="62" fillId="0" borderId="18" xfId="203" applyFont="1" applyFill="1" applyBorder="1" applyAlignment="1" applyProtection="1">
      <alignment horizontal="center" vertical="center" wrapText="1"/>
      <protection locked="0"/>
    </xf>
    <xf numFmtId="0" fontId="1" fillId="0" borderId="84" xfId="257" applyBorder="1" applyProtection="1">
      <protection locked="0"/>
    </xf>
    <xf numFmtId="0" fontId="64" fillId="0" borderId="84" xfId="257" applyFont="1" applyBorder="1" applyProtection="1">
      <protection locked="0"/>
    </xf>
    <xf numFmtId="16" fontId="61" fillId="0" borderId="84" xfId="257" applyNumberFormat="1" applyFont="1" applyBorder="1" applyAlignment="1" applyProtection="1">
      <alignment horizontal="left" vertical="center"/>
      <protection locked="0"/>
    </xf>
    <xf numFmtId="0" fontId="66" fillId="0" borderId="12" xfId="257" applyFont="1" applyBorder="1" applyAlignment="1" applyProtection="1">
      <alignment vertical="center" wrapText="1"/>
      <protection locked="0"/>
    </xf>
    <xf numFmtId="0" fontId="63" fillId="0" borderId="18" xfId="257" applyFont="1" applyBorder="1" applyAlignment="1">
      <alignment horizontal="center" vertical="center" wrapText="1"/>
    </xf>
    <xf numFmtId="169" fontId="61" fillId="0" borderId="18" xfId="203" applyFont="1" applyFill="1" applyBorder="1" applyAlignment="1" applyProtection="1">
      <alignment vertical="center" wrapText="1"/>
      <protection locked="0"/>
    </xf>
    <xf numFmtId="169" fontId="61" fillId="0" borderId="18" xfId="203" applyFont="1" applyFill="1" applyBorder="1" applyAlignment="1" applyProtection="1">
      <alignment horizontal="center" vertical="center" wrapText="1"/>
      <protection locked="0"/>
    </xf>
    <xf numFmtId="0" fontId="65" fillId="0" borderId="18" xfId="257" applyFont="1" applyBorder="1" applyProtection="1">
      <protection locked="0"/>
    </xf>
    <xf numFmtId="0" fontId="65" fillId="24" borderId="18" xfId="257" applyFont="1" applyFill="1" applyBorder="1" applyAlignment="1" applyProtection="1">
      <alignment horizontal="center"/>
      <protection locked="0"/>
    </xf>
    <xf numFmtId="0" fontId="61" fillId="0" borderId="18" xfId="257" applyFont="1" applyBorder="1" applyAlignment="1" applyProtection="1">
      <alignment vertical="center" wrapText="1"/>
      <protection locked="0"/>
    </xf>
    <xf numFmtId="0" fontId="61" fillId="0" borderId="68" xfId="257" applyFont="1" applyBorder="1" applyAlignment="1" applyProtection="1">
      <alignment vertical="center" wrapText="1"/>
      <protection locked="0"/>
    </xf>
    <xf numFmtId="0" fontId="61" fillId="0" borderId="58" xfId="257" applyFont="1" applyBorder="1" applyAlignment="1" applyProtection="1">
      <alignment vertical="center" wrapText="1"/>
      <protection locked="0"/>
    </xf>
    <xf numFmtId="0" fontId="61" fillId="0" borderId="75" xfId="257" applyFont="1" applyBorder="1" applyAlignment="1" applyProtection="1">
      <alignment vertical="center" wrapText="1"/>
      <protection locked="0"/>
    </xf>
    <xf numFmtId="0" fontId="61" fillId="0" borderId="70" xfId="257" applyFont="1" applyBorder="1" applyAlignment="1" applyProtection="1">
      <alignment vertical="center" wrapText="1"/>
      <protection locked="0"/>
    </xf>
    <xf numFmtId="169" fontId="62" fillId="0" borderId="69" xfId="203" applyFont="1" applyFill="1" applyBorder="1" applyAlignment="1" applyProtection="1">
      <alignment horizontal="center" vertical="center" wrapText="1"/>
      <protection locked="0"/>
    </xf>
    <xf numFmtId="0" fontId="61" fillId="0" borderId="77" xfId="257" applyFont="1" applyBorder="1" applyAlignment="1" applyProtection="1">
      <alignment vertical="center" wrapText="1"/>
      <protection locked="0"/>
    </xf>
    <xf numFmtId="0" fontId="61" fillId="0" borderId="19" xfId="257" applyFont="1" applyBorder="1" applyAlignment="1" applyProtection="1">
      <alignment vertical="center" wrapText="1"/>
      <protection locked="0"/>
    </xf>
    <xf numFmtId="0" fontId="62" fillId="0" borderId="59" xfId="257" applyFont="1" applyBorder="1" applyAlignment="1" applyProtection="1">
      <alignment horizontal="center" vertical="center" wrapText="1"/>
      <protection locked="0"/>
    </xf>
    <xf numFmtId="0" fontId="55" fillId="0" borderId="54" xfId="256" applyFont="1" applyBorder="1" applyAlignment="1" applyProtection="1"/>
    <xf numFmtId="0" fontId="50" fillId="0" borderId="11" xfId="130" applyFont="1" applyBorder="1" applyAlignment="1">
      <alignment horizontal="center" vertical="top" wrapText="1"/>
    </xf>
    <xf numFmtId="0" fontId="50" fillId="0" borderId="0" xfId="130" applyFont="1" applyAlignment="1">
      <alignment horizontal="center" vertical="top" wrapText="1"/>
    </xf>
    <xf numFmtId="0" fontId="50" fillId="0" borderId="12" xfId="130" applyFont="1" applyBorder="1" applyAlignment="1">
      <alignment horizontal="center" vertical="top" wrapText="1"/>
    </xf>
    <xf numFmtId="0" fontId="33" fillId="0" borderId="12" xfId="89" applyFont="1" applyBorder="1"/>
    <xf numFmtId="0" fontId="33" fillId="0" borderId="84" xfId="89" applyFont="1" applyBorder="1"/>
    <xf numFmtId="0" fontId="51" fillId="0" borderId="21" xfId="0" applyFont="1" applyBorder="1" applyAlignment="1"/>
    <xf numFmtId="0" fontId="51" fillId="0" borderId="22" xfId="0" applyFont="1" applyBorder="1" applyAlignment="1"/>
    <xf numFmtId="0" fontId="51" fillId="0" borderId="23" xfId="0" applyFont="1" applyBorder="1" applyAlignment="1"/>
    <xf numFmtId="2" fontId="51" fillId="0" borderId="66" xfId="0" applyNumberFormat="1" applyFont="1" applyBorder="1" applyAlignment="1">
      <alignment horizontal="center"/>
    </xf>
    <xf numFmtId="189" fontId="51" fillId="0" borderId="77" xfId="0" applyNumberFormat="1" applyFont="1" applyBorder="1"/>
    <xf numFmtId="189" fontId="51" fillId="0" borderId="18" xfId="0" applyNumberFormat="1" applyFont="1" applyBorder="1" applyAlignment="1">
      <alignment horizontal="center"/>
    </xf>
    <xf numFmtId="4" fontId="48" fillId="0" borderId="25" xfId="39" applyNumberFormat="1" applyFont="1" applyBorder="1" applyAlignment="1">
      <alignment vertical="center" wrapText="1"/>
    </xf>
    <xf numFmtId="176" fontId="50" fillId="0" borderId="44" xfId="39" applyNumberFormat="1" applyFont="1" applyBorder="1" applyAlignment="1">
      <alignment horizontal="right" vertical="center"/>
    </xf>
    <xf numFmtId="187" fontId="50" fillId="24" borderId="48" xfId="73" applyNumberFormat="1" applyFont="1" applyFill="1" applyBorder="1" applyAlignment="1">
      <alignment vertical="center"/>
    </xf>
    <xf numFmtId="0" fontId="33" fillId="0" borderId="96" xfId="89" applyFont="1" applyBorder="1"/>
    <xf numFmtId="9" fontId="50" fillId="0" borderId="17" xfId="128" applyNumberFormat="1" applyFont="1" applyBorder="1" applyAlignment="1">
      <alignment horizontal="center" vertical="center"/>
    </xf>
    <xf numFmtId="181" fontId="51" fillId="0" borderId="35" xfId="129" applyNumberFormat="1" applyFont="1" applyBorder="1" applyAlignment="1">
      <alignment vertical="center"/>
    </xf>
    <xf numFmtId="0" fontId="50" fillId="0" borderId="65" xfId="128" applyFont="1" applyBorder="1" applyAlignment="1">
      <alignment horizontal="left" vertical="center"/>
    </xf>
    <xf numFmtId="9" fontId="48" fillId="0" borderId="58" xfId="129" applyNumberFormat="1" applyFont="1" applyBorder="1" applyAlignment="1">
      <alignment horizontal="center" vertical="center"/>
    </xf>
    <xf numFmtId="181" fontId="48" fillId="0" borderId="58" xfId="129" applyNumberFormat="1" applyFont="1" applyBorder="1" applyAlignment="1">
      <alignment vertical="center"/>
    </xf>
    <xf numFmtId="181" fontId="50" fillId="0" borderId="12" xfId="129" applyNumberFormat="1" applyFont="1" applyBorder="1" applyAlignment="1">
      <alignment vertical="center"/>
    </xf>
    <xf numFmtId="9" fontId="50" fillId="0" borderId="18" xfId="128" applyNumberFormat="1" applyFont="1" applyBorder="1" applyAlignment="1">
      <alignment horizontal="center" vertical="center"/>
    </xf>
    <xf numFmtId="0" fontId="50" fillId="26" borderId="21" xfId="128" applyFont="1" applyFill="1" applyBorder="1" applyAlignment="1">
      <alignment horizontal="left" vertical="center"/>
    </xf>
    <xf numFmtId="9" fontId="48" fillId="26" borderId="22" xfId="129" applyNumberFormat="1" applyFont="1" applyFill="1" applyBorder="1" applyAlignment="1">
      <alignment horizontal="center" vertical="center"/>
    </xf>
    <xf numFmtId="181" fontId="48" fillId="26" borderId="22" xfId="129" applyNumberFormat="1" applyFont="1" applyFill="1" applyBorder="1" applyAlignment="1">
      <alignment vertical="center"/>
    </xf>
    <xf numFmtId="0" fontId="48" fillId="26" borderId="67" xfId="128" applyFont="1" applyFill="1" applyBorder="1" applyAlignment="1">
      <alignment vertical="center"/>
    </xf>
    <xf numFmtId="181" fontId="50" fillId="26" borderId="30" xfId="129" applyNumberFormat="1" applyFont="1" applyFill="1" applyBorder="1" applyAlignment="1">
      <alignment vertical="center"/>
    </xf>
    <xf numFmtId="0" fontId="61" fillId="0" borderId="0" xfId="257" applyFont="1" applyBorder="1" applyAlignment="1" applyProtection="1">
      <alignment vertical="top"/>
      <protection locked="0"/>
    </xf>
    <xf numFmtId="0" fontId="62" fillId="0" borderId="0" xfId="257" applyFont="1" applyBorder="1" applyAlignment="1" applyProtection="1">
      <alignment horizontal="left"/>
      <protection locked="0"/>
    </xf>
    <xf numFmtId="176" fontId="51" fillId="0" borderId="18" xfId="34" applyNumberFormat="1" applyFont="1" applyBorder="1"/>
    <xf numFmtId="176" fontId="51" fillId="0" borderId="66" xfId="34" applyNumberFormat="1" applyFont="1" applyBorder="1"/>
    <xf numFmtId="169" fontId="61" fillId="0" borderId="77" xfId="257" applyNumberFormat="1" applyFont="1" applyBorder="1" applyAlignment="1" applyProtection="1">
      <alignment vertical="center" wrapText="1"/>
      <protection locked="0"/>
    </xf>
    <xf numFmtId="0" fontId="51" fillId="0" borderId="71" xfId="0" applyFont="1" applyFill="1" applyBorder="1" applyAlignment="1">
      <alignment horizontal="center"/>
    </xf>
    <xf numFmtId="4" fontId="51" fillId="0" borderId="71" xfId="0" applyNumberFormat="1" applyFont="1" applyFill="1" applyBorder="1" applyAlignment="1">
      <alignment horizontal="center"/>
    </xf>
    <xf numFmtId="169" fontId="61" fillId="0" borderId="23" xfId="203" applyFont="1" applyFill="1" applyBorder="1" applyAlignment="1" applyProtection="1">
      <alignment horizontal="center" vertical="center" wrapText="1"/>
      <protection locked="0"/>
    </xf>
    <xf numFmtId="0" fontId="61" fillId="0" borderId="53" xfId="257" applyFont="1" applyBorder="1" applyAlignment="1" applyProtection="1">
      <alignment vertical="center" wrapText="1"/>
      <protection locked="0"/>
    </xf>
    <xf numFmtId="0" fontId="63" fillId="0" borderId="23" xfId="257" applyFont="1" applyBorder="1" applyAlignment="1">
      <alignment horizontal="center" vertical="center" wrapText="1"/>
    </xf>
    <xf numFmtId="0" fontId="62" fillId="0" borderId="19" xfId="257" applyFont="1" applyBorder="1" applyAlignment="1" applyProtection="1">
      <alignment vertical="center"/>
      <protection locked="0"/>
    </xf>
    <xf numFmtId="0" fontId="63" fillId="0" borderId="22" xfId="257" applyFont="1" applyBorder="1" applyAlignment="1">
      <alignment horizontal="center" vertical="center" wrapText="1"/>
    </xf>
    <xf numFmtId="0" fontId="50" fillId="24" borderId="16" xfId="0" applyFont="1" applyFill="1" applyBorder="1" applyAlignment="1">
      <alignment horizontal="center"/>
    </xf>
    <xf numFmtId="0" fontId="50" fillId="24" borderId="17" xfId="0" applyFont="1" applyFill="1" applyBorder="1" applyAlignment="1">
      <alignment horizontal="center" wrapText="1"/>
    </xf>
    <xf numFmtId="173" fontId="51" fillId="0" borderId="23" xfId="34" applyFont="1" applyBorder="1" applyAlignment="1">
      <alignment horizontal="center"/>
    </xf>
    <xf numFmtId="0" fontId="50" fillId="24" borderId="50" xfId="0" applyFont="1" applyFill="1" applyBorder="1" applyAlignment="1">
      <alignment horizontal="center"/>
    </xf>
    <xf numFmtId="0" fontId="50" fillId="24" borderId="17" xfId="0" applyFont="1" applyFill="1" applyBorder="1" applyAlignment="1">
      <alignment horizontal="center"/>
    </xf>
    <xf numFmtId="0" fontId="51" fillId="0" borderId="21" xfId="0" applyFont="1" applyBorder="1" applyAlignment="1">
      <alignment horizontal="left"/>
    </xf>
    <xf numFmtId="0" fontId="51" fillId="0" borderId="22" xfId="0" applyFont="1" applyBorder="1" applyAlignment="1">
      <alignment horizontal="left"/>
    </xf>
    <xf numFmtId="0" fontId="62" fillId="0" borderId="18" xfId="257" applyFont="1" applyBorder="1" applyAlignment="1" applyProtection="1">
      <alignment horizontal="center" vertical="center" wrapText="1"/>
      <protection locked="0"/>
    </xf>
    <xf numFmtId="169" fontId="61" fillId="0" borderId="67" xfId="203" applyFont="1" applyFill="1" applyBorder="1" applyAlignment="1" applyProtection="1">
      <alignment horizontal="center" vertical="center" wrapText="1"/>
      <protection locked="0"/>
    </xf>
    <xf numFmtId="169" fontId="61" fillId="0" borderId="77" xfId="203" applyFont="1" applyFill="1" applyBorder="1" applyAlignment="1" applyProtection="1">
      <alignment vertical="center" wrapText="1"/>
      <protection locked="0"/>
    </xf>
    <xf numFmtId="169" fontId="61" fillId="0" borderId="77" xfId="203" applyFont="1" applyFill="1" applyBorder="1" applyAlignment="1" applyProtection="1">
      <alignment horizontal="center" vertical="center" wrapText="1"/>
      <protection locked="0"/>
    </xf>
    <xf numFmtId="169" fontId="61" fillId="0" borderId="67" xfId="257" applyNumberFormat="1" applyFont="1" applyBorder="1" applyAlignment="1" applyProtection="1">
      <alignment vertical="center" wrapText="1"/>
      <protection locked="0"/>
    </xf>
    <xf numFmtId="9" fontId="51" fillId="0" borderId="77" xfId="95" applyFont="1" applyBorder="1"/>
    <xf numFmtId="44" fontId="32" fillId="0" borderId="0" xfId="259" applyFont="1"/>
    <xf numFmtId="44" fontId="32" fillId="0" borderId="0" xfId="90" applyNumberFormat="1" applyFont="1"/>
    <xf numFmtId="44" fontId="30" fillId="0" borderId="0" xfId="259" applyFont="1"/>
    <xf numFmtId="10" fontId="32" fillId="0" borderId="0" xfId="95" applyNumberFormat="1" applyFont="1"/>
    <xf numFmtId="206" fontId="32" fillId="0" borderId="0" xfId="90" applyNumberFormat="1" applyFont="1"/>
    <xf numFmtId="0" fontId="30" fillId="0" borderId="59" xfId="89" applyFont="1" applyBorder="1"/>
    <xf numFmtId="0" fontId="30" fillId="0" borderId="59" xfId="89" applyFont="1" applyBorder="1" applyAlignment="1">
      <alignment horizontal="center"/>
    </xf>
    <xf numFmtId="0" fontId="51" fillId="0" borderId="62" xfId="0" applyFont="1" applyBorder="1"/>
    <xf numFmtId="0" fontId="51" fillId="0" borderId="61" xfId="0" applyFont="1" applyBorder="1"/>
    <xf numFmtId="0" fontId="51" fillId="0" borderId="60" xfId="0" applyFont="1" applyBorder="1"/>
    <xf numFmtId="0" fontId="30" fillId="0" borderId="97" xfId="89" applyFont="1" applyBorder="1"/>
    <xf numFmtId="0" fontId="62" fillId="0" borderId="11" xfId="257" applyFont="1" applyBorder="1" applyAlignment="1" applyProtection="1">
      <alignment horizontal="left"/>
      <protection locked="0"/>
    </xf>
    <xf numFmtId="0" fontId="30" fillId="0" borderId="0" xfId="89" applyFont="1" applyBorder="1" applyAlignment="1">
      <alignment horizontal="center"/>
    </xf>
    <xf numFmtId="0" fontId="30" fillId="0" borderId="0" xfId="89" applyFont="1" applyBorder="1"/>
    <xf numFmtId="0" fontId="61" fillId="0" borderId="13" xfId="257" applyFont="1" applyBorder="1" applyAlignment="1" applyProtection="1">
      <alignment vertical="top"/>
      <protection locked="0"/>
    </xf>
    <xf numFmtId="0" fontId="30" fillId="0" borderId="14" xfId="89" applyFont="1" applyBorder="1" applyAlignment="1">
      <alignment horizontal="center"/>
    </xf>
    <xf numFmtId="0" fontId="30" fillId="0" borderId="14" xfId="89" applyFont="1" applyBorder="1"/>
    <xf numFmtId="0" fontId="53" fillId="25" borderId="0" xfId="0" applyFont="1" applyFill="1" applyBorder="1" applyAlignment="1">
      <alignment horizontal="left" vertical="center"/>
    </xf>
    <xf numFmtId="0" fontId="54" fillId="25" borderId="0" xfId="0" applyFont="1" applyFill="1" applyBorder="1" applyAlignment="1">
      <alignment horizontal="left" vertical="center"/>
    </xf>
    <xf numFmtId="0" fontId="61" fillId="0" borderId="11" xfId="257" applyFont="1" applyBorder="1" applyAlignment="1" applyProtection="1">
      <alignment vertical="top"/>
      <protection locked="0"/>
    </xf>
    <xf numFmtId="0" fontId="51" fillId="0" borderId="33" xfId="130" applyFont="1" applyFill="1" applyBorder="1" applyAlignment="1">
      <alignment vertical="center" wrapText="1"/>
    </xf>
    <xf numFmtId="0" fontId="51" fillId="0" borderId="18" xfId="130" applyFont="1" applyFill="1" applyBorder="1" applyAlignment="1">
      <alignment vertical="center" wrapText="1"/>
    </xf>
    <xf numFmtId="3" fontId="50" fillId="0" borderId="25" xfId="130" applyNumberFormat="1" applyFont="1" applyFill="1" applyBorder="1" applyAlignment="1">
      <alignment horizontal="center" vertical="center" wrapText="1"/>
    </xf>
    <xf numFmtId="3" fontId="50" fillId="0" borderId="18" xfId="130" applyNumberFormat="1" applyFont="1" applyFill="1" applyBorder="1" applyAlignment="1">
      <alignment horizontal="center" vertical="center"/>
    </xf>
    <xf numFmtId="0" fontId="48" fillId="0" borderId="16" xfId="79" applyFont="1" applyBorder="1" applyAlignment="1">
      <alignment horizontal="center" vertical="center"/>
    </xf>
    <xf numFmtId="0" fontId="48" fillId="0" borderId="26" xfId="79" applyFont="1" applyBorder="1" applyAlignment="1">
      <alignment horizontal="center" vertical="center"/>
    </xf>
    <xf numFmtId="0" fontId="50" fillId="0" borderId="0" xfId="130" applyFont="1" applyBorder="1" applyAlignment="1">
      <alignment horizontal="center"/>
    </xf>
    <xf numFmtId="0" fontId="50" fillId="0" borderId="12" xfId="130" applyFont="1" applyBorder="1" applyAlignment="1">
      <alignment horizontal="center"/>
    </xf>
    <xf numFmtId="4" fontId="50" fillId="25" borderId="29" xfId="73" applyNumberFormat="1" applyFont="1" applyFill="1" applyBorder="1" applyAlignment="1">
      <alignment horizontal="center" vertical="center" wrapText="1"/>
    </xf>
    <xf numFmtId="4" fontId="50" fillId="25" borderId="20" xfId="73" applyNumberFormat="1" applyFont="1" applyFill="1" applyBorder="1" applyAlignment="1">
      <alignment horizontal="center" vertical="center" wrapText="1"/>
    </xf>
    <xf numFmtId="4" fontId="50" fillId="25" borderId="35" xfId="73" applyNumberFormat="1" applyFont="1" applyFill="1" applyBorder="1" applyAlignment="1">
      <alignment horizontal="center" vertical="center" wrapText="1"/>
    </xf>
    <xf numFmtId="4" fontId="50" fillId="25" borderId="46" xfId="73" applyNumberFormat="1" applyFont="1" applyFill="1" applyBorder="1" applyAlignment="1">
      <alignment horizontal="center" vertical="center" wrapText="1"/>
    </xf>
    <xf numFmtId="0" fontId="50" fillId="25" borderId="32" xfId="73" applyFont="1" applyFill="1" applyBorder="1" applyAlignment="1">
      <alignment horizontal="center" vertical="center" wrapText="1"/>
    </xf>
    <xf numFmtId="0" fontId="50" fillId="25" borderId="52" xfId="73" applyFont="1" applyFill="1" applyBorder="1" applyAlignment="1">
      <alignment horizontal="center" vertical="center" wrapText="1"/>
    </xf>
    <xf numFmtId="0" fontId="50" fillId="25" borderId="29" xfId="73" applyFont="1" applyFill="1" applyBorder="1" applyAlignment="1">
      <alignment horizontal="center" vertical="center" wrapText="1"/>
    </xf>
    <xf numFmtId="0" fontId="50" fillId="25" borderId="20" xfId="73" applyFont="1" applyFill="1" applyBorder="1" applyAlignment="1">
      <alignment horizontal="center" vertical="center" wrapText="1"/>
    </xf>
    <xf numFmtId="0" fontId="50" fillId="0" borderId="29" xfId="126" applyFont="1" applyBorder="1" applyAlignment="1">
      <alignment horizontal="center" vertical="center" wrapText="1"/>
    </xf>
    <xf numFmtId="0" fontId="49" fillId="24" borderId="13" xfId="73" applyFont="1" applyFill="1" applyBorder="1" applyAlignment="1">
      <alignment horizontal="left" vertical="center"/>
    </xf>
    <xf numFmtId="0" fontId="49" fillId="24" borderId="14" xfId="73" applyFont="1" applyFill="1" applyBorder="1" applyAlignment="1">
      <alignment horizontal="left" vertical="center"/>
    </xf>
    <xf numFmtId="0" fontId="49" fillId="24" borderId="15" xfId="73" applyFont="1" applyFill="1" applyBorder="1" applyAlignment="1">
      <alignment horizontal="left" vertical="center"/>
    </xf>
    <xf numFmtId="0" fontId="62" fillId="0" borderId="0" xfId="257" applyFont="1" applyBorder="1" applyAlignment="1" applyProtection="1">
      <alignment horizontal="center"/>
      <protection locked="0"/>
    </xf>
    <xf numFmtId="0" fontId="61" fillId="0" borderId="0" xfId="257" applyFont="1" applyBorder="1" applyAlignment="1" applyProtection="1">
      <alignment horizontal="center" vertical="top"/>
      <protection locked="0"/>
    </xf>
    <xf numFmtId="0" fontId="50" fillId="0" borderId="11" xfId="130" applyFont="1" applyBorder="1" applyAlignment="1">
      <alignment horizontal="center" vertical="center" wrapText="1"/>
    </xf>
    <xf numFmtId="0" fontId="50" fillId="0" borderId="0" xfId="130" applyFont="1" applyBorder="1" applyAlignment="1">
      <alignment horizontal="center" vertical="center" wrapText="1"/>
    </xf>
    <xf numFmtId="0" fontId="50" fillId="0" borderId="12" xfId="130" applyFont="1" applyBorder="1" applyAlignment="1">
      <alignment horizontal="center" vertical="center" wrapText="1"/>
    </xf>
    <xf numFmtId="0" fontId="5" fillId="0" borderId="34" xfId="128" applyFont="1" applyBorder="1" applyAlignment="1">
      <alignment horizontal="left" vertical="center" wrapText="1"/>
    </xf>
    <xf numFmtId="0" fontId="5" fillId="0" borderId="16" xfId="128" applyFont="1" applyBorder="1" applyAlignment="1">
      <alignment horizontal="left" vertical="center" wrapText="1"/>
    </xf>
    <xf numFmtId="0" fontId="5" fillId="0" borderId="17" xfId="128" applyFont="1" applyBorder="1" applyAlignment="1">
      <alignment horizontal="left" vertical="center" wrapText="1"/>
    </xf>
    <xf numFmtId="0" fontId="51" fillId="0" borderId="33" xfId="130" applyFont="1" applyFill="1" applyBorder="1" applyAlignment="1">
      <alignment vertical="top" wrapText="1"/>
    </xf>
    <xf numFmtId="0" fontId="51" fillId="0" borderId="18" xfId="130" applyFont="1" applyFill="1" applyBorder="1" applyAlignment="1">
      <alignment vertical="top" wrapText="1"/>
    </xf>
    <xf numFmtId="0" fontId="50" fillId="24" borderId="45" xfId="73" applyFont="1" applyFill="1" applyBorder="1" applyAlignment="1">
      <alignment horizontal="right" vertical="center"/>
    </xf>
    <xf numFmtId="0" fontId="50" fillId="24" borderId="47" xfId="73" applyFont="1" applyFill="1" applyBorder="1" applyAlignment="1">
      <alignment horizontal="right" vertical="center"/>
    </xf>
    <xf numFmtId="0" fontId="50" fillId="24" borderId="56" xfId="73" applyFont="1" applyFill="1" applyBorder="1" applyAlignment="1">
      <alignment horizontal="right" vertical="center"/>
    </xf>
    <xf numFmtId="0" fontId="50" fillId="0" borderId="33" xfId="130" applyFont="1" applyFill="1" applyBorder="1" applyAlignment="1">
      <alignment vertical="center" wrapText="1"/>
    </xf>
    <xf numFmtId="0" fontId="48" fillId="25" borderId="18" xfId="130" applyFont="1" applyFill="1" applyBorder="1" applyAlignment="1">
      <alignment horizontal="center" vertical="center" wrapText="1"/>
    </xf>
    <xf numFmtId="0" fontId="48" fillId="25" borderId="30" xfId="130" applyFont="1" applyFill="1" applyBorder="1" applyAlignment="1">
      <alignment horizontal="center" vertical="center" wrapText="1"/>
    </xf>
    <xf numFmtId="0" fontId="50" fillId="0" borderId="18" xfId="130" applyFont="1" applyFill="1" applyBorder="1" applyAlignment="1">
      <alignment horizontal="center" vertical="center" wrapText="1"/>
    </xf>
    <xf numFmtId="0" fontId="50" fillId="0" borderId="18" xfId="130" applyFont="1" applyFill="1" applyBorder="1" applyAlignment="1">
      <alignment horizontal="center" vertical="center"/>
    </xf>
    <xf numFmtId="0" fontId="51" fillId="0" borderId="33" xfId="0" applyFont="1" applyFill="1" applyBorder="1" applyAlignment="1">
      <alignment vertical="center" wrapText="1"/>
    </xf>
    <xf numFmtId="0" fontId="51" fillId="0" borderId="18" xfId="0" applyFont="1" applyFill="1" applyBorder="1" applyAlignment="1">
      <alignment vertical="center" wrapText="1"/>
    </xf>
    <xf numFmtId="3" fontId="50" fillId="0" borderId="18" xfId="130" applyNumberFormat="1" applyFont="1" applyFill="1" applyBorder="1" applyAlignment="1">
      <alignment horizontal="center" vertical="center" wrapText="1"/>
    </xf>
    <xf numFmtId="0" fontId="58" fillId="0" borderId="0" xfId="91" applyFont="1" applyAlignment="1">
      <alignment horizontal="left" vertical="top" wrapText="1"/>
    </xf>
    <xf numFmtId="0" fontId="57" fillId="0" borderId="0" xfId="91" applyFont="1" applyFill="1" applyBorder="1" applyAlignment="1">
      <alignment horizontal="center"/>
    </xf>
    <xf numFmtId="0" fontId="57" fillId="0" borderId="12" xfId="91" applyFont="1" applyFill="1" applyBorder="1" applyAlignment="1">
      <alignment horizontal="center"/>
    </xf>
    <xf numFmtId="0" fontId="57" fillId="0" borderId="0" xfId="91" applyFont="1" applyAlignment="1">
      <alignment horizontal="center" vertical="top" wrapText="1"/>
    </xf>
    <xf numFmtId="43" fontId="51" fillId="0" borderId="19" xfId="34" applyNumberFormat="1" applyFont="1" applyBorder="1" applyAlignment="1">
      <alignment horizontal="center"/>
    </xf>
    <xf numFmtId="43" fontId="51" fillId="0" borderId="23" xfId="34" applyNumberFormat="1" applyFont="1" applyBorder="1" applyAlignment="1">
      <alignment horizontal="center"/>
    </xf>
    <xf numFmtId="43" fontId="51" fillId="0" borderId="64" xfId="34" applyNumberFormat="1" applyFont="1" applyBorder="1" applyAlignment="1">
      <alignment horizontal="center"/>
    </xf>
    <xf numFmtId="43" fontId="51" fillId="0" borderId="28" xfId="34" applyNumberFormat="1" applyFont="1" applyBorder="1" applyAlignment="1">
      <alignment horizontal="center"/>
    </xf>
    <xf numFmtId="0" fontId="50" fillId="0" borderId="45" xfId="0" applyFont="1" applyBorder="1" applyAlignment="1">
      <alignment horizontal="right"/>
    </xf>
    <xf numFmtId="0" fontId="50" fillId="0" borderId="47" xfId="0" applyFont="1" applyBorder="1" applyAlignment="1">
      <alignment horizontal="right"/>
    </xf>
    <xf numFmtId="0" fontId="50" fillId="0" borderId="48" xfId="0" applyFont="1" applyBorder="1" applyAlignment="1">
      <alignment horizontal="right"/>
    </xf>
    <xf numFmtId="0" fontId="50" fillId="24" borderId="45" xfId="0" applyFont="1" applyFill="1" applyBorder="1" applyAlignment="1">
      <alignment horizontal="right"/>
    </xf>
    <xf numFmtId="0" fontId="50" fillId="24" borderId="47" xfId="0" applyFont="1" applyFill="1" applyBorder="1" applyAlignment="1">
      <alignment horizontal="right"/>
    </xf>
    <xf numFmtId="0" fontId="50" fillId="24" borderId="48" xfId="0" applyFont="1" applyFill="1" applyBorder="1" applyAlignment="1">
      <alignment horizontal="right"/>
    </xf>
    <xf numFmtId="0" fontId="51" fillId="0" borderId="13" xfId="0" applyFont="1" applyBorder="1" applyAlignment="1">
      <alignment horizontal="left"/>
    </xf>
    <xf numFmtId="0" fontId="51" fillId="0" borderId="14" xfId="0" applyFont="1" applyBorder="1" applyAlignment="1">
      <alignment horizontal="left"/>
    </xf>
    <xf numFmtId="0" fontId="51" fillId="0" borderId="14" xfId="0" applyFont="1" applyBorder="1" applyAlignment="1">
      <alignment horizontal="right"/>
    </xf>
    <xf numFmtId="0" fontId="51" fillId="0" borderId="15" xfId="0" applyFont="1" applyBorder="1" applyAlignment="1">
      <alignment horizontal="right"/>
    </xf>
    <xf numFmtId="166" fontId="51" fillId="0" borderId="22" xfId="0" applyNumberFormat="1" applyFont="1" applyBorder="1" applyAlignment="1">
      <alignment horizontal="center" wrapText="1"/>
    </xf>
    <xf numFmtId="166" fontId="51" fillId="0" borderId="23" xfId="0" applyNumberFormat="1" applyFont="1" applyBorder="1" applyAlignment="1">
      <alignment horizontal="center" wrapText="1"/>
    </xf>
    <xf numFmtId="189" fontId="51" fillId="0" borderId="19" xfId="0" applyNumberFormat="1" applyFont="1" applyBorder="1" applyAlignment="1">
      <alignment horizontal="center" wrapText="1"/>
    </xf>
    <xf numFmtId="189" fontId="51" fillId="0" borderId="23" xfId="0" applyNumberFormat="1" applyFont="1" applyBorder="1" applyAlignment="1">
      <alignment horizontal="center" wrapText="1"/>
    </xf>
    <xf numFmtId="0" fontId="51" fillId="0" borderId="22" xfId="95" applyNumberFormat="1" applyFont="1" applyBorder="1" applyAlignment="1">
      <alignment horizontal="center"/>
    </xf>
    <xf numFmtId="0" fontId="51" fillId="0" borderId="23" xfId="95" applyNumberFormat="1" applyFont="1" applyBorder="1" applyAlignment="1">
      <alignment horizontal="center"/>
    </xf>
    <xf numFmtId="2" fontId="51" fillId="0" borderId="19" xfId="0" applyNumberFormat="1" applyFont="1" applyBorder="1" applyAlignment="1">
      <alignment horizontal="center" wrapText="1"/>
    </xf>
    <xf numFmtId="2" fontId="51" fillId="0" borderId="23" xfId="0" applyNumberFormat="1" applyFont="1" applyBorder="1" applyAlignment="1">
      <alignment horizontal="center" wrapText="1"/>
    </xf>
    <xf numFmtId="0" fontId="51" fillId="0" borderId="27" xfId="0" applyFont="1" applyBorder="1" applyAlignment="1"/>
    <xf numFmtId="0" fontId="51" fillId="0" borderId="31" xfId="0" applyFont="1" applyBorder="1" applyAlignment="1"/>
    <xf numFmtId="0" fontId="51" fillId="0" borderId="14" xfId="0" applyFont="1" applyBorder="1" applyAlignment="1"/>
    <xf numFmtId="0" fontId="51" fillId="0" borderId="31" xfId="0" applyFont="1" applyBorder="1" applyAlignment="1">
      <alignment horizontal="center"/>
    </xf>
    <xf numFmtId="0" fontId="51" fillId="0" borderId="28" xfId="0" applyFont="1" applyBorder="1" applyAlignment="1">
      <alignment horizontal="center"/>
    </xf>
    <xf numFmtId="0" fontId="51" fillId="0" borderId="64" xfId="0" applyFont="1" applyBorder="1" applyAlignment="1">
      <alignment horizontal="center"/>
    </xf>
    <xf numFmtId="0" fontId="50" fillId="24" borderId="34" xfId="0" applyFont="1" applyFill="1" applyBorder="1" applyAlignment="1">
      <alignment horizontal="center"/>
    </xf>
    <xf numFmtId="0" fontId="50" fillId="24" borderId="16" xfId="0" applyFont="1" applyFill="1" applyBorder="1" applyAlignment="1">
      <alignment horizontal="center"/>
    </xf>
    <xf numFmtId="0" fontId="50" fillId="24" borderId="50" xfId="0" applyFont="1" applyFill="1" applyBorder="1" applyAlignment="1">
      <alignment horizontal="center" wrapText="1"/>
    </xf>
    <xf numFmtId="0" fontId="50" fillId="24" borderId="17" xfId="0" applyFont="1" applyFill="1" applyBorder="1" applyAlignment="1">
      <alignment horizontal="center" wrapText="1"/>
    </xf>
    <xf numFmtId="0" fontId="51" fillId="0" borderId="21" xfId="0" applyFont="1" applyBorder="1" applyAlignment="1"/>
    <xf numFmtId="0" fontId="51" fillId="0" borderId="22" xfId="0" applyFont="1" applyBorder="1" applyAlignment="1"/>
    <xf numFmtId="0" fontId="50" fillId="0" borderId="13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24" borderId="16" xfId="0" applyFont="1" applyFill="1" applyBorder="1" applyAlignment="1">
      <alignment horizontal="center" wrapText="1"/>
    </xf>
    <xf numFmtId="173" fontId="51" fillId="0" borderId="19" xfId="34" applyFont="1" applyBorder="1" applyAlignment="1">
      <alignment horizontal="center"/>
    </xf>
    <xf numFmtId="173" fontId="51" fillId="0" borderId="23" xfId="34" applyFont="1" applyBorder="1" applyAlignment="1">
      <alignment horizontal="center"/>
    </xf>
    <xf numFmtId="0" fontId="51" fillId="0" borderId="28" xfId="0" applyFont="1" applyBorder="1" applyAlignment="1"/>
    <xf numFmtId="0" fontId="50" fillId="24" borderId="50" xfId="0" applyFont="1" applyFill="1" applyBorder="1" applyAlignment="1">
      <alignment horizontal="center"/>
    </xf>
    <xf numFmtId="0" fontId="50" fillId="24" borderId="17" xfId="0" applyFont="1" applyFill="1" applyBorder="1" applyAlignment="1">
      <alignment horizontal="center"/>
    </xf>
    <xf numFmtId="0" fontId="51" fillId="0" borderId="64" xfId="0" applyFont="1" applyBorder="1" applyAlignment="1"/>
    <xf numFmtId="0" fontId="51" fillId="24" borderId="16" xfId="0" applyFont="1" applyFill="1" applyBorder="1" applyAlignment="1">
      <alignment horizontal="center"/>
    </xf>
    <xf numFmtId="0" fontId="51" fillId="24" borderId="17" xfId="0" applyFont="1" applyFill="1" applyBorder="1" applyAlignment="1">
      <alignment horizontal="center"/>
    </xf>
    <xf numFmtId="0" fontId="51" fillId="0" borderId="27" xfId="0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/>
    </xf>
    <xf numFmtId="0" fontId="51" fillId="0" borderId="72" xfId="0" applyFont="1" applyFill="1" applyBorder="1" applyAlignment="1">
      <alignment horizontal="center" vertical="center"/>
    </xf>
    <xf numFmtId="2" fontId="51" fillId="0" borderId="64" xfId="0" applyNumberFormat="1" applyFont="1" applyBorder="1" applyAlignment="1">
      <alignment horizontal="center"/>
    </xf>
    <xf numFmtId="2" fontId="51" fillId="0" borderId="28" xfId="0" applyNumberFormat="1" applyFont="1" applyBorder="1" applyAlignment="1">
      <alignment horizontal="center"/>
    </xf>
    <xf numFmtId="0" fontId="51" fillId="0" borderId="19" xfId="0" applyFont="1" applyBorder="1" applyAlignment="1">
      <alignment horizontal="center"/>
    </xf>
    <xf numFmtId="0" fontId="51" fillId="0" borderId="23" xfId="0" applyFont="1" applyBorder="1" applyAlignment="1">
      <alignment horizontal="center"/>
    </xf>
    <xf numFmtId="0" fontId="50" fillId="24" borderId="70" xfId="0" applyFont="1" applyFill="1" applyBorder="1" applyAlignment="1">
      <alignment horizontal="center"/>
    </xf>
    <xf numFmtId="0" fontId="50" fillId="24" borderId="69" xfId="0" applyFont="1" applyFill="1" applyBorder="1" applyAlignment="1">
      <alignment horizontal="center"/>
    </xf>
    <xf numFmtId="0" fontId="51" fillId="0" borderId="23" xfId="0" applyFont="1" applyBorder="1" applyAlignment="1"/>
    <xf numFmtId="0" fontId="51" fillId="0" borderId="19" xfId="0" applyFont="1" applyBorder="1" applyAlignment="1"/>
    <xf numFmtId="0" fontId="50" fillId="0" borderId="75" xfId="0" applyFont="1" applyBorder="1" applyAlignment="1">
      <alignment horizontal="left"/>
    </xf>
    <xf numFmtId="0" fontId="50" fillId="0" borderId="0" xfId="0" applyFont="1" applyBorder="1" applyAlignment="1">
      <alignment horizontal="left"/>
    </xf>
    <xf numFmtId="0" fontId="50" fillId="0" borderId="49" xfId="0" applyFont="1" applyBorder="1" applyAlignment="1">
      <alignment horizontal="left"/>
    </xf>
    <xf numFmtId="0" fontId="50" fillId="0" borderId="75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50" fillId="0" borderId="49" xfId="0" applyFont="1" applyBorder="1" applyAlignment="1">
      <alignment horizontal="center"/>
    </xf>
    <xf numFmtId="0" fontId="50" fillId="0" borderId="62" xfId="0" applyFont="1" applyBorder="1" applyAlignment="1" applyProtection="1">
      <alignment horizontal="center"/>
      <protection locked="0"/>
    </xf>
    <xf numFmtId="0" fontId="50" fillId="0" borderId="61" xfId="0" applyFont="1" applyBorder="1" applyAlignment="1" applyProtection="1">
      <alignment horizontal="center"/>
      <protection locked="0"/>
    </xf>
    <xf numFmtId="0" fontId="50" fillId="0" borderId="60" xfId="0" applyFont="1" applyBorder="1" applyAlignment="1" applyProtection="1">
      <alignment horizontal="center"/>
      <protection locked="0"/>
    </xf>
    <xf numFmtId="0" fontId="50" fillId="24" borderId="34" xfId="0" applyFont="1" applyFill="1" applyBorder="1" applyAlignment="1">
      <alignment horizontal="center" vertical="center" wrapText="1"/>
    </xf>
    <xf numFmtId="0" fontId="50" fillId="24" borderId="16" xfId="0" applyFont="1" applyFill="1" applyBorder="1" applyAlignment="1">
      <alignment horizontal="center" vertical="center" wrapText="1"/>
    </xf>
    <xf numFmtId="0" fontId="50" fillId="24" borderId="26" xfId="0" applyFont="1" applyFill="1" applyBorder="1" applyAlignment="1">
      <alignment horizontal="center" vertical="center" wrapText="1"/>
    </xf>
    <xf numFmtId="0" fontId="50" fillId="24" borderId="34" xfId="0" applyFont="1" applyFill="1" applyBorder="1" applyAlignment="1">
      <alignment horizontal="center" vertical="center"/>
    </xf>
    <xf numFmtId="0" fontId="50" fillId="24" borderId="26" xfId="0" applyFont="1" applyFill="1" applyBorder="1" applyAlignment="1">
      <alignment horizontal="center" vertical="center"/>
    </xf>
    <xf numFmtId="0" fontId="51" fillId="0" borderId="21" xfId="0" applyFont="1" applyBorder="1" applyAlignment="1">
      <alignment horizontal="left"/>
    </xf>
    <xf numFmtId="0" fontId="51" fillId="0" borderId="22" xfId="0" applyFont="1" applyBorder="1" applyAlignment="1">
      <alignment horizontal="left"/>
    </xf>
    <xf numFmtId="0" fontId="51" fillId="0" borderId="23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50" fillId="0" borderId="62" xfId="0" applyFont="1" applyBorder="1" applyAlignment="1">
      <alignment horizontal="center" vertical="center"/>
    </xf>
    <xf numFmtId="0" fontId="50" fillId="0" borderId="61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2" fontId="51" fillId="0" borderId="19" xfId="0" applyNumberFormat="1" applyFont="1" applyBorder="1" applyAlignment="1">
      <alignment horizontal="right"/>
    </xf>
    <xf numFmtId="2" fontId="51" fillId="0" borderId="23" xfId="0" applyNumberFormat="1" applyFont="1" applyBorder="1" applyAlignment="1">
      <alignment horizontal="right"/>
    </xf>
    <xf numFmtId="0" fontId="51" fillId="0" borderId="27" xfId="0" applyFont="1" applyFill="1" applyBorder="1" applyAlignment="1">
      <alignment horizontal="center"/>
    </xf>
    <xf numFmtId="0" fontId="51" fillId="0" borderId="72" xfId="0" applyFont="1" applyFill="1" applyBorder="1" applyAlignment="1">
      <alignment horizontal="center"/>
    </xf>
    <xf numFmtId="0" fontId="51" fillId="0" borderId="27" xfId="0" applyFont="1" applyFill="1" applyBorder="1" applyAlignment="1">
      <alignment horizontal="left" wrapText="1"/>
    </xf>
    <xf numFmtId="0" fontId="51" fillId="0" borderId="31" xfId="0" applyFont="1" applyFill="1" applyBorder="1" applyAlignment="1">
      <alignment horizontal="left" wrapText="1"/>
    </xf>
    <xf numFmtId="0" fontId="51" fillId="0" borderId="72" xfId="0" applyFont="1" applyFill="1" applyBorder="1" applyAlignment="1">
      <alignment horizontal="left" wrapText="1"/>
    </xf>
    <xf numFmtId="2" fontId="51" fillId="0" borderId="64" xfId="0" applyNumberFormat="1" applyFont="1" applyBorder="1" applyAlignment="1"/>
    <xf numFmtId="2" fontId="51" fillId="0" borderId="28" xfId="0" applyNumberFormat="1" applyFont="1" applyBorder="1" applyAlignment="1"/>
    <xf numFmtId="2" fontId="51" fillId="0" borderId="19" xfId="0" applyNumberFormat="1" applyFont="1" applyBorder="1" applyAlignment="1">
      <alignment horizontal="center"/>
    </xf>
    <xf numFmtId="2" fontId="51" fillId="0" borderId="23" xfId="0" applyNumberFormat="1" applyFont="1" applyBorder="1" applyAlignment="1">
      <alignment horizontal="center"/>
    </xf>
    <xf numFmtId="0" fontId="62" fillId="0" borderId="18" xfId="257" applyFont="1" applyBorder="1" applyAlignment="1" applyProtection="1">
      <alignment horizontal="center" vertical="center" wrapText="1"/>
      <protection locked="0"/>
    </xf>
    <xf numFmtId="0" fontId="61" fillId="0" borderId="18" xfId="257" applyFont="1" applyBorder="1" applyAlignment="1" applyProtection="1">
      <alignment horizontal="center" vertical="center" wrapText="1"/>
      <protection locked="0"/>
    </xf>
    <xf numFmtId="0" fontId="67" fillId="0" borderId="0" xfId="257" applyFont="1" applyBorder="1" applyAlignment="1" applyProtection="1">
      <alignment horizontal="center" vertical="center" wrapText="1"/>
      <protection locked="0"/>
    </xf>
    <xf numFmtId="0" fontId="62" fillId="0" borderId="19" xfId="257" applyFont="1" applyBorder="1" applyAlignment="1" applyProtection="1">
      <alignment horizontal="center" vertical="center"/>
      <protection locked="0"/>
    </xf>
    <xf numFmtId="0" fontId="62" fillId="0" borderId="22" xfId="257" applyFont="1" applyBorder="1" applyAlignment="1" applyProtection="1">
      <alignment horizontal="center" vertical="center"/>
      <protection locked="0"/>
    </xf>
    <xf numFmtId="0" fontId="62" fillId="0" borderId="23" xfId="257" applyFont="1" applyBorder="1" applyAlignment="1" applyProtection="1">
      <alignment horizontal="center" vertical="center"/>
      <protection locked="0"/>
    </xf>
    <xf numFmtId="0" fontId="62" fillId="24" borderId="18" xfId="257" applyFont="1" applyFill="1" applyBorder="1" applyAlignment="1" applyProtection="1">
      <alignment horizontal="center" vertical="center"/>
      <protection locked="0"/>
    </xf>
    <xf numFmtId="0" fontId="64" fillId="0" borderId="19" xfId="257" applyFont="1" applyBorder="1" applyAlignment="1" applyProtection="1">
      <alignment horizontal="left" wrapText="1"/>
      <protection locked="0"/>
    </xf>
    <xf numFmtId="0" fontId="64" fillId="0" borderId="22" xfId="257" applyFont="1" applyBorder="1" applyAlignment="1" applyProtection="1">
      <alignment horizontal="left" wrapText="1"/>
      <protection locked="0"/>
    </xf>
    <xf numFmtId="0" fontId="64" fillId="0" borderId="23" xfId="257" applyFont="1" applyBorder="1" applyAlignment="1" applyProtection="1">
      <alignment horizontal="left" wrapText="1"/>
      <protection locked="0"/>
    </xf>
    <xf numFmtId="0" fontId="61" fillId="0" borderId="19" xfId="257" applyFont="1" applyBorder="1" applyAlignment="1" applyProtection="1">
      <alignment horizontal="left" vertical="center" wrapText="1"/>
      <protection locked="0"/>
    </xf>
    <xf numFmtId="0" fontId="61" fillId="0" borderId="22" xfId="257" applyFont="1" applyBorder="1" applyAlignment="1" applyProtection="1">
      <alignment horizontal="left" vertical="center" wrapText="1"/>
      <protection locked="0"/>
    </xf>
    <xf numFmtId="0" fontId="61" fillId="0" borderId="23" xfId="257" applyFont="1" applyBorder="1" applyAlignment="1" applyProtection="1">
      <alignment horizontal="left" vertical="center" wrapText="1"/>
      <protection locked="0"/>
    </xf>
    <xf numFmtId="0" fontId="64" fillId="0" borderId="18" xfId="257" applyFont="1" applyBorder="1" applyAlignment="1" applyProtection="1">
      <alignment horizontal="left" wrapText="1"/>
      <protection locked="0"/>
    </xf>
    <xf numFmtId="0" fontId="30" fillId="0" borderId="0" xfId="89" applyFont="1" applyAlignment="1">
      <alignment horizontal="center"/>
    </xf>
  </cellXfs>
  <cellStyles count="260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2 2" xfId="258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" xfId="259" builtinId="4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10" xfId="257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10</xdr:row>
      <xdr:rowOff>142875</xdr:rowOff>
    </xdr:from>
    <xdr:to>
      <xdr:col>6</xdr:col>
      <xdr:colOff>447675</xdr:colOff>
      <xdr:row>12</xdr:row>
      <xdr:rowOff>41276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CF80E428-09DB-4A6B-9A0C-FD2E680EB7AD}"/>
            </a:ext>
          </a:extLst>
        </xdr:cNvPr>
        <xdr:cNvSpPr/>
      </xdr:nvSpPr>
      <xdr:spPr bwMode="auto">
        <a:xfrm>
          <a:off x="24479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142875</xdr:rowOff>
    </xdr:from>
    <xdr:to>
      <xdr:col>7</xdr:col>
      <xdr:colOff>295275</xdr:colOff>
      <xdr:row>12</xdr:row>
      <xdr:rowOff>41276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867A0B0E-E40B-4953-8320-AE6775092F72}"/>
            </a:ext>
          </a:extLst>
        </xdr:cNvPr>
        <xdr:cNvSpPr/>
      </xdr:nvSpPr>
      <xdr:spPr bwMode="auto">
        <a:xfrm>
          <a:off x="42005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8</xdr:row>
      <xdr:rowOff>142875</xdr:rowOff>
    </xdr:from>
    <xdr:to>
      <xdr:col>7</xdr:col>
      <xdr:colOff>9525</xdr:colOff>
      <xdr:row>10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FD45182E-A54B-4A94-95A5-6A0777AC8462}"/>
            </a:ext>
          </a:extLst>
        </xdr:cNvPr>
        <xdr:cNvSpPr/>
      </xdr:nvSpPr>
      <xdr:spPr bwMode="auto">
        <a:xfrm>
          <a:off x="24479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8</xdr:row>
      <xdr:rowOff>142875</xdr:rowOff>
    </xdr:from>
    <xdr:to>
      <xdr:col>11</xdr:col>
      <xdr:colOff>9525</xdr:colOff>
      <xdr:row>10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C9376863-1EBD-4CAE-99BC-988D2ABA2A8D}"/>
            </a:ext>
          </a:extLst>
        </xdr:cNvPr>
        <xdr:cNvSpPr/>
      </xdr:nvSpPr>
      <xdr:spPr bwMode="auto">
        <a:xfrm>
          <a:off x="42005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66</xdr:row>
      <xdr:rowOff>142875</xdr:rowOff>
    </xdr:from>
    <xdr:ext cx="295275" cy="241301"/>
    <xdr:sp macro="" textlink="">
      <xdr:nvSpPr>
        <xdr:cNvPr id="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14FEC1F9-9F99-4527-873E-987FD0CF9DFE}"/>
            </a:ext>
          </a:extLst>
        </xdr:cNvPr>
        <xdr:cNvSpPr/>
      </xdr:nvSpPr>
      <xdr:spPr bwMode="auto">
        <a:xfrm>
          <a:off x="24479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66</xdr:row>
      <xdr:rowOff>142875</xdr:rowOff>
    </xdr:from>
    <xdr:ext cx="295275" cy="241301"/>
    <xdr:sp macro="" textlink="">
      <xdr:nvSpPr>
        <xdr:cNvPr id="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0C5E6E23-8ACC-4178-9B21-7E2013BC936D}"/>
            </a:ext>
          </a:extLst>
        </xdr:cNvPr>
        <xdr:cNvSpPr/>
      </xdr:nvSpPr>
      <xdr:spPr bwMode="auto">
        <a:xfrm>
          <a:off x="42005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124</xdr:row>
      <xdr:rowOff>142875</xdr:rowOff>
    </xdr:from>
    <xdr:ext cx="295275" cy="24130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A013DD46-0946-423B-845B-AFF5CF5D4DAA}"/>
            </a:ext>
          </a:extLst>
        </xdr:cNvPr>
        <xdr:cNvSpPr/>
      </xdr:nvSpPr>
      <xdr:spPr bwMode="auto">
        <a:xfrm>
          <a:off x="2447925" y="108585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124</xdr:row>
      <xdr:rowOff>142875</xdr:rowOff>
    </xdr:from>
    <xdr:ext cx="295275" cy="24130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3349DED8-ABBC-4EF1-94F8-4608A8F1FA1F}"/>
            </a:ext>
          </a:extLst>
        </xdr:cNvPr>
        <xdr:cNvSpPr/>
      </xdr:nvSpPr>
      <xdr:spPr bwMode="auto">
        <a:xfrm>
          <a:off x="4200525" y="108585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182</xdr:row>
      <xdr:rowOff>142875</xdr:rowOff>
    </xdr:from>
    <xdr:ext cx="295275" cy="24130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721792A4-6981-434C-A608-9502D0B4F205}"/>
            </a:ext>
          </a:extLst>
        </xdr:cNvPr>
        <xdr:cNvSpPr/>
      </xdr:nvSpPr>
      <xdr:spPr bwMode="auto">
        <a:xfrm>
          <a:off x="2447925" y="20659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182</xdr:row>
      <xdr:rowOff>142875</xdr:rowOff>
    </xdr:from>
    <xdr:ext cx="295275" cy="24130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0BF7CC51-35B0-4711-9913-D1B442634019}"/>
            </a:ext>
          </a:extLst>
        </xdr:cNvPr>
        <xdr:cNvSpPr/>
      </xdr:nvSpPr>
      <xdr:spPr bwMode="auto">
        <a:xfrm>
          <a:off x="4200525" y="20659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240</xdr:row>
      <xdr:rowOff>142875</xdr:rowOff>
    </xdr:from>
    <xdr:ext cx="295275" cy="24130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F0E83FA8-EAB1-4000-92DF-03DBAC4FBC45}"/>
            </a:ext>
          </a:extLst>
        </xdr:cNvPr>
        <xdr:cNvSpPr/>
      </xdr:nvSpPr>
      <xdr:spPr bwMode="auto">
        <a:xfrm>
          <a:off x="2447925" y="304609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240</xdr:row>
      <xdr:rowOff>142875</xdr:rowOff>
    </xdr:from>
    <xdr:ext cx="295275" cy="24130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C8267FA6-431E-47D9-821C-E9C9D8BCE75A}"/>
            </a:ext>
          </a:extLst>
        </xdr:cNvPr>
        <xdr:cNvSpPr/>
      </xdr:nvSpPr>
      <xdr:spPr bwMode="auto">
        <a:xfrm>
          <a:off x="4200525" y="304609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</xdr:row>
      <xdr:rowOff>142875</xdr:rowOff>
    </xdr:from>
    <xdr:ext cx="295275" cy="241301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49BB6B65-DE5A-460F-8F4E-20919DEA6298}"/>
            </a:ext>
          </a:extLst>
        </xdr:cNvPr>
        <xdr:cNvSpPr/>
      </xdr:nvSpPr>
      <xdr:spPr bwMode="auto">
        <a:xfrm>
          <a:off x="2447925" y="402621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</xdr:row>
      <xdr:rowOff>142875</xdr:rowOff>
    </xdr:from>
    <xdr:ext cx="295275" cy="241301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EE08FAEA-F684-45D4-8E71-DF0302135B21}"/>
            </a:ext>
          </a:extLst>
        </xdr:cNvPr>
        <xdr:cNvSpPr/>
      </xdr:nvSpPr>
      <xdr:spPr bwMode="auto">
        <a:xfrm>
          <a:off x="4200525" y="4026217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356</xdr:row>
      <xdr:rowOff>142875</xdr:rowOff>
    </xdr:from>
    <xdr:ext cx="295275" cy="241301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AD557238-CBC1-41BB-B5BF-91169F54C793}"/>
            </a:ext>
          </a:extLst>
        </xdr:cNvPr>
        <xdr:cNvSpPr/>
      </xdr:nvSpPr>
      <xdr:spPr bwMode="auto">
        <a:xfrm>
          <a:off x="2447925" y="500634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356</xdr:row>
      <xdr:rowOff>142875</xdr:rowOff>
    </xdr:from>
    <xdr:ext cx="295275" cy="241301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58729561-248B-4153-9CB4-DAF8131D1CFF}"/>
            </a:ext>
          </a:extLst>
        </xdr:cNvPr>
        <xdr:cNvSpPr/>
      </xdr:nvSpPr>
      <xdr:spPr bwMode="auto">
        <a:xfrm>
          <a:off x="4200525" y="5006340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414</xdr:row>
      <xdr:rowOff>142875</xdr:rowOff>
    </xdr:from>
    <xdr:ext cx="295275" cy="241301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B040489D-D9FB-4B3C-B518-73EBA3775AC7}"/>
            </a:ext>
          </a:extLst>
        </xdr:cNvPr>
        <xdr:cNvSpPr/>
      </xdr:nvSpPr>
      <xdr:spPr bwMode="auto">
        <a:xfrm>
          <a:off x="2447925" y="59864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414</xdr:row>
      <xdr:rowOff>142875</xdr:rowOff>
    </xdr:from>
    <xdr:ext cx="295275" cy="241301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D32F97F5-FFBD-4AE0-B301-1D8F1C130DD4}"/>
            </a:ext>
          </a:extLst>
        </xdr:cNvPr>
        <xdr:cNvSpPr/>
      </xdr:nvSpPr>
      <xdr:spPr bwMode="auto">
        <a:xfrm>
          <a:off x="4200525" y="598646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5</xdr:row>
      <xdr:rowOff>142875</xdr:rowOff>
    </xdr:from>
    <xdr:to>
      <xdr:col>7</xdr:col>
      <xdr:colOff>9525</xdr:colOff>
      <xdr:row>7</xdr:row>
      <xdr:rowOff>22226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5</xdr:row>
      <xdr:rowOff>142875</xdr:rowOff>
    </xdr:from>
    <xdr:to>
      <xdr:col>11</xdr:col>
      <xdr:colOff>57150</xdr:colOff>
      <xdr:row>7</xdr:row>
      <xdr:rowOff>22226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5</xdr:col>
      <xdr:colOff>47851</xdr:colOff>
      <xdr:row>50</xdr:row>
      <xdr:rowOff>66828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8096250"/>
          <a:ext cx="1619476" cy="109552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6</xdr:row>
      <xdr:rowOff>142875</xdr:rowOff>
    </xdr:from>
    <xdr:to>
      <xdr:col>7</xdr:col>
      <xdr:colOff>142875</xdr:colOff>
      <xdr:row>8</xdr:row>
      <xdr:rowOff>60326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AE2E47DB-A070-4D1D-95D1-754CC4805BB9}"/>
            </a:ext>
          </a:extLst>
        </xdr:cNvPr>
        <xdr:cNvSpPr/>
      </xdr:nvSpPr>
      <xdr:spPr bwMode="auto">
        <a:xfrm>
          <a:off x="24479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6</xdr:row>
      <xdr:rowOff>142875</xdr:rowOff>
    </xdr:from>
    <xdr:to>
      <xdr:col>11</xdr:col>
      <xdr:colOff>76200</xdr:colOff>
      <xdr:row>8</xdr:row>
      <xdr:rowOff>60326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DF4A8EB5-1C65-44D8-8B10-13AC73CAC698}"/>
            </a:ext>
          </a:extLst>
        </xdr:cNvPr>
        <xdr:cNvSpPr/>
      </xdr:nvSpPr>
      <xdr:spPr bwMode="auto">
        <a:xfrm>
          <a:off x="4200525" y="12287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50987</xdr:colOff>
      <xdr:row>45</xdr:row>
      <xdr:rowOff>73958</xdr:rowOff>
    </xdr:from>
    <xdr:to>
      <xdr:col>5</xdr:col>
      <xdr:colOff>156548</xdr:colOff>
      <xdr:row>52</xdr:row>
      <xdr:rowOff>107169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87" y="8052546"/>
          <a:ext cx="1618355" cy="10977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4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70C0"/>
  </sheetPr>
  <dimension ref="A1:T36"/>
  <sheetViews>
    <sheetView showGridLines="0" tabSelected="1" view="pageLayout" topLeftCell="C28" zoomScaleNormal="100" zoomScaleSheetLayoutView="100" workbookViewId="0">
      <selection activeCell="C27" sqref="C27:G27"/>
    </sheetView>
  </sheetViews>
  <sheetFormatPr baseColWidth="10" defaultColWidth="11.28515625" defaultRowHeight="16.5"/>
  <cols>
    <col min="1" max="2" width="1.42578125" style="1" customWidth="1"/>
    <col min="3" max="3" width="3.85546875" style="1" customWidth="1"/>
    <col min="4" max="4" width="7" style="1" customWidth="1"/>
    <col min="5" max="5" width="8.140625" style="2" customWidth="1"/>
    <col min="6" max="6" width="8.140625" style="1" customWidth="1"/>
    <col min="7" max="7" width="33" style="1" customWidth="1"/>
    <col min="8" max="8" width="4.140625" style="1" customWidth="1"/>
    <col min="9" max="9" width="9.85546875" style="1" customWidth="1"/>
    <col min="10" max="10" width="13.28515625" style="1" customWidth="1"/>
    <col min="11" max="11" width="15.5703125" style="1" customWidth="1"/>
    <col min="12" max="12" width="2.42578125" style="1" customWidth="1"/>
    <col min="13" max="13" width="1.28515625" style="1" customWidth="1"/>
    <col min="14" max="14" width="14.7109375" style="1" bestFit="1" customWidth="1"/>
    <col min="15" max="15" width="26.140625" style="1" customWidth="1"/>
    <col min="16" max="17" width="15.85546875" style="1" bestFit="1" customWidth="1"/>
    <col min="18" max="16384" width="11.28515625" style="1"/>
  </cols>
  <sheetData>
    <row r="1" spans="1:20" ht="10.35" customHeight="1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20" ht="6.2" customHeight="1" thickTop="1">
      <c r="A2" s="5"/>
      <c r="B2" s="7"/>
      <c r="C2" s="8"/>
      <c r="D2" s="8"/>
      <c r="E2" s="9"/>
      <c r="F2" s="8"/>
      <c r="G2" s="8"/>
      <c r="H2" s="8"/>
      <c r="I2" s="8"/>
      <c r="J2" s="8"/>
      <c r="K2" s="8"/>
      <c r="L2" s="10"/>
      <c r="M2" s="5"/>
    </row>
    <row r="3" spans="1:20">
      <c r="A3" s="5"/>
      <c r="B3" s="11"/>
      <c r="C3" s="28" t="s">
        <v>24</v>
      </c>
      <c r="D3" s="29" t="s">
        <v>25</v>
      </c>
      <c r="E3" s="28" t="s">
        <v>26</v>
      </c>
      <c r="F3" s="29">
        <v>2</v>
      </c>
      <c r="G3" s="30"/>
      <c r="H3" s="30"/>
      <c r="I3" s="30"/>
      <c r="J3" s="30"/>
      <c r="K3" s="30"/>
      <c r="L3" s="12"/>
      <c r="M3" s="5"/>
    </row>
    <row r="4" spans="1:20" ht="6.2" customHeight="1" thickBot="1">
      <c r="A4" s="5"/>
      <c r="B4" s="11"/>
      <c r="C4" s="177"/>
      <c r="D4" s="178"/>
      <c r="E4" s="177"/>
      <c r="F4" s="178"/>
      <c r="G4" s="179"/>
      <c r="H4" s="179"/>
      <c r="I4" s="179"/>
      <c r="J4" s="179"/>
      <c r="K4" s="179"/>
      <c r="L4" s="12"/>
      <c r="M4" s="5"/>
    </row>
    <row r="5" spans="1:20" ht="6.2" customHeight="1">
      <c r="A5" s="5"/>
      <c r="B5" s="357"/>
      <c r="C5" s="175"/>
      <c r="D5" s="176"/>
      <c r="E5" s="175"/>
      <c r="F5" s="176"/>
      <c r="G5" s="30"/>
      <c r="H5" s="30"/>
      <c r="I5" s="30"/>
      <c r="J5" s="30"/>
      <c r="K5" s="356"/>
      <c r="L5" s="12"/>
      <c r="M5" s="5"/>
    </row>
    <row r="6" spans="1:20" ht="14.1" customHeight="1">
      <c r="A6" s="5"/>
      <c r="B6" s="357"/>
      <c r="C6" s="431" t="s">
        <v>71</v>
      </c>
      <c r="D6" s="431"/>
      <c r="E6" s="431"/>
      <c r="F6" s="431"/>
      <c r="G6" s="431"/>
      <c r="H6" s="431"/>
      <c r="I6" s="431"/>
      <c r="J6" s="431"/>
      <c r="K6" s="432"/>
      <c r="L6" s="12"/>
      <c r="M6" s="5"/>
    </row>
    <row r="7" spans="1:20" ht="42.6" customHeight="1">
      <c r="A7" s="5"/>
      <c r="B7" s="11"/>
      <c r="C7" s="447" t="s">
        <v>219</v>
      </c>
      <c r="D7" s="448"/>
      <c r="E7" s="448"/>
      <c r="F7" s="448"/>
      <c r="G7" s="448"/>
      <c r="H7" s="448"/>
      <c r="I7" s="448"/>
      <c r="J7" s="448"/>
      <c r="K7" s="449"/>
      <c r="L7" s="12"/>
      <c r="M7" s="5"/>
    </row>
    <row r="8" spans="1:20" ht="5.85" customHeight="1">
      <c r="A8" s="5"/>
      <c r="B8" s="11"/>
      <c r="C8" s="353"/>
      <c r="D8" s="354"/>
      <c r="E8" s="354"/>
      <c r="F8" s="354"/>
      <c r="G8" s="354"/>
      <c r="H8" s="354"/>
      <c r="I8" s="354"/>
      <c r="J8" s="354"/>
      <c r="K8" s="355"/>
      <c r="L8" s="12"/>
      <c r="M8" s="5"/>
    </row>
    <row r="9" spans="1:20" ht="14.1" customHeight="1" thickBot="1">
      <c r="A9" s="5"/>
      <c r="B9" s="11"/>
      <c r="C9" s="442"/>
      <c r="D9" s="443"/>
      <c r="E9" s="443"/>
      <c r="F9" s="443"/>
      <c r="G9" s="443"/>
      <c r="H9" s="443"/>
      <c r="I9" s="443"/>
      <c r="J9" s="443"/>
      <c r="K9" s="444"/>
      <c r="L9" s="12"/>
      <c r="M9" s="5"/>
    </row>
    <row r="10" spans="1:20" ht="19.7" customHeight="1">
      <c r="A10" s="5"/>
      <c r="B10" s="11"/>
      <c r="C10" s="437" t="s">
        <v>0</v>
      </c>
      <c r="D10" s="439" t="s">
        <v>1</v>
      </c>
      <c r="E10" s="441" t="s">
        <v>2</v>
      </c>
      <c r="F10" s="441"/>
      <c r="G10" s="437" t="s">
        <v>3</v>
      </c>
      <c r="H10" s="439" t="s">
        <v>224</v>
      </c>
      <c r="I10" s="439" t="s">
        <v>4</v>
      </c>
      <c r="J10" s="433" t="s">
        <v>5</v>
      </c>
      <c r="K10" s="435" t="s">
        <v>6</v>
      </c>
      <c r="L10" s="367"/>
      <c r="M10" s="5"/>
    </row>
    <row r="11" spans="1:20" ht="19.7" customHeight="1" thickBot="1">
      <c r="A11" s="5"/>
      <c r="B11" s="11"/>
      <c r="C11" s="438"/>
      <c r="D11" s="440"/>
      <c r="E11" s="170" t="s">
        <v>7</v>
      </c>
      <c r="F11" s="170" t="s">
        <v>8</v>
      </c>
      <c r="G11" s="438"/>
      <c r="H11" s="440"/>
      <c r="I11" s="440"/>
      <c r="J11" s="434"/>
      <c r="K11" s="436"/>
      <c r="L11" s="367"/>
      <c r="M11" s="5"/>
    </row>
    <row r="12" spans="1:20" ht="17.100000000000001" customHeight="1" thickBot="1">
      <c r="A12" s="5"/>
      <c r="B12" s="11"/>
      <c r="C12" s="51" t="s">
        <v>73</v>
      </c>
      <c r="D12" s="31"/>
      <c r="E12" s="31"/>
      <c r="F12" s="31"/>
      <c r="G12" s="31"/>
      <c r="H12" s="31"/>
      <c r="I12" s="31"/>
      <c r="J12" s="31"/>
      <c r="K12" s="32"/>
      <c r="L12" s="367"/>
      <c r="M12" s="5"/>
    </row>
    <row r="13" spans="1:20" ht="39.6" customHeight="1">
      <c r="A13" s="5"/>
      <c r="B13" s="11"/>
      <c r="C13" s="180"/>
      <c r="D13" s="181">
        <v>1.01</v>
      </c>
      <c r="E13" s="181"/>
      <c r="F13" s="181"/>
      <c r="G13" s="182" t="s">
        <v>221</v>
      </c>
      <c r="H13" s="181" t="s">
        <v>77</v>
      </c>
      <c r="I13" s="183">
        <f>+M1.01!J21</f>
        <v>201500</v>
      </c>
      <c r="J13" s="184">
        <f>+'1.01'!O47</f>
        <v>1033</v>
      </c>
      <c r="K13" s="185">
        <f>ROUND(I13*J13,0)</f>
        <v>208149500</v>
      </c>
      <c r="L13" s="367"/>
      <c r="M13" s="5"/>
      <c r="O13" s="407">
        <v>1173</v>
      </c>
      <c r="P13" s="1">
        <f>+O13*I13</f>
        <v>236359500</v>
      </c>
      <c r="T13" s="407">
        <f>+O13/1.3</f>
        <v>902.30769230769226</v>
      </c>
    </row>
    <row r="14" spans="1:20" ht="39.6" customHeight="1">
      <c r="A14" s="5"/>
      <c r="B14" s="11"/>
      <c r="C14" s="180"/>
      <c r="D14" s="181">
        <v>1.02</v>
      </c>
      <c r="E14" s="181"/>
      <c r="F14" s="181"/>
      <c r="G14" s="182" t="s">
        <v>228</v>
      </c>
      <c r="H14" s="181" t="s">
        <v>77</v>
      </c>
      <c r="I14" s="183">
        <f>M1.02!J14</f>
        <v>52571.668013588227</v>
      </c>
      <c r="J14" s="184">
        <f>'1.02'!O48</f>
        <v>2398</v>
      </c>
      <c r="K14" s="185">
        <f>ROUND(I14*J14,0)</f>
        <v>126066860</v>
      </c>
      <c r="L14" s="367"/>
      <c r="M14" s="5"/>
      <c r="O14" s="407">
        <v>2665</v>
      </c>
      <c r="P14" s="1">
        <f>+O14*I14</f>
        <v>140103495.25621262</v>
      </c>
      <c r="Q14" s="1">
        <f>+P15*0.01</f>
        <v>3764629.9525621259</v>
      </c>
      <c r="T14" s="407">
        <f>+O14/1.3</f>
        <v>2050</v>
      </c>
    </row>
    <row r="15" spans="1:20" ht="17.100000000000001" customHeight="1" thickBot="1">
      <c r="A15" s="5"/>
      <c r="B15" s="11"/>
      <c r="C15" s="52" t="s">
        <v>9</v>
      </c>
      <c r="D15" s="33"/>
      <c r="E15" s="33"/>
      <c r="F15" s="33"/>
      <c r="G15" s="34"/>
      <c r="H15" s="33"/>
      <c r="I15" s="364"/>
      <c r="J15" s="35"/>
      <c r="K15" s="365">
        <f>SUM(K13:K14)</f>
        <v>334216360</v>
      </c>
      <c r="L15" s="367"/>
      <c r="M15" s="5"/>
      <c r="P15" s="407">
        <f>+P13+P14</f>
        <v>376462995.25621259</v>
      </c>
      <c r="Q15" s="407">
        <f>+P15+Q14</f>
        <v>380227625.20877475</v>
      </c>
      <c r="S15" s="1">
        <f>+Q15*1.3</f>
        <v>494295912.77140719</v>
      </c>
    </row>
    <row r="16" spans="1:20" s="3" customFormat="1" ht="17.100000000000001" customHeight="1" thickBot="1">
      <c r="A16" s="13"/>
      <c r="B16" s="14"/>
      <c r="C16" s="455" t="s">
        <v>10</v>
      </c>
      <c r="D16" s="456"/>
      <c r="E16" s="456"/>
      <c r="F16" s="456"/>
      <c r="G16" s="456"/>
      <c r="H16" s="456"/>
      <c r="I16" s="456"/>
      <c r="J16" s="457"/>
      <c r="K16" s="366">
        <f>+K15</f>
        <v>334216360</v>
      </c>
      <c r="L16" s="15"/>
      <c r="M16" s="13"/>
    </row>
    <row r="17" spans="1:16" s="3" customFormat="1" ht="10.35" customHeight="1" thickBot="1">
      <c r="A17" s="13"/>
      <c r="B17" s="14"/>
      <c r="C17" s="36"/>
      <c r="D17" s="36"/>
      <c r="E17" s="36"/>
      <c r="F17" s="36"/>
      <c r="G17" s="36"/>
      <c r="H17" s="36"/>
      <c r="I17" s="36"/>
      <c r="J17" s="36"/>
      <c r="K17" s="37"/>
      <c r="L17" s="15"/>
      <c r="M17" s="13"/>
    </row>
    <row r="18" spans="1:16" s="3" customFormat="1" ht="17.100000000000001" customHeight="1">
      <c r="A18" s="13"/>
      <c r="B18" s="14"/>
      <c r="C18" s="38"/>
      <c r="D18" s="39"/>
      <c r="E18" s="38"/>
      <c r="F18" s="38"/>
      <c r="G18" s="450" t="s">
        <v>217</v>
      </c>
      <c r="H18" s="451"/>
      <c r="I18" s="452"/>
      <c r="J18" s="368">
        <v>0.01</v>
      </c>
      <c r="K18" s="369">
        <f>ROUND(K16*J18,0)</f>
        <v>3342164</v>
      </c>
      <c r="L18" s="15"/>
      <c r="M18" s="13"/>
      <c r="O18" s="409">
        <f>+O24-K21</f>
        <v>42669101</v>
      </c>
      <c r="P18" s="408">
        <f>+O18/O24</f>
        <v>0.11221988670602248</v>
      </c>
    </row>
    <row r="19" spans="1:16" s="3" customFormat="1" ht="17.100000000000001" customHeight="1">
      <c r="A19" s="13"/>
      <c r="B19" s="14"/>
      <c r="C19" s="38"/>
      <c r="D19" s="40"/>
      <c r="E19" s="40"/>
      <c r="F19" s="40"/>
      <c r="G19" s="375" t="s">
        <v>11</v>
      </c>
      <c r="H19" s="376"/>
      <c r="I19" s="377"/>
      <c r="J19" s="378"/>
      <c r="K19" s="379">
        <f>+K16+K18</f>
        <v>337558524</v>
      </c>
      <c r="L19" s="15"/>
      <c r="M19" s="13"/>
    </row>
    <row r="20" spans="1:16" s="3" customFormat="1" ht="17.100000000000001" customHeight="1" thickBot="1">
      <c r="A20" s="13"/>
      <c r="B20" s="14"/>
      <c r="C20" s="38"/>
      <c r="D20" s="40"/>
      <c r="E20" s="40"/>
      <c r="F20" s="40"/>
      <c r="G20" s="370" t="s">
        <v>218</v>
      </c>
      <c r="H20" s="371"/>
      <c r="I20" s="372"/>
      <c r="J20" s="374">
        <v>0</v>
      </c>
      <c r="K20" s="373">
        <f>ROUND(K19*J20,0)</f>
        <v>0</v>
      </c>
      <c r="L20" s="15"/>
      <c r="M20" s="13"/>
    </row>
    <row r="21" spans="1:16" s="3" customFormat="1" ht="17.100000000000001" customHeight="1" thickBot="1">
      <c r="A21" s="13"/>
      <c r="B21" s="14"/>
      <c r="C21" s="38"/>
      <c r="D21" s="39"/>
      <c r="E21" s="38"/>
      <c r="F21" s="38"/>
      <c r="G21" s="53" t="s">
        <v>12</v>
      </c>
      <c r="H21" s="41"/>
      <c r="I21" s="42"/>
      <c r="J21" s="43"/>
      <c r="K21" s="366">
        <f>+K19+K20</f>
        <v>337558524</v>
      </c>
      <c r="L21" s="15"/>
      <c r="M21" s="13"/>
      <c r="N21" s="405">
        <f>+O24*0.12</f>
        <v>45627315</v>
      </c>
      <c r="O21" s="406">
        <f>+O24-N21</f>
        <v>334600310</v>
      </c>
    </row>
    <row r="22" spans="1:16" s="3" customFormat="1" ht="10.35" customHeight="1" thickBot="1">
      <c r="A22" s="13"/>
      <c r="B22" s="14"/>
      <c r="C22" s="38"/>
      <c r="D22" s="39"/>
      <c r="E22" s="39"/>
      <c r="F22" s="39"/>
      <c r="G22" s="38"/>
      <c r="H22" s="38"/>
      <c r="I22" s="44"/>
      <c r="J22" s="45"/>
      <c r="K22" s="46"/>
      <c r="L22" s="15"/>
      <c r="M22" s="13"/>
    </row>
    <row r="23" spans="1:16" s="3" customFormat="1" ht="15.75">
      <c r="A23" s="13"/>
      <c r="B23" s="14"/>
      <c r="C23" s="47"/>
      <c r="D23" s="429"/>
      <c r="E23" s="429"/>
      <c r="F23" s="429"/>
      <c r="G23" s="429"/>
      <c r="H23" s="429"/>
      <c r="I23" s="429"/>
      <c r="J23" s="429"/>
      <c r="K23" s="430"/>
      <c r="L23" s="16"/>
      <c r="M23" s="13"/>
    </row>
    <row r="24" spans="1:16" s="3" customFormat="1" ht="46.5" customHeight="1">
      <c r="A24" s="13"/>
      <c r="B24" s="14"/>
      <c r="C24" s="425" t="s">
        <v>67</v>
      </c>
      <c r="D24" s="426"/>
      <c r="E24" s="426"/>
      <c r="F24" s="426"/>
      <c r="G24" s="426"/>
      <c r="H24" s="427" t="s">
        <v>13</v>
      </c>
      <c r="I24" s="427"/>
      <c r="J24" s="427"/>
      <c r="K24" s="48" t="s">
        <v>14</v>
      </c>
      <c r="L24" s="17"/>
      <c r="M24" s="13"/>
      <c r="O24" s="405">
        <v>380227625</v>
      </c>
      <c r="P24" s="406">
        <f>+O24-O21</f>
        <v>45627315</v>
      </c>
    </row>
    <row r="25" spans="1:16" s="3" customFormat="1" ht="48.2" customHeight="1">
      <c r="A25" s="13"/>
      <c r="B25" s="14"/>
      <c r="C25" s="453" t="s">
        <v>15</v>
      </c>
      <c r="D25" s="454"/>
      <c r="E25" s="454"/>
      <c r="F25" s="454"/>
      <c r="G25" s="454"/>
      <c r="H25" s="428" t="s">
        <v>16</v>
      </c>
      <c r="I25" s="428"/>
      <c r="J25" s="49" t="s">
        <v>17</v>
      </c>
      <c r="K25" s="50">
        <v>0.27</v>
      </c>
      <c r="L25" s="17"/>
      <c r="M25" s="13"/>
      <c r="O25" s="408"/>
    </row>
    <row r="26" spans="1:16" s="3" customFormat="1" ht="30" customHeight="1">
      <c r="A26" s="13"/>
      <c r="B26" s="14"/>
      <c r="C26" s="425" t="s">
        <v>68</v>
      </c>
      <c r="D26" s="426"/>
      <c r="E26" s="426"/>
      <c r="F26" s="426"/>
      <c r="G26" s="426"/>
      <c r="H26" s="461" t="s">
        <v>18</v>
      </c>
      <c r="I26" s="462"/>
      <c r="J26" s="49" t="s">
        <v>19</v>
      </c>
      <c r="K26" s="50">
        <v>0</v>
      </c>
      <c r="L26" s="17"/>
      <c r="M26" s="13"/>
    </row>
    <row r="27" spans="1:16" s="4" customFormat="1" ht="42.6" customHeight="1">
      <c r="A27" s="13"/>
      <c r="B27" s="14"/>
      <c r="C27" s="463" t="s">
        <v>72</v>
      </c>
      <c r="D27" s="464"/>
      <c r="E27" s="464"/>
      <c r="F27" s="464"/>
      <c r="G27" s="464"/>
      <c r="H27" s="465" t="s">
        <v>20</v>
      </c>
      <c r="I27" s="428"/>
      <c r="J27" s="49" t="s">
        <v>21</v>
      </c>
      <c r="K27" s="50">
        <v>0.03</v>
      </c>
      <c r="L27" s="15"/>
      <c r="M27" s="13"/>
    </row>
    <row r="28" spans="1:16" ht="28.35" customHeight="1">
      <c r="A28" s="5"/>
      <c r="B28" s="11"/>
      <c r="C28" s="425" t="s">
        <v>69</v>
      </c>
      <c r="D28" s="426"/>
      <c r="E28" s="426"/>
      <c r="F28" s="426"/>
      <c r="G28" s="426"/>
      <c r="H28" s="428" t="s">
        <v>22</v>
      </c>
      <c r="I28" s="428"/>
      <c r="J28" s="49" t="s">
        <v>23</v>
      </c>
      <c r="K28" s="50">
        <f>K25+K26+K27</f>
        <v>0.30000000000000004</v>
      </c>
      <c r="L28" s="12"/>
      <c r="M28" s="5"/>
    </row>
    <row r="29" spans="1:16" ht="28.35" customHeight="1">
      <c r="A29" s="5"/>
      <c r="B29" s="11"/>
      <c r="C29" s="458" t="s">
        <v>70</v>
      </c>
      <c r="D29" s="426"/>
      <c r="E29" s="426"/>
      <c r="F29" s="426"/>
      <c r="G29" s="426"/>
      <c r="H29" s="459"/>
      <c r="I29" s="459"/>
      <c r="J29" s="459"/>
      <c r="K29" s="460"/>
      <c r="L29" s="12"/>
      <c r="M29" s="5"/>
    </row>
    <row r="30" spans="1:16" ht="10.35" customHeight="1" thickBot="1">
      <c r="A30" s="5"/>
      <c r="B30" s="18"/>
      <c r="C30" s="19"/>
      <c r="D30" s="19"/>
      <c r="E30" s="20"/>
      <c r="F30" s="19"/>
      <c r="G30" s="21"/>
      <c r="H30" s="19"/>
      <c r="I30" s="19"/>
      <c r="J30" s="19"/>
      <c r="K30" s="19"/>
      <c r="L30" s="22"/>
      <c r="M30" s="5"/>
    </row>
    <row r="31" spans="1:16" ht="10.35" customHeight="1" thickTop="1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</row>
    <row r="32" spans="1:16">
      <c r="G32" s="575" t="s">
        <v>247</v>
      </c>
      <c r="H32" s="575"/>
      <c r="I32" s="575"/>
      <c r="J32" s="575"/>
    </row>
    <row r="33" spans="4:11" ht="17.25" thickBot="1">
      <c r="D33" s="418"/>
      <c r="E33" s="417"/>
      <c r="F33" s="418"/>
      <c r="G33" s="421"/>
      <c r="H33" s="421"/>
      <c r="I33" s="421"/>
      <c r="J33" s="421"/>
    </row>
    <row r="34" spans="4:11">
      <c r="D34" s="445" t="s">
        <v>242</v>
      </c>
      <c r="E34" s="445"/>
      <c r="F34" s="445"/>
      <c r="G34" s="445"/>
      <c r="H34" s="445"/>
      <c r="I34" s="445"/>
      <c r="J34" s="445"/>
      <c r="K34" s="445"/>
    </row>
    <row r="35" spans="4:11">
      <c r="D35" s="446" t="s">
        <v>243</v>
      </c>
      <c r="E35" s="446"/>
      <c r="F35" s="446"/>
      <c r="G35" s="446"/>
      <c r="H35" s="446"/>
      <c r="I35" s="446"/>
      <c r="J35" s="446"/>
      <c r="K35" s="446"/>
    </row>
    <row r="36" spans="4:11">
      <c r="D36" s="446" t="s">
        <v>244</v>
      </c>
      <c r="E36" s="446"/>
      <c r="F36" s="446"/>
      <c r="G36" s="446"/>
      <c r="H36" s="446"/>
      <c r="I36" s="446"/>
      <c r="J36" s="446"/>
      <c r="K36" s="446"/>
    </row>
  </sheetData>
  <sheetProtection algorithmName="SHA-512" hashValue="/vg1IknG74Aruj9yuInxSMNsPvO8754Qn88uuS62CIBzWJG+sN6bdG51zRth8R3A+gc6Iwq62FNepvUJxLuCgA==" saltValue="EM3uP87Ch7Jez5VSM4xABw==" spinCount="100000" sheet="1" objects="1" scenarios="1"/>
  <customSheetViews>
    <customSheetView guid="{B246B4D3-41B8-4237-8166-9970D120FD6A}" showPageBreaks="1" showGridLines="0" view="pageLayout" topLeftCell="A13">
      <selection activeCell="K18" sqref="K18"/>
      <pageMargins left="0.11811023622047245" right="0.11811023622047245" top="1.1811023622047245" bottom="0.55118110236220474" header="0.31496062992125984" footer="0.31496062992125984"/>
      <printOptions horizontalCentered="1"/>
      <pageSetup orientation="portrait" horizontalDpi="1200" verticalDpi="1200" r:id="rId1"/>
      <headerFooter>
        <oddHeader>&amp;C&amp;G</oddHeader>
        <oddFooter>&amp;R&amp;9página &amp;P</oddFooter>
      </headerFooter>
    </customSheetView>
    <customSheetView guid="{E8A818AD-FA16-40A1-9379-4072C183431C}" showPageBreaks="1" showGridLines="0" view="pageLayout" topLeftCell="A13">
      <selection activeCell="K18" sqref="K18"/>
      <pageMargins left="0.11811023622047245" right="0.11811023622047245" top="1.1811023622047245" bottom="0.55118110236220474" header="0.31496062992125984" footer="0.31496062992125984"/>
      <printOptions horizontalCentered="1"/>
      <pageSetup orientation="portrait" horizontalDpi="1200" verticalDpi="1200" r:id="rId2"/>
      <headerFooter>
        <oddHeader>&amp;C&amp;G</oddHeader>
        <oddFooter>&amp;R&amp;9página &amp;P</oddFooter>
      </headerFooter>
    </customSheetView>
  </customSheetViews>
  <mergeCells count="30">
    <mergeCell ref="G32:J32"/>
    <mergeCell ref="D34:K34"/>
    <mergeCell ref="D35:K35"/>
    <mergeCell ref="D36:K36"/>
    <mergeCell ref="C7:K7"/>
    <mergeCell ref="G18:I18"/>
    <mergeCell ref="I10:I11"/>
    <mergeCell ref="C25:G25"/>
    <mergeCell ref="C16:J16"/>
    <mergeCell ref="C29:G29"/>
    <mergeCell ref="H29:K29"/>
    <mergeCell ref="C26:G26"/>
    <mergeCell ref="H26:I26"/>
    <mergeCell ref="C27:G27"/>
    <mergeCell ref="H27:I27"/>
    <mergeCell ref="C28:G28"/>
    <mergeCell ref="H28:I28"/>
    <mergeCell ref="C24:G24"/>
    <mergeCell ref="H24:J24"/>
    <mergeCell ref="H25:I25"/>
    <mergeCell ref="D23:K23"/>
    <mergeCell ref="C6:K6"/>
    <mergeCell ref="J10:J11"/>
    <mergeCell ref="K10:K11"/>
    <mergeCell ref="C10:C11"/>
    <mergeCell ref="D10:D11"/>
    <mergeCell ref="G10:G11"/>
    <mergeCell ref="H10:H11"/>
    <mergeCell ref="E10:F10"/>
    <mergeCell ref="C9:K9"/>
  </mergeCells>
  <phoneticPr fontId="68" type="noConversion"/>
  <printOptions horizontalCentered="1"/>
  <pageMargins left="0.11811023622047245" right="0.11811023622047245" top="1.1811023622047245" bottom="0.55118110236220474" header="0.31496062992125984" footer="0.31496062992125984"/>
  <pageSetup scale="92" orientation="portrait" horizontalDpi="1200" verticalDpi="1200" r:id="rId3"/>
  <headerFooter>
    <oddFooter>&amp;R&amp;9página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J205"/>
  <sheetViews>
    <sheetView showGridLines="0" view="pageLayout" zoomScaleNormal="80" zoomScaleSheetLayoutView="70" workbookViewId="0">
      <selection activeCell="F73" sqref="F73"/>
    </sheetView>
  </sheetViews>
  <sheetFormatPr baseColWidth="10" defaultColWidth="11.28515625" defaultRowHeight="13.5"/>
  <cols>
    <col min="1" max="2" width="1.7109375" style="88" customWidth="1"/>
    <col min="3" max="3" width="25.5703125" style="88" customWidth="1"/>
    <col min="4" max="5" width="15.28515625" style="88" customWidth="1"/>
    <col min="6" max="6" width="20.5703125" style="88" customWidth="1"/>
    <col min="7" max="7" width="15.28515625" style="88" customWidth="1"/>
    <col min="8" max="8" width="5" style="88" customWidth="1"/>
    <col min="9" max="9" width="1.7109375" style="89" customWidth="1"/>
    <col min="10" max="10" width="1.7109375" style="88" customWidth="1"/>
    <col min="11" max="16384" width="11.28515625" style="88"/>
  </cols>
  <sheetData>
    <row r="1" spans="2:9" ht="14.25" thickBot="1"/>
    <row r="2" spans="2:9" ht="6.2" customHeight="1" thickTop="1">
      <c r="B2" s="90"/>
      <c r="C2" s="91"/>
      <c r="D2" s="91"/>
      <c r="E2" s="91"/>
      <c r="F2" s="91"/>
      <c r="G2" s="91"/>
      <c r="H2" s="91"/>
      <c r="I2" s="92"/>
    </row>
    <row r="3" spans="2:9">
      <c r="B3" s="93"/>
      <c r="C3" s="94" t="s">
        <v>24</v>
      </c>
      <c r="D3" s="95" t="s">
        <v>82</v>
      </c>
      <c r="E3" s="94" t="s">
        <v>26</v>
      </c>
      <c r="F3" s="95">
        <v>2</v>
      </c>
      <c r="G3" s="96"/>
      <c r="H3" s="96"/>
      <c r="I3" s="97"/>
    </row>
    <row r="4" spans="2:9" ht="10.35" customHeight="1">
      <c r="B4" s="93"/>
      <c r="C4" s="248"/>
      <c r="D4" s="249"/>
      <c r="E4" s="250"/>
      <c r="F4" s="249"/>
      <c r="G4" s="96"/>
      <c r="H4" s="96"/>
      <c r="I4" s="97"/>
    </row>
    <row r="5" spans="2:9">
      <c r="B5" s="93"/>
      <c r="C5" s="250"/>
      <c r="E5" s="251" t="s">
        <v>74</v>
      </c>
      <c r="F5" s="249"/>
      <c r="G5" s="96"/>
      <c r="H5" s="96"/>
      <c r="I5" s="97"/>
    </row>
    <row r="6" spans="2:9" ht="6.2" customHeight="1" thickBot="1">
      <c r="B6" s="93"/>
      <c r="C6" s="193"/>
      <c r="D6" s="192"/>
      <c r="E6" s="193"/>
      <c r="F6" s="192"/>
      <c r="G6" s="96"/>
      <c r="H6" s="96"/>
      <c r="I6" s="97"/>
    </row>
    <row r="7" spans="2:9" ht="13.5" customHeight="1">
      <c r="B7" s="93"/>
      <c r="C7" s="194"/>
      <c r="D7" s="195"/>
      <c r="E7" s="195"/>
      <c r="F7" s="195"/>
      <c r="G7" s="195"/>
      <c r="H7" s="196"/>
      <c r="I7" s="23"/>
    </row>
    <row r="8" spans="2:9" ht="12.75" customHeight="1">
      <c r="B8" s="120"/>
      <c r="C8" s="467" t="s">
        <v>83</v>
      </c>
      <c r="D8" s="467"/>
      <c r="E8" s="467"/>
      <c r="F8" s="467"/>
      <c r="G8" s="467"/>
      <c r="H8" s="468"/>
      <c r="I8" s="23"/>
    </row>
    <row r="9" spans="2:9" ht="12.75" customHeight="1">
      <c r="B9" s="120"/>
      <c r="C9" s="233"/>
      <c r="D9" s="233"/>
      <c r="E9" s="233"/>
      <c r="F9" s="233"/>
      <c r="G9" s="233"/>
      <c r="H9" s="234"/>
      <c r="I9" s="23"/>
    </row>
    <row r="10" spans="2:9">
      <c r="B10" s="120"/>
      <c r="C10" s="210" t="s">
        <v>84</v>
      </c>
      <c r="D10" s="211"/>
      <c r="E10" s="211"/>
      <c r="F10" s="211"/>
      <c r="G10" s="212" t="s">
        <v>85</v>
      </c>
      <c r="H10" s="197"/>
      <c r="I10" s="24"/>
    </row>
    <row r="11" spans="2:9">
      <c r="B11" s="120"/>
      <c r="C11" s="211" t="s">
        <v>86</v>
      </c>
      <c r="D11" s="211"/>
      <c r="E11" s="213"/>
      <c r="F11" s="214">
        <v>908526</v>
      </c>
      <c r="G11" s="211"/>
      <c r="H11" s="198"/>
      <c r="I11" s="26"/>
    </row>
    <row r="12" spans="2:9">
      <c r="B12" s="120"/>
      <c r="C12" s="211" t="s">
        <v>87</v>
      </c>
      <c r="D12" s="211"/>
      <c r="E12" s="213"/>
      <c r="F12" s="214">
        <v>106454</v>
      </c>
      <c r="G12" s="215"/>
      <c r="H12" s="199"/>
      <c r="I12" s="115"/>
    </row>
    <row r="13" spans="2:9">
      <c r="B13" s="120"/>
      <c r="C13" s="211" t="s">
        <v>88</v>
      </c>
      <c r="D13" s="211"/>
      <c r="E13" s="213"/>
      <c r="F13" s="214">
        <f>SUM(F11:F12)</f>
        <v>1014980</v>
      </c>
      <c r="G13" s="215"/>
      <c r="H13" s="200"/>
      <c r="I13" s="116"/>
    </row>
    <row r="14" spans="2:9">
      <c r="B14" s="120"/>
      <c r="C14" s="211" t="s">
        <v>89</v>
      </c>
      <c r="D14" s="211"/>
      <c r="E14" s="213"/>
      <c r="F14" s="214">
        <f>+F11*12</f>
        <v>10902312</v>
      </c>
      <c r="G14" s="231">
        <v>1</v>
      </c>
      <c r="H14" s="201"/>
      <c r="I14" s="119"/>
    </row>
    <row r="15" spans="2:9" ht="13.5" customHeight="1">
      <c r="B15" s="120"/>
      <c r="C15" s="211" t="s">
        <v>90</v>
      </c>
      <c r="D15" s="211"/>
      <c r="E15" s="213"/>
      <c r="F15" s="214">
        <f>+F12*12</f>
        <v>1277448</v>
      </c>
      <c r="G15" s="231">
        <f>F15/$F$14</f>
        <v>0.11717221081179845</v>
      </c>
      <c r="H15" s="188"/>
      <c r="I15" s="121"/>
    </row>
    <row r="16" spans="2:9">
      <c r="B16" s="120"/>
      <c r="C16" s="211" t="s">
        <v>91</v>
      </c>
      <c r="D16" s="211"/>
      <c r="E16" s="216">
        <v>18</v>
      </c>
      <c r="F16" s="214">
        <f>-(F12/30)*E16</f>
        <v>-63872.4</v>
      </c>
      <c r="G16" s="215"/>
      <c r="H16" s="202"/>
      <c r="I16" s="122"/>
    </row>
    <row r="17" spans="2:9">
      <c r="B17" s="120"/>
      <c r="C17" s="211" t="s">
        <v>92</v>
      </c>
      <c r="D17" s="211"/>
      <c r="E17" s="213"/>
      <c r="F17" s="214">
        <f>+F14+F15</f>
        <v>12179760</v>
      </c>
      <c r="G17" s="215"/>
      <c r="H17" s="203"/>
      <c r="I17" s="125"/>
    </row>
    <row r="18" spans="2:9">
      <c r="B18" s="120"/>
      <c r="C18" s="211"/>
      <c r="D18" s="211"/>
      <c r="E18" s="211"/>
      <c r="F18" s="217"/>
      <c r="G18" s="215"/>
      <c r="H18" s="203"/>
      <c r="I18" s="125"/>
    </row>
    <row r="19" spans="2:9">
      <c r="B19" s="120"/>
      <c r="C19" s="210" t="s">
        <v>93</v>
      </c>
      <c r="D19" s="218" t="s">
        <v>94</v>
      </c>
      <c r="E19" s="211"/>
      <c r="F19" s="211"/>
      <c r="G19" s="215"/>
      <c r="H19" s="203"/>
      <c r="I19" s="125"/>
    </row>
    <row r="20" spans="2:9">
      <c r="B20" s="120"/>
      <c r="C20" s="211" t="s">
        <v>95</v>
      </c>
      <c r="D20" s="218" t="s">
        <v>96</v>
      </c>
      <c r="E20" s="219">
        <v>0.1</v>
      </c>
      <c r="F20" s="220">
        <f>+F17*E20</f>
        <v>1217976</v>
      </c>
      <c r="G20" s="231">
        <f>F20/$F$14</f>
        <v>0.11171722108117985</v>
      </c>
      <c r="H20" s="203"/>
      <c r="I20" s="125"/>
    </row>
    <row r="21" spans="2:9">
      <c r="B21" s="120"/>
      <c r="C21" s="211" t="s">
        <v>97</v>
      </c>
      <c r="D21" s="218" t="str">
        <f>+C20</f>
        <v xml:space="preserve">     Cesantias</v>
      </c>
      <c r="E21" s="219">
        <v>0.12</v>
      </c>
      <c r="F21" s="220">
        <f>+F20*E21</f>
        <v>146157.12</v>
      </c>
      <c r="G21" s="231">
        <f>F21/$F$14</f>
        <v>1.3406066529741582E-2</v>
      </c>
      <c r="H21" s="204"/>
      <c r="I21" s="130"/>
    </row>
    <row r="22" spans="2:9" ht="13.5" customHeight="1">
      <c r="B22" s="120"/>
      <c r="C22" s="211" t="s">
        <v>98</v>
      </c>
      <c r="D22" s="218" t="s">
        <v>99</v>
      </c>
      <c r="E22" s="219">
        <v>0.5</v>
      </c>
      <c r="F22" s="220">
        <f>+F11/2</f>
        <v>454263</v>
      </c>
      <c r="G22" s="231">
        <f>F22/$F$14</f>
        <v>4.1666666666666664E-2</v>
      </c>
      <c r="H22" s="188"/>
      <c r="I22" s="121"/>
    </row>
    <row r="23" spans="2:9">
      <c r="B23" s="120"/>
      <c r="C23" s="211" t="s">
        <v>100</v>
      </c>
      <c r="D23" s="218" t="s">
        <v>101</v>
      </c>
      <c r="E23" s="219">
        <v>1</v>
      </c>
      <c r="F23" s="220">
        <f>+F13</f>
        <v>1014980</v>
      </c>
      <c r="G23" s="231">
        <f>F23/$F$14</f>
        <v>9.3097684234316538E-2</v>
      </c>
      <c r="H23" s="202"/>
      <c r="I23" s="122"/>
    </row>
    <row r="24" spans="2:9">
      <c r="B24" s="120"/>
      <c r="C24" s="213"/>
      <c r="D24" s="213"/>
      <c r="E24" s="213"/>
      <c r="F24" s="213"/>
      <c r="G24" s="215"/>
      <c r="H24" s="203"/>
      <c r="I24" s="125"/>
    </row>
    <row r="25" spans="2:9">
      <c r="B25" s="120"/>
      <c r="C25" s="210" t="s">
        <v>102</v>
      </c>
      <c r="D25" s="213"/>
      <c r="E25" s="213"/>
      <c r="F25" s="213"/>
      <c r="G25" s="215"/>
      <c r="H25" s="203"/>
      <c r="I25" s="125"/>
    </row>
    <row r="26" spans="2:9">
      <c r="B26" s="120"/>
      <c r="C26" s="211" t="s">
        <v>103</v>
      </c>
      <c r="D26" s="221">
        <v>165000</v>
      </c>
      <c r="E26" s="217">
        <v>3</v>
      </c>
      <c r="F26" s="214">
        <f>+D26*E26</f>
        <v>495000</v>
      </c>
      <c r="G26" s="231">
        <f>F26/$F$14</f>
        <v>4.5403213556904264E-2</v>
      </c>
      <c r="H26" s="203"/>
      <c r="I26" s="125"/>
    </row>
    <row r="27" spans="2:9">
      <c r="B27" s="120"/>
      <c r="C27" s="211" t="s">
        <v>104</v>
      </c>
      <c r="D27" s="218" t="s">
        <v>105</v>
      </c>
      <c r="E27" s="219">
        <v>0</v>
      </c>
      <c r="F27" s="214">
        <f>+F14*E27</f>
        <v>0</v>
      </c>
      <c r="G27" s="231">
        <f>F27/$F$14</f>
        <v>0</v>
      </c>
      <c r="H27" s="203"/>
      <c r="I27" s="125"/>
    </row>
    <row r="28" spans="2:9">
      <c r="B28" s="120"/>
      <c r="C28" s="211" t="s">
        <v>106</v>
      </c>
      <c r="D28" s="218"/>
      <c r="E28" s="219"/>
      <c r="F28" s="214">
        <v>336280</v>
      </c>
      <c r="G28" s="231">
        <f>F28/$F$14</f>
        <v>3.0844833646294475E-2</v>
      </c>
      <c r="H28" s="203"/>
      <c r="I28" s="125"/>
    </row>
    <row r="29" spans="2:9">
      <c r="B29" s="120"/>
      <c r="C29" s="213"/>
      <c r="D29" s="213"/>
      <c r="E29" s="213"/>
      <c r="F29" s="213"/>
      <c r="G29" s="215"/>
      <c r="H29" s="203"/>
      <c r="I29" s="125"/>
    </row>
    <row r="30" spans="2:9">
      <c r="B30" s="120"/>
      <c r="C30" s="210" t="s">
        <v>107</v>
      </c>
      <c r="D30" s="213"/>
      <c r="E30" s="213"/>
      <c r="F30" s="213"/>
      <c r="G30" s="215"/>
      <c r="H30" s="203"/>
      <c r="I30" s="125"/>
    </row>
    <row r="31" spans="2:9">
      <c r="B31" s="120"/>
      <c r="C31" s="211" t="s">
        <v>108</v>
      </c>
      <c r="D31" s="218" t="s">
        <v>105</v>
      </c>
      <c r="E31" s="219">
        <v>0.12</v>
      </c>
      <c r="F31" s="220">
        <f>+F14*E31</f>
        <v>1308277.44</v>
      </c>
      <c r="G31" s="231">
        <f>F31/$F$14</f>
        <v>0.12</v>
      </c>
      <c r="H31" s="203"/>
      <c r="I31" s="125"/>
    </row>
    <row r="32" spans="2:9" ht="13.5" customHeight="1">
      <c r="B32" s="120"/>
      <c r="C32" s="211" t="s">
        <v>109</v>
      </c>
      <c r="D32" s="218" t="s">
        <v>105</v>
      </c>
      <c r="E32" s="219">
        <v>0</v>
      </c>
      <c r="F32" s="220">
        <f>+F14*E32</f>
        <v>0</v>
      </c>
      <c r="G32" s="231">
        <f>F32/$F$14</f>
        <v>0</v>
      </c>
      <c r="H32" s="188"/>
      <c r="I32" s="121"/>
    </row>
    <row r="33" spans="2:9">
      <c r="B33" s="120"/>
      <c r="C33" s="211" t="s">
        <v>110</v>
      </c>
      <c r="D33" s="218" t="s">
        <v>105</v>
      </c>
      <c r="E33" s="219">
        <v>6.9599999999999995E-2</v>
      </c>
      <c r="F33" s="220">
        <f>+F14*E33</f>
        <v>758800.91519999993</v>
      </c>
      <c r="G33" s="231">
        <f>F33/$F$14</f>
        <v>6.9599999999999995E-2</v>
      </c>
      <c r="H33" s="202"/>
      <c r="I33" s="122"/>
    </row>
    <row r="34" spans="2:9">
      <c r="B34" s="120"/>
      <c r="C34" s="211"/>
      <c r="D34" s="218"/>
      <c r="E34" s="222"/>
      <c r="F34" s="223"/>
      <c r="G34" s="215"/>
      <c r="H34" s="203"/>
      <c r="I34" s="125"/>
    </row>
    <row r="35" spans="2:9">
      <c r="B35" s="120"/>
      <c r="C35" s="210" t="s">
        <v>111</v>
      </c>
      <c r="D35" s="218"/>
      <c r="E35" s="222"/>
      <c r="F35" s="223"/>
      <c r="G35" s="215"/>
      <c r="H35" s="203"/>
      <c r="I35" s="125"/>
    </row>
    <row r="36" spans="2:9">
      <c r="B36" s="120"/>
      <c r="C36" s="211" t="s">
        <v>112</v>
      </c>
      <c r="D36" s="218" t="s">
        <v>105</v>
      </c>
      <c r="E36" s="219">
        <v>0</v>
      </c>
      <c r="F36" s="214">
        <f>+F14*E36</f>
        <v>0</v>
      </c>
      <c r="G36" s="231">
        <f>F36/$F$14</f>
        <v>0</v>
      </c>
      <c r="H36" s="204"/>
      <c r="I36" s="130"/>
    </row>
    <row r="37" spans="2:9" ht="13.5" customHeight="1">
      <c r="B37" s="120"/>
      <c r="C37" s="211" t="s">
        <v>113</v>
      </c>
      <c r="D37" s="218" t="s">
        <v>114</v>
      </c>
      <c r="E37" s="219"/>
      <c r="F37" s="214">
        <f>+(F11*12)/40</f>
        <v>272557.8</v>
      </c>
      <c r="G37" s="231">
        <f>F37/$F$14</f>
        <v>2.4999999999999998E-2</v>
      </c>
      <c r="H37" s="188"/>
      <c r="I37" s="121"/>
    </row>
    <row r="38" spans="2:9">
      <c r="B38" s="120"/>
      <c r="C38" s="211"/>
      <c r="D38" s="218"/>
      <c r="E38" s="222"/>
      <c r="F38" s="223"/>
      <c r="G38" s="215"/>
      <c r="H38" s="205"/>
      <c r="I38" s="139"/>
    </row>
    <row r="39" spans="2:9">
      <c r="B39" s="120"/>
      <c r="C39" s="210" t="s">
        <v>115</v>
      </c>
      <c r="D39" s="211"/>
      <c r="E39" s="222"/>
      <c r="F39" s="223"/>
      <c r="G39" s="215"/>
      <c r="H39" s="206"/>
      <c r="I39" s="143"/>
    </row>
    <row r="40" spans="2:9">
      <c r="B40" s="120"/>
      <c r="C40" s="211" t="s">
        <v>116</v>
      </c>
      <c r="D40" s="218" t="s">
        <v>105</v>
      </c>
      <c r="E40" s="219">
        <v>0</v>
      </c>
      <c r="F40" s="214">
        <f>+F14*E40</f>
        <v>0</v>
      </c>
      <c r="G40" s="231">
        <f>F40/$F$14</f>
        <v>0</v>
      </c>
      <c r="H40" s="206"/>
      <c r="I40" s="143"/>
    </row>
    <row r="41" spans="2:9">
      <c r="B41" s="120"/>
      <c r="C41" s="211" t="s">
        <v>117</v>
      </c>
      <c r="D41" s="218" t="s">
        <v>105</v>
      </c>
      <c r="E41" s="219">
        <v>0.04</v>
      </c>
      <c r="F41" s="214">
        <f>+F14*E41</f>
        <v>436092.48</v>
      </c>
      <c r="G41" s="231">
        <f>F41/$F$14</f>
        <v>0.04</v>
      </c>
      <c r="H41" s="203"/>
      <c r="I41" s="125"/>
    </row>
    <row r="42" spans="2:9">
      <c r="B42" s="120"/>
      <c r="C42" s="211"/>
      <c r="D42" s="211"/>
      <c r="E42" s="211"/>
      <c r="F42" s="223"/>
      <c r="G42" s="231"/>
      <c r="H42" s="203"/>
      <c r="I42" s="125"/>
    </row>
    <row r="43" spans="2:9">
      <c r="B43" s="120"/>
      <c r="C43" s="210" t="s">
        <v>118</v>
      </c>
      <c r="D43" s="210"/>
      <c r="E43" s="210"/>
      <c r="F43" s="214">
        <f>SUM(F16:F42)</f>
        <v>18556272.3552</v>
      </c>
      <c r="G43" s="231">
        <f>F43/$F$14</f>
        <v>1.7020492859863119</v>
      </c>
      <c r="H43" s="189"/>
      <c r="I43" s="97"/>
    </row>
    <row r="44" spans="2:9">
      <c r="B44" s="120"/>
      <c r="C44" s="213"/>
      <c r="D44" s="213"/>
      <c r="E44" s="213"/>
      <c r="F44" s="213"/>
      <c r="G44" s="224"/>
      <c r="H44" s="207"/>
      <c r="I44" s="145"/>
    </row>
    <row r="45" spans="2:9">
      <c r="B45" s="120"/>
      <c r="C45" s="210" t="s">
        <v>119</v>
      </c>
      <c r="D45" s="213"/>
      <c r="E45" s="213"/>
      <c r="F45" s="213"/>
      <c r="G45" s="213"/>
      <c r="H45" s="188"/>
      <c r="I45" s="121"/>
    </row>
    <row r="46" spans="2:9" ht="14.1" customHeight="1">
      <c r="B46" s="120"/>
      <c r="C46" s="466" t="s">
        <v>120</v>
      </c>
      <c r="D46" s="466"/>
      <c r="E46" s="466"/>
      <c r="F46" s="466"/>
      <c r="G46" s="466"/>
      <c r="H46" s="205"/>
      <c r="I46" s="139"/>
    </row>
    <row r="47" spans="2:9">
      <c r="B47" s="120"/>
      <c r="C47" s="466" t="s">
        <v>121</v>
      </c>
      <c r="D47" s="466"/>
      <c r="E47" s="466"/>
      <c r="F47" s="466"/>
      <c r="G47" s="466"/>
      <c r="H47" s="208"/>
      <c r="I47" s="150"/>
    </row>
    <row r="48" spans="2:9">
      <c r="B48" s="120"/>
      <c r="C48" s="466" t="s">
        <v>122</v>
      </c>
      <c r="D48" s="466"/>
      <c r="E48" s="466"/>
      <c r="F48" s="466"/>
      <c r="G48" s="466"/>
      <c r="H48" s="208"/>
      <c r="I48" s="150"/>
    </row>
    <row r="49" spans="2:9">
      <c r="B49" s="120"/>
      <c r="C49" s="466" t="s">
        <v>123</v>
      </c>
      <c r="D49" s="466"/>
      <c r="E49" s="466"/>
      <c r="F49" s="466"/>
      <c r="G49" s="466"/>
      <c r="H49" s="208"/>
      <c r="I49" s="150"/>
    </row>
    <row r="50" spans="2:9" ht="42.6" customHeight="1">
      <c r="B50" s="120"/>
      <c r="C50" s="466" t="s">
        <v>124</v>
      </c>
      <c r="D50" s="466"/>
      <c r="E50" s="466"/>
      <c r="F50" s="466"/>
      <c r="G50" s="466"/>
      <c r="H50" s="209"/>
      <c r="I50" s="154"/>
    </row>
    <row r="51" spans="2:9" ht="14.1" customHeight="1">
      <c r="B51" s="120"/>
      <c r="C51" s="213" t="s">
        <v>125</v>
      </c>
      <c r="D51" s="213"/>
      <c r="E51" s="213"/>
      <c r="F51" s="213"/>
      <c r="G51" s="213"/>
      <c r="H51" s="189"/>
      <c r="I51" s="97"/>
    </row>
    <row r="52" spans="2:9">
      <c r="B52" s="120"/>
      <c r="C52" s="213" t="s">
        <v>126</v>
      </c>
      <c r="D52" s="213"/>
      <c r="E52" s="213"/>
      <c r="F52" s="213"/>
      <c r="G52" s="213"/>
      <c r="H52" s="209"/>
      <c r="I52" s="154"/>
    </row>
    <row r="53" spans="2:9">
      <c r="B53" s="120"/>
      <c r="C53" s="213"/>
      <c r="D53" s="213"/>
      <c r="E53" s="213"/>
      <c r="F53" s="213"/>
      <c r="G53" s="213"/>
      <c r="H53" s="189"/>
      <c r="I53" s="97"/>
    </row>
    <row r="54" spans="2:9">
      <c r="B54" s="120"/>
      <c r="C54" s="469" t="s">
        <v>127</v>
      </c>
      <c r="D54" s="469"/>
      <c r="E54" s="469"/>
      <c r="F54" s="469"/>
      <c r="G54" s="469"/>
      <c r="H54" s="189"/>
      <c r="I54" s="97"/>
    </row>
    <row r="55" spans="2:9">
      <c r="B55" s="120"/>
      <c r="C55" s="235"/>
      <c r="D55" s="235"/>
      <c r="E55" s="235"/>
      <c r="F55" s="235"/>
      <c r="G55" s="235"/>
      <c r="H55" s="189"/>
      <c r="I55" s="97"/>
    </row>
    <row r="56" spans="2:9">
      <c r="B56" s="120"/>
      <c r="C56" s="211" t="s">
        <v>128</v>
      </c>
      <c r="D56" s="211"/>
      <c r="E56" s="211"/>
      <c r="F56" s="220">
        <f>+F43</f>
        <v>18556272.3552</v>
      </c>
      <c r="G56" s="211"/>
      <c r="H56" s="189"/>
      <c r="I56" s="97"/>
    </row>
    <row r="57" spans="2:9">
      <c r="B57" s="120"/>
      <c r="C57" s="211" t="s">
        <v>129</v>
      </c>
      <c r="D57" s="211"/>
      <c r="E57" s="211" t="s">
        <v>130</v>
      </c>
      <c r="F57" s="225">
        <f>365*8</f>
        <v>2920</v>
      </c>
      <c r="G57" s="211"/>
      <c r="H57" s="189"/>
      <c r="I57" s="97"/>
    </row>
    <row r="58" spans="2:9" ht="27">
      <c r="B58" s="120"/>
      <c r="C58" s="211" t="s">
        <v>131</v>
      </c>
      <c r="D58" s="211"/>
      <c r="E58" s="226" t="s">
        <v>132</v>
      </c>
      <c r="F58" s="225">
        <f>52*48+8</f>
        <v>2504</v>
      </c>
      <c r="G58" s="211"/>
      <c r="H58" s="189"/>
      <c r="I58" s="97"/>
    </row>
    <row r="59" spans="2:9" ht="94.5">
      <c r="B59" s="120"/>
      <c r="C59" s="211" t="s">
        <v>133</v>
      </c>
      <c r="D59" s="211"/>
      <c r="E59" s="227" t="s">
        <v>134</v>
      </c>
      <c r="F59" s="225">
        <f>2920-(52+18+3+15)*8</f>
        <v>2216</v>
      </c>
      <c r="G59" s="211"/>
      <c r="H59" s="189"/>
      <c r="I59" s="97"/>
    </row>
    <row r="60" spans="2:9">
      <c r="B60" s="120"/>
      <c r="C60" s="211" t="s">
        <v>135</v>
      </c>
      <c r="D60" s="211"/>
      <c r="E60" s="228" t="s">
        <v>136</v>
      </c>
      <c r="F60" s="220">
        <f>(F11/30)/8</f>
        <v>3785.5250000000001</v>
      </c>
      <c r="G60" s="229">
        <v>1</v>
      </c>
      <c r="H60" s="189"/>
      <c r="I60" s="97"/>
    </row>
    <row r="61" spans="2:9">
      <c r="B61" s="120"/>
      <c r="C61" s="211" t="s">
        <v>137</v>
      </c>
      <c r="D61" s="211"/>
      <c r="E61" s="218" t="s">
        <v>138</v>
      </c>
      <c r="F61" s="220">
        <f>+F56/F57</f>
        <v>6354.8877928767124</v>
      </c>
      <c r="G61" s="215">
        <f>(F61/F60)</f>
        <v>1.6787335423426637</v>
      </c>
      <c r="H61" s="189"/>
      <c r="I61" s="97"/>
    </row>
    <row r="62" spans="2:9">
      <c r="B62" s="120"/>
      <c r="C62" s="211" t="s">
        <v>139</v>
      </c>
      <c r="D62" s="213"/>
      <c r="E62" s="218" t="s">
        <v>140</v>
      </c>
      <c r="F62" s="220">
        <f>+F56/F58</f>
        <v>7410.6518990415334</v>
      </c>
      <c r="G62" s="215">
        <f>(F62/F60)</f>
        <v>1.957628571741445</v>
      </c>
      <c r="H62" s="189"/>
      <c r="I62" s="97"/>
    </row>
    <row r="63" spans="2:9">
      <c r="B63" s="120"/>
      <c r="C63" s="211" t="s">
        <v>141</v>
      </c>
      <c r="D63" s="213"/>
      <c r="E63" s="218" t="s">
        <v>142</v>
      </c>
      <c r="F63" s="220">
        <f>+F56/F59</f>
        <v>8373.7691133574008</v>
      </c>
      <c r="G63" s="215">
        <f>F63/F60</f>
        <v>2.2120496135562178</v>
      </c>
      <c r="H63" s="189"/>
      <c r="I63" s="97"/>
    </row>
    <row r="64" spans="2:9">
      <c r="B64" s="120"/>
      <c r="C64" s="211"/>
      <c r="D64" s="213"/>
      <c r="E64" s="218"/>
      <c r="F64" s="217"/>
      <c r="G64" s="215"/>
      <c r="H64" s="189"/>
      <c r="I64" s="97"/>
    </row>
    <row r="65" spans="2:9">
      <c r="B65" s="120"/>
      <c r="C65" s="210" t="s">
        <v>119</v>
      </c>
      <c r="D65" s="213"/>
      <c r="E65" s="213"/>
      <c r="F65" s="213"/>
      <c r="G65" s="213"/>
      <c r="H65" s="189"/>
      <c r="I65" s="97"/>
    </row>
    <row r="66" spans="2:9" ht="28.35" customHeight="1">
      <c r="B66" s="120"/>
      <c r="C66" s="466" t="s">
        <v>143</v>
      </c>
      <c r="D66" s="466"/>
      <c r="E66" s="466"/>
      <c r="F66" s="466"/>
      <c r="G66" s="466"/>
      <c r="H66" s="189"/>
      <c r="I66" s="97"/>
    </row>
    <row r="67" spans="2:9">
      <c r="B67" s="120"/>
      <c r="C67" s="466" t="s">
        <v>144</v>
      </c>
      <c r="D67" s="466"/>
      <c r="E67" s="466"/>
      <c r="F67" s="466"/>
      <c r="G67" s="466"/>
      <c r="H67" s="189"/>
      <c r="I67" s="97"/>
    </row>
    <row r="68" spans="2:9">
      <c r="B68" s="120"/>
      <c r="C68" s="466" t="s">
        <v>145</v>
      </c>
      <c r="D68" s="466"/>
      <c r="E68" s="466"/>
      <c r="F68" s="466"/>
      <c r="G68" s="466"/>
      <c r="H68" s="189"/>
      <c r="I68" s="97"/>
    </row>
    <row r="69" spans="2:9">
      <c r="B69" s="120"/>
      <c r="C69" s="213"/>
      <c r="D69" s="213"/>
      <c r="E69" s="213"/>
      <c r="F69" s="213"/>
      <c r="G69" s="213"/>
      <c r="H69" s="189"/>
      <c r="I69" s="97"/>
    </row>
    <row r="70" spans="2:9">
      <c r="B70" s="120"/>
      <c r="C70" s="210" t="s">
        <v>146</v>
      </c>
      <c r="D70" s="213"/>
      <c r="E70" s="213"/>
      <c r="F70" s="213"/>
      <c r="G70" s="213"/>
      <c r="H70" s="189"/>
      <c r="I70" s="97"/>
    </row>
    <row r="71" spans="2:9">
      <c r="B71" s="120"/>
      <c r="C71" s="213"/>
      <c r="D71" s="213"/>
      <c r="E71" s="213"/>
      <c r="F71" s="213"/>
      <c r="G71" s="230"/>
      <c r="H71" s="189"/>
      <c r="I71" s="97"/>
    </row>
    <row r="72" spans="2:9">
      <c r="B72" s="120"/>
      <c r="C72" s="210" t="s">
        <v>147</v>
      </c>
      <c r="D72" s="213"/>
      <c r="E72" s="213"/>
      <c r="F72" s="213"/>
      <c r="G72" s="213"/>
      <c r="H72" s="189"/>
      <c r="I72" s="97"/>
    </row>
    <row r="73" spans="2:9">
      <c r="B73" s="120"/>
      <c r="C73" s="211" t="s">
        <v>148</v>
      </c>
      <c r="D73" s="213"/>
      <c r="E73" s="218" t="s">
        <v>149</v>
      </c>
      <c r="F73" s="220">
        <f>(+F11*12/365)*1.2</f>
        <v>35843.217534246571</v>
      </c>
      <c r="G73" s="213"/>
      <c r="H73" s="189"/>
      <c r="I73" s="97"/>
    </row>
    <row r="74" spans="2:9">
      <c r="B74" s="120"/>
      <c r="C74" s="211" t="s">
        <v>150</v>
      </c>
      <c r="D74" s="213"/>
      <c r="E74" s="231">
        <v>2.1476999999999999</v>
      </c>
      <c r="F74" s="220">
        <f>+F73*E74</f>
        <v>76980.478298301357</v>
      </c>
      <c r="G74" s="213"/>
      <c r="H74" s="189"/>
      <c r="I74" s="97"/>
    </row>
    <row r="75" spans="2:9">
      <c r="B75" s="120"/>
      <c r="C75" s="211" t="s">
        <v>151</v>
      </c>
      <c r="D75" s="213"/>
      <c r="E75" s="218"/>
      <c r="F75" s="214">
        <f>+F74/8</f>
        <v>9622.5597872876697</v>
      </c>
      <c r="G75" s="213"/>
      <c r="H75" s="189"/>
      <c r="I75" s="97"/>
    </row>
    <row r="76" spans="2:9">
      <c r="B76" s="120"/>
      <c r="C76" s="211"/>
      <c r="D76" s="213"/>
      <c r="E76" s="218"/>
      <c r="F76" s="223"/>
      <c r="G76" s="213"/>
      <c r="H76" s="189"/>
      <c r="I76" s="97"/>
    </row>
    <row r="77" spans="2:9">
      <c r="B77" s="120"/>
      <c r="C77" s="211" t="s">
        <v>152</v>
      </c>
      <c r="D77" s="213"/>
      <c r="E77" s="218" t="s">
        <v>153</v>
      </c>
      <c r="F77" s="220">
        <f>(+F11*12/365)*2.1</f>
        <v>62725.630684931508</v>
      </c>
      <c r="G77" s="213"/>
      <c r="H77" s="189"/>
      <c r="I77" s="97"/>
    </row>
    <row r="78" spans="2:9">
      <c r="B78" s="120"/>
      <c r="C78" s="211" t="s">
        <v>150</v>
      </c>
      <c r="D78" s="213"/>
      <c r="E78" s="231">
        <v>2.1059000000000001</v>
      </c>
      <c r="F78" s="220">
        <f>+F77*E78</f>
        <v>132093.90565939728</v>
      </c>
      <c r="G78" s="213"/>
      <c r="H78" s="189"/>
      <c r="I78" s="97"/>
    </row>
    <row r="79" spans="2:9">
      <c r="B79" s="120"/>
      <c r="C79" s="211" t="s">
        <v>154</v>
      </c>
      <c r="D79" s="213"/>
      <c r="E79" s="218"/>
      <c r="F79" s="220">
        <f>+F78/8</f>
        <v>16511.73820742466</v>
      </c>
      <c r="G79" s="213"/>
      <c r="H79" s="189"/>
      <c r="I79" s="97"/>
    </row>
    <row r="80" spans="2:9">
      <c r="B80" s="120"/>
      <c r="C80" s="211"/>
      <c r="D80" s="213"/>
      <c r="E80" s="218"/>
      <c r="F80" s="223"/>
      <c r="G80" s="213"/>
      <c r="H80" s="189"/>
      <c r="I80" s="97"/>
    </row>
    <row r="81" spans="2:9">
      <c r="B81" s="120"/>
      <c r="C81" s="211" t="s">
        <v>155</v>
      </c>
      <c r="D81" s="213"/>
      <c r="E81" s="218"/>
      <c r="F81" s="220">
        <f>+F78+F74</f>
        <v>209074.38395769865</v>
      </c>
      <c r="G81" s="213"/>
      <c r="H81" s="189"/>
      <c r="I81" s="97"/>
    </row>
    <row r="82" spans="2:9">
      <c r="B82" s="120"/>
      <c r="C82" s="211" t="s">
        <v>156</v>
      </c>
      <c r="D82" s="232" t="str">
        <f>C72</f>
        <v xml:space="preserve">CUADRILLA "AA" (Albañileria) </v>
      </c>
      <c r="E82" s="213"/>
      <c r="F82" s="220">
        <f>+F79+F75</f>
        <v>26134.297994712331</v>
      </c>
      <c r="G82" s="213"/>
      <c r="H82" s="189"/>
      <c r="I82" s="97"/>
    </row>
    <row r="83" spans="2:9">
      <c r="B83" s="120"/>
      <c r="C83" s="211"/>
      <c r="D83" s="213"/>
      <c r="E83" s="218"/>
      <c r="F83" s="217"/>
      <c r="G83" s="213"/>
      <c r="H83" s="189"/>
      <c r="I83" s="97"/>
    </row>
    <row r="84" spans="2:9">
      <c r="B84" s="120"/>
      <c r="C84" s="210" t="s">
        <v>157</v>
      </c>
      <c r="D84" s="213"/>
      <c r="E84" s="213"/>
      <c r="F84" s="217"/>
      <c r="G84" s="213"/>
      <c r="H84" s="189"/>
      <c r="I84" s="97"/>
    </row>
    <row r="85" spans="2:9">
      <c r="B85" s="120"/>
      <c r="C85" s="211" t="s">
        <v>148</v>
      </c>
      <c r="D85" s="213"/>
      <c r="E85" s="218" t="s">
        <v>158</v>
      </c>
      <c r="F85" s="220">
        <f>+F73*1.1</f>
        <v>39427.539287671229</v>
      </c>
      <c r="G85" s="213"/>
      <c r="H85" s="189"/>
      <c r="I85" s="97"/>
    </row>
    <row r="86" spans="2:9">
      <c r="B86" s="120"/>
      <c r="C86" s="211" t="s">
        <v>150</v>
      </c>
      <c r="D86" s="213"/>
      <c r="E86" s="231">
        <v>2.1476999999999999</v>
      </c>
      <c r="F86" s="220">
        <f>+F74*1.1</f>
        <v>84678.526128131503</v>
      </c>
      <c r="G86" s="213"/>
      <c r="H86" s="189"/>
      <c r="I86" s="97"/>
    </row>
    <row r="87" spans="2:9">
      <c r="B87" s="120"/>
      <c r="C87" s="211" t="s">
        <v>151</v>
      </c>
      <c r="D87" s="213"/>
      <c r="E87" s="218"/>
      <c r="F87" s="220">
        <f>+F75*1.1</f>
        <v>10584.815766016438</v>
      </c>
      <c r="G87" s="213"/>
      <c r="H87" s="189"/>
      <c r="I87" s="97"/>
    </row>
    <row r="88" spans="2:9">
      <c r="B88" s="120"/>
      <c r="C88" s="211"/>
      <c r="D88" s="213"/>
      <c r="E88" s="218"/>
      <c r="F88" s="223"/>
      <c r="G88" s="213"/>
      <c r="H88" s="189"/>
      <c r="I88" s="97"/>
    </row>
    <row r="89" spans="2:9">
      <c r="B89" s="120"/>
      <c r="C89" s="211" t="s">
        <v>152</v>
      </c>
      <c r="D89" s="213"/>
      <c r="E89" s="218" t="s">
        <v>159</v>
      </c>
      <c r="F89" s="220">
        <f>+F77*1.1</f>
        <v>68998.193753424668</v>
      </c>
      <c r="G89" s="213"/>
      <c r="H89" s="189"/>
      <c r="I89" s="97"/>
    </row>
    <row r="90" spans="2:9">
      <c r="B90" s="120"/>
      <c r="C90" s="211" t="s">
        <v>150</v>
      </c>
      <c r="D90" s="213"/>
      <c r="E90" s="231">
        <v>2.1059000000000001</v>
      </c>
      <c r="F90" s="220">
        <f>+F78*1.1</f>
        <v>145303.29622533702</v>
      </c>
      <c r="G90" s="213"/>
      <c r="H90" s="189"/>
      <c r="I90" s="97"/>
    </row>
    <row r="91" spans="2:9">
      <c r="B91" s="120"/>
      <c r="C91" s="211" t="s">
        <v>154</v>
      </c>
      <c r="D91" s="213"/>
      <c r="E91" s="218"/>
      <c r="F91" s="220">
        <f>+F79*1.1</f>
        <v>18162.912028167128</v>
      </c>
      <c r="G91" s="213"/>
      <c r="H91" s="189"/>
      <c r="I91" s="97"/>
    </row>
    <row r="92" spans="2:9">
      <c r="B92" s="120"/>
      <c r="C92" s="211"/>
      <c r="D92" s="213"/>
      <c r="E92" s="218"/>
      <c r="F92" s="223"/>
      <c r="G92" s="213"/>
      <c r="H92" s="189"/>
      <c r="I92" s="97"/>
    </row>
    <row r="93" spans="2:9">
      <c r="B93" s="120"/>
      <c r="C93" s="211" t="s">
        <v>155</v>
      </c>
      <c r="D93" s="213"/>
      <c r="E93" s="218"/>
      <c r="F93" s="220">
        <f>+F90+F86</f>
        <v>229981.82235346851</v>
      </c>
      <c r="G93" s="213"/>
      <c r="H93" s="189"/>
      <c r="I93" s="97"/>
    </row>
    <row r="94" spans="2:9">
      <c r="B94" s="120"/>
      <c r="C94" s="211" t="s">
        <v>156</v>
      </c>
      <c r="D94" s="232" t="str">
        <f>C84</f>
        <v xml:space="preserve">CUADRILLA "BB" (Instalaciones) </v>
      </c>
      <c r="E94" s="213"/>
      <c r="F94" s="220">
        <f>+F91+F87</f>
        <v>28747.727794183564</v>
      </c>
      <c r="G94" s="213"/>
      <c r="H94" s="189"/>
      <c r="I94" s="97"/>
    </row>
    <row r="95" spans="2:9">
      <c r="B95" s="120"/>
      <c r="C95" s="235"/>
      <c r="D95" s="235"/>
      <c r="E95" s="235"/>
      <c r="F95" s="235"/>
      <c r="G95" s="235"/>
      <c r="H95" s="189"/>
      <c r="I95" s="97"/>
    </row>
    <row r="96" spans="2:9">
      <c r="B96" s="120"/>
      <c r="C96" s="210" t="s">
        <v>160</v>
      </c>
      <c r="D96" s="213"/>
      <c r="E96" s="213"/>
      <c r="F96" s="223"/>
      <c r="G96" s="235"/>
      <c r="H96" s="189"/>
      <c r="I96" s="97"/>
    </row>
    <row r="97" spans="2:9">
      <c r="B97" s="120"/>
      <c r="C97" s="211" t="s">
        <v>148</v>
      </c>
      <c r="D97" s="213"/>
      <c r="E97" s="218" t="s">
        <v>161</v>
      </c>
      <c r="F97" s="220">
        <f>+F73*1.15</f>
        <v>41219.700164383554</v>
      </c>
      <c r="G97" s="235"/>
      <c r="H97" s="189"/>
      <c r="I97" s="97"/>
    </row>
    <row r="98" spans="2:9">
      <c r="B98" s="120"/>
      <c r="C98" s="211" t="s">
        <v>150</v>
      </c>
      <c r="D98" s="213"/>
      <c r="E98" s="231">
        <v>2.1476999999999999</v>
      </c>
      <c r="F98" s="220">
        <f>+F74*1.15</f>
        <v>88527.550043046547</v>
      </c>
      <c r="G98" s="235"/>
      <c r="H98" s="189"/>
      <c r="I98" s="97"/>
    </row>
    <row r="99" spans="2:9">
      <c r="B99" s="120"/>
      <c r="C99" s="211" t="s">
        <v>151</v>
      </c>
      <c r="D99" s="213"/>
      <c r="E99" s="218"/>
      <c r="F99" s="220">
        <f>+F75*1.15</f>
        <v>11065.943755380818</v>
      </c>
      <c r="G99" s="235"/>
      <c r="H99" s="189"/>
      <c r="I99" s="97"/>
    </row>
    <row r="100" spans="2:9">
      <c r="B100" s="120"/>
      <c r="C100" s="211"/>
      <c r="D100" s="213"/>
      <c r="E100" s="218"/>
      <c r="F100" s="223"/>
      <c r="G100" s="235"/>
      <c r="H100" s="189"/>
      <c r="I100" s="97"/>
    </row>
    <row r="101" spans="2:9">
      <c r="B101" s="120"/>
      <c r="C101" s="211" t="s">
        <v>152</v>
      </c>
      <c r="D101" s="213"/>
      <c r="E101" s="218" t="s">
        <v>162</v>
      </c>
      <c r="F101" s="220">
        <f>+F77*1.15</f>
        <v>72134.47528767123</v>
      </c>
      <c r="G101" s="235"/>
      <c r="H101" s="189"/>
      <c r="I101" s="97"/>
    </row>
    <row r="102" spans="2:9">
      <c r="B102" s="120"/>
      <c r="C102" s="211" t="s">
        <v>150</v>
      </c>
      <c r="D102" s="213"/>
      <c r="E102" s="231">
        <v>2.1059000000000001</v>
      </c>
      <c r="F102" s="220">
        <f>+F78*1.15</f>
        <v>151907.99150830685</v>
      </c>
      <c r="G102" s="235"/>
      <c r="H102" s="189"/>
      <c r="I102" s="97"/>
    </row>
    <row r="103" spans="2:9">
      <c r="B103" s="120"/>
      <c r="C103" s="211" t="s">
        <v>154</v>
      </c>
      <c r="D103" s="213"/>
      <c r="E103" s="218"/>
      <c r="F103" s="220">
        <f>+F79*1.15</f>
        <v>18988.498938538356</v>
      </c>
      <c r="G103" s="235"/>
      <c r="H103" s="189"/>
      <c r="I103" s="97"/>
    </row>
    <row r="104" spans="2:9">
      <c r="B104" s="120"/>
      <c r="C104" s="211"/>
      <c r="D104" s="213"/>
      <c r="E104" s="218"/>
      <c r="F104" s="223"/>
      <c r="G104" s="235"/>
      <c r="H104" s="189"/>
      <c r="I104" s="97"/>
    </row>
    <row r="105" spans="2:9">
      <c r="B105" s="120"/>
      <c r="C105" s="211" t="s">
        <v>155</v>
      </c>
      <c r="D105" s="213"/>
      <c r="E105" s="218"/>
      <c r="F105" s="220">
        <f>+F102+F98</f>
        <v>240435.54155135341</v>
      </c>
      <c r="G105" s="235"/>
      <c r="H105" s="189"/>
      <c r="I105" s="97"/>
    </row>
    <row r="106" spans="2:9">
      <c r="B106" s="120"/>
      <c r="C106" s="211" t="s">
        <v>156</v>
      </c>
      <c r="D106" s="232" t="str">
        <f>C96</f>
        <v xml:space="preserve">CUADRILLA "CC" (Pintura) </v>
      </c>
      <c r="E106" s="213"/>
      <c r="F106" s="220">
        <f>+F103+F99</f>
        <v>30054.442693919176</v>
      </c>
      <c r="G106" s="235"/>
      <c r="H106" s="189"/>
      <c r="I106" s="97"/>
    </row>
    <row r="107" spans="2:9">
      <c r="B107" s="120"/>
      <c r="C107" s="211"/>
      <c r="D107" s="213"/>
      <c r="E107" s="218"/>
      <c r="F107" s="223"/>
      <c r="G107" s="235"/>
      <c r="H107" s="189"/>
      <c r="I107" s="97"/>
    </row>
    <row r="108" spans="2:9">
      <c r="B108" s="120"/>
      <c r="C108" s="210" t="s">
        <v>163</v>
      </c>
      <c r="D108" s="213"/>
      <c r="E108" s="213"/>
      <c r="F108" s="223"/>
      <c r="G108" s="235"/>
      <c r="H108" s="189"/>
      <c r="I108" s="97"/>
    </row>
    <row r="109" spans="2:9">
      <c r="B109" s="120"/>
      <c r="C109" s="211" t="s">
        <v>148</v>
      </c>
      <c r="D109" s="213"/>
      <c r="E109" s="218" t="s">
        <v>164</v>
      </c>
      <c r="F109" s="220">
        <f>+F73*1.2</f>
        <v>43011.861041095886</v>
      </c>
      <c r="G109" s="235"/>
      <c r="H109" s="189"/>
      <c r="I109" s="97"/>
    </row>
    <row r="110" spans="2:9">
      <c r="B110" s="120"/>
      <c r="C110" s="211" t="s">
        <v>150</v>
      </c>
      <c r="D110" s="213"/>
      <c r="E110" s="231">
        <v>2.1476999999999999</v>
      </c>
      <c r="F110" s="220">
        <f>+F74*1.2</f>
        <v>92376.57395796162</v>
      </c>
      <c r="G110" s="235"/>
      <c r="H110" s="189"/>
      <c r="I110" s="97"/>
    </row>
    <row r="111" spans="2:9">
      <c r="B111" s="120"/>
      <c r="C111" s="211" t="s">
        <v>151</v>
      </c>
      <c r="D111" s="213"/>
      <c r="E111" s="218"/>
      <c r="F111" s="220">
        <f>+F75*1.2</f>
        <v>11547.071744745203</v>
      </c>
      <c r="G111" s="235"/>
      <c r="H111" s="189"/>
      <c r="I111" s="97"/>
    </row>
    <row r="112" spans="2:9">
      <c r="B112" s="120"/>
      <c r="C112" s="211"/>
      <c r="D112" s="213"/>
      <c r="E112" s="218"/>
      <c r="F112" s="223"/>
      <c r="G112" s="235"/>
      <c r="H112" s="189"/>
      <c r="I112" s="97"/>
    </row>
    <row r="113" spans="2:10">
      <c r="B113" s="120"/>
      <c r="C113" s="211" t="s">
        <v>152</v>
      </c>
      <c r="D113" s="213"/>
      <c r="E113" s="218" t="s">
        <v>165</v>
      </c>
      <c r="F113" s="220">
        <f>+F77*1.2</f>
        <v>75270.756821917807</v>
      </c>
      <c r="G113" s="235"/>
      <c r="H113" s="189"/>
      <c r="I113" s="97"/>
    </row>
    <row r="114" spans="2:10">
      <c r="B114" s="120"/>
      <c r="C114" s="211" t="s">
        <v>150</v>
      </c>
      <c r="D114" s="213"/>
      <c r="E114" s="231">
        <v>2.1059000000000001</v>
      </c>
      <c r="F114" s="220">
        <f>+F78*1.2</f>
        <v>158512.68679127673</v>
      </c>
      <c r="G114" s="235"/>
      <c r="H114" s="189"/>
      <c r="I114" s="97"/>
    </row>
    <row r="115" spans="2:10">
      <c r="B115" s="120"/>
      <c r="C115" s="211" t="s">
        <v>154</v>
      </c>
      <c r="D115" s="213"/>
      <c r="E115" s="218"/>
      <c r="F115" s="220">
        <f>+F79*1.2</f>
        <v>19814.085848909592</v>
      </c>
      <c r="G115" s="235"/>
      <c r="H115" s="189"/>
      <c r="I115" s="97"/>
    </row>
    <row r="116" spans="2:10">
      <c r="B116" s="120"/>
      <c r="C116" s="211"/>
      <c r="D116" s="213"/>
      <c r="E116" s="218"/>
      <c r="F116" s="223"/>
      <c r="G116" s="235"/>
      <c r="H116" s="189"/>
      <c r="I116" s="97"/>
    </row>
    <row r="117" spans="2:10">
      <c r="B117" s="120"/>
      <c r="C117" s="211" t="s">
        <v>155</v>
      </c>
      <c r="D117" s="213"/>
      <c r="E117" s="218"/>
      <c r="F117" s="220">
        <f>+F114+F110</f>
        <v>250889.26074923837</v>
      </c>
      <c r="G117" s="211"/>
      <c r="H117" s="190"/>
      <c r="I117" s="27"/>
    </row>
    <row r="118" spans="2:10" ht="14.1" customHeight="1">
      <c r="B118" s="120"/>
      <c r="C118" s="211" t="s">
        <v>156</v>
      </c>
      <c r="D118" s="232" t="str">
        <f>C108</f>
        <v xml:space="preserve">CUADRILLA "DD" (Carpinterias) </v>
      </c>
      <c r="E118" s="213"/>
      <c r="F118" s="220">
        <f>+F115+F111</f>
        <v>31361.157593654796</v>
      </c>
      <c r="H118" s="236"/>
      <c r="I118" s="156"/>
    </row>
    <row r="119" spans="2:10" ht="14.1" customHeight="1">
      <c r="B119" s="120"/>
      <c r="C119" s="211"/>
      <c r="D119" s="232"/>
      <c r="E119" s="213"/>
      <c r="F119" s="220"/>
      <c r="H119" s="236"/>
      <c r="I119" s="156"/>
      <c r="J119" s="96"/>
    </row>
    <row r="120" spans="2:10" ht="14.1" customHeight="1">
      <c r="B120" s="120"/>
      <c r="C120" s="210" t="s">
        <v>166</v>
      </c>
      <c r="D120" s="213"/>
      <c r="E120" s="213"/>
      <c r="F120" s="223"/>
      <c r="H120" s="236"/>
      <c r="I120" s="156"/>
    </row>
    <row r="121" spans="2:10" ht="14.1" customHeight="1">
      <c r="B121" s="120"/>
      <c r="C121" s="211" t="s">
        <v>148</v>
      </c>
      <c r="D121" s="213"/>
      <c r="E121" s="218" t="s">
        <v>167</v>
      </c>
      <c r="F121" s="220">
        <f>+F73*1.3</f>
        <v>46596.182794520544</v>
      </c>
      <c r="H121" s="236"/>
      <c r="I121" s="156"/>
    </row>
    <row r="122" spans="2:10" ht="14.1" customHeight="1">
      <c r="B122" s="120"/>
      <c r="C122" s="211" t="s">
        <v>150</v>
      </c>
      <c r="D122" s="213"/>
      <c r="E122" s="231">
        <v>2.1476999999999999</v>
      </c>
      <c r="F122" s="220">
        <f>+F74*1.3</f>
        <v>100074.62178779177</v>
      </c>
      <c r="H122" s="236"/>
      <c r="I122" s="156"/>
    </row>
    <row r="123" spans="2:10" ht="14.1" customHeight="1">
      <c r="B123" s="120"/>
      <c r="C123" s="211" t="s">
        <v>151</v>
      </c>
      <c r="D123" s="213"/>
      <c r="E123" s="218"/>
      <c r="F123" s="220">
        <f>+F75*1.3</f>
        <v>12509.327723473971</v>
      </c>
      <c r="H123" s="236"/>
      <c r="I123" s="156"/>
    </row>
    <row r="124" spans="2:10" ht="14.1" customHeight="1">
      <c r="B124" s="120"/>
      <c r="C124" s="211"/>
      <c r="D124" s="213"/>
      <c r="E124" s="218"/>
      <c r="F124" s="223"/>
      <c r="H124" s="236"/>
      <c r="I124" s="156"/>
    </row>
    <row r="125" spans="2:10" ht="14.1" customHeight="1">
      <c r="B125" s="120"/>
      <c r="C125" s="211" t="s">
        <v>152</v>
      </c>
      <c r="D125" s="213"/>
      <c r="E125" s="218" t="s">
        <v>168</v>
      </c>
      <c r="F125" s="220">
        <f>+F77*1.3</f>
        <v>81543.319890410959</v>
      </c>
      <c r="H125" s="236"/>
      <c r="I125" s="156"/>
    </row>
    <row r="126" spans="2:10" ht="14.1" customHeight="1">
      <c r="B126" s="120"/>
      <c r="C126" s="211" t="s">
        <v>150</v>
      </c>
      <c r="D126" s="213"/>
      <c r="E126" s="231">
        <v>2.1059000000000001</v>
      </c>
      <c r="F126" s="220">
        <f>+F78*1.3</f>
        <v>171722.07735721648</v>
      </c>
      <c r="H126" s="236"/>
      <c r="I126" s="156"/>
    </row>
    <row r="127" spans="2:10" ht="14.1" customHeight="1">
      <c r="B127" s="120"/>
      <c r="C127" s="211" t="s">
        <v>154</v>
      </c>
      <c r="D127" s="213"/>
      <c r="E127" s="218"/>
      <c r="F127" s="220">
        <f>+F79*1.3</f>
        <v>21465.25966965206</v>
      </c>
      <c r="H127" s="236"/>
      <c r="I127" s="156"/>
    </row>
    <row r="128" spans="2:10" ht="14.1" customHeight="1">
      <c r="B128" s="120"/>
      <c r="C128" s="211"/>
      <c r="D128" s="213"/>
      <c r="E128" s="218"/>
      <c r="F128" s="223"/>
      <c r="H128" s="236"/>
      <c r="I128" s="156"/>
    </row>
    <row r="129" spans="2:9" ht="14.1" customHeight="1">
      <c r="B129" s="120"/>
      <c r="C129" s="211" t="s">
        <v>155</v>
      </c>
      <c r="D129" s="213"/>
      <c r="E129" s="218"/>
      <c r="F129" s="220">
        <f>+F126+F122</f>
        <v>271796.69914500823</v>
      </c>
      <c r="H129" s="236"/>
      <c r="I129" s="156"/>
    </row>
    <row r="130" spans="2:9" ht="14.1" customHeight="1">
      <c r="B130" s="120"/>
      <c r="C130" s="211" t="s">
        <v>156</v>
      </c>
      <c r="D130" s="232" t="str">
        <f>C120</f>
        <v xml:space="preserve">CUADRILLA "EE" (Cableado Estructural) </v>
      </c>
      <c r="E130" s="213"/>
      <c r="F130" s="220">
        <f>+F127+F123</f>
        <v>33974.587393126028</v>
      </c>
      <c r="H130" s="236"/>
      <c r="I130" s="156"/>
    </row>
    <row r="131" spans="2:9" ht="14.1" customHeight="1" thickBot="1">
      <c r="B131" s="120"/>
      <c r="C131" s="237"/>
      <c r="D131" s="238"/>
      <c r="E131" s="239"/>
      <c r="F131" s="240"/>
      <c r="G131" s="101"/>
      <c r="H131" s="191"/>
      <c r="I131" s="156"/>
    </row>
    <row r="132" spans="2:9" ht="10.35" customHeight="1" thickBot="1">
      <c r="B132" s="157"/>
      <c r="C132" s="241"/>
      <c r="D132" s="241"/>
      <c r="E132" s="241"/>
      <c r="F132" s="241"/>
      <c r="G132" s="241"/>
      <c r="H132" s="241"/>
      <c r="I132" s="159"/>
    </row>
    <row r="133" spans="2:9" ht="10.35" customHeight="1" thickTop="1"/>
    <row r="170" spans="3:7">
      <c r="C170" s="211"/>
      <c r="D170" s="213"/>
      <c r="E170" s="218"/>
      <c r="F170" s="223"/>
      <c r="G170" s="213"/>
    </row>
    <row r="171" spans="3:7">
      <c r="G171" s="213"/>
    </row>
    <row r="172" spans="3:7">
      <c r="G172" s="213"/>
    </row>
    <row r="173" spans="3:7">
      <c r="G173" s="213"/>
    </row>
    <row r="174" spans="3:7">
      <c r="G174" s="213"/>
    </row>
    <row r="175" spans="3:7">
      <c r="G175" s="213"/>
    </row>
    <row r="176" spans="3:7">
      <c r="G176" s="213"/>
    </row>
    <row r="177" spans="7:7">
      <c r="G177" s="213"/>
    </row>
    <row r="178" spans="7:7">
      <c r="G178" s="213"/>
    </row>
    <row r="179" spans="7:7">
      <c r="G179" s="213"/>
    </row>
    <row r="180" spans="7:7">
      <c r="G180" s="213"/>
    </row>
    <row r="181" spans="7:7">
      <c r="G181" s="213"/>
    </row>
    <row r="182" spans="7:7">
      <c r="G182" s="213"/>
    </row>
    <row r="183" spans="7:7">
      <c r="G183" s="213"/>
    </row>
    <row r="184" spans="7:7">
      <c r="G184" s="213"/>
    </row>
    <row r="185" spans="7:7">
      <c r="G185" s="213"/>
    </row>
    <row r="186" spans="7:7">
      <c r="G186" s="213"/>
    </row>
    <row r="187" spans="7:7">
      <c r="G187" s="213"/>
    </row>
    <row r="188" spans="7:7">
      <c r="G188" s="213"/>
    </row>
    <row r="189" spans="7:7">
      <c r="G189" s="213"/>
    </row>
    <row r="190" spans="7:7">
      <c r="G190" s="213"/>
    </row>
    <row r="191" spans="7:7">
      <c r="G191" s="213"/>
    </row>
    <row r="192" spans="7:7">
      <c r="G192" s="213"/>
    </row>
    <row r="193" spans="3:7">
      <c r="G193" s="213"/>
    </row>
    <row r="194" spans="3:7">
      <c r="C194" s="211"/>
      <c r="D194" s="213"/>
      <c r="E194" s="218"/>
      <c r="F194" s="223"/>
      <c r="G194" s="213"/>
    </row>
    <row r="195" spans="3:7">
      <c r="G195" s="213"/>
    </row>
    <row r="196" spans="3:7">
      <c r="G196" s="213"/>
    </row>
    <row r="197" spans="3:7">
      <c r="G197" s="213"/>
    </row>
    <row r="198" spans="3:7">
      <c r="G198" s="213"/>
    </row>
    <row r="199" spans="3:7">
      <c r="G199" s="213"/>
    </row>
    <row r="200" spans="3:7">
      <c r="G200" s="213"/>
    </row>
    <row r="201" spans="3:7">
      <c r="G201" s="213"/>
    </row>
    <row r="202" spans="3:7">
      <c r="G202" s="213"/>
    </row>
    <row r="203" spans="3:7">
      <c r="G203" s="213"/>
    </row>
    <row r="204" spans="3:7">
      <c r="G204" s="213"/>
    </row>
    <row r="205" spans="3:7">
      <c r="G205" s="213"/>
    </row>
  </sheetData>
  <customSheetViews>
    <customSheetView guid="{B246B4D3-41B8-4237-8166-9970D120FD6A}" showPageBreaks="1" showGridLines="0" state="hidden" view="pageLayout" topLeftCell="A79">
      <selection activeCell="I13" sqref="I13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1"/>
      <headerFooter alignWithMargins="0"/>
    </customSheetView>
    <customSheetView guid="{E8A818AD-FA16-40A1-9379-4072C183431C}" showPageBreaks="1" showGridLines="0" state="hidden" view="pageLayout" topLeftCell="A79">
      <selection activeCell="I13" sqref="I13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2"/>
      <headerFooter alignWithMargins="0"/>
    </customSheetView>
  </customSheetViews>
  <mergeCells count="10">
    <mergeCell ref="C66:G66"/>
    <mergeCell ref="C67:G67"/>
    <mergeCell ref="C68:G68"/>
    <mergeCell ref="C8:H8"/>
    <mergeCell ref="C48:G48"/>
    <mergeCell ref="C49:G49"/>
    <mergeCell ref="C50:G50"/>
    <mergeCell ref="C54:G54"/>
    <mergeCell ref="C46:G46"/>
    <mergeCell ref="C47:G47"/>
  </mergeCells>
  <printOptions horizontalCentered="1" verticalCentered="1"/>
  <pageMargins left="0.11811023622047245" right="0.11811023622047245" top="0.39370078740157483" bottom="0.15748031496062992" header="0.31496062992125984" footer="0.31496062992125984"/>
  <pageSetup orientation="portrait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P464"/>
  <sheetViews>
    <sheetView showGridLines="0" view="pageLayout" zoomScaleNormal="80" zoomScaleSheetLayoutView="70" workbookViewId="0">
      <selection activeCell="K271" sqref="K271:L271"/>
    </sheetView>
  </sheetViews>
  <sheetFormatPr baseColWidth="10" defaultColWidth="11.28515625" defaultRowHeight="13.5"/>
  <cols>
    <col min="1" max="2" width="1.7109375" style="88" customWidth="1"/>
    <col min="3" max="3" width="7" style="88" customWidth="1"/>
    <col min="4" max="4" width="9.7109375" style="88" customWidth="1"/>
    <col min="5" max="11" width="6.28515625" style="88" customWidth="1"/>
    <col min="12" max="12" width="9.7109375" style="88" customWidth="1"/>
    <col min="13" max="14" width="6.28515625" style="88" customWidth="1"/>
    <col min="15" max="15" width="12.7109375" style="88" customWidth="1"/>
    <col min="16" max="16" width="1.7109375" style="89" customWidth="1"/>
    <col min="17" max="17" width="1.7109375" style="88" customWidth="1"/>
    <col min="18" max="16384" width="11.28515625" style="88"/>
  </cols>
  <sheetData>
    <row r="1" spans="2:16" ht="14.25" thickBot="1"/>
    <row r="2" spans="2:16" ht="6.2" customHeight="1" thickTop="1"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2:16">
      <c r="B3" s="93"/>
      <c r="C3" s="94" t="s">
        <v>24</v>
      </c>
      <c r="D3" s="95" t="s">
        <v>25</v>
      </c>
      <c r="E3" s="94" t="s">
        <v>26</v>
      </c>
      <c r="F3" s="95">
        <v>2</v>
      </c>
      <c r="G3" s="96"/>
      <c r="H3" s="174" t="s">
        <v>74</v>
      </c>
      <c r="I3" s="96"/>
      <c r="J3" s="96"/>
      <c r="K3" s="96"/>
      <c r="L3" s="96"/>
      <c r="M3" s="96"/>
      <c r="N3" s="96"/>
      <c r="O3" s="96"/>
      <c r="P3" s="97"/>
    </row>
    <row r="4" spans="2:16" ht="6.2" customHeight="1" thickBot="1">
      <c r="B4" s="93"/>
      <c r="C4" s="98"/>
      <c r="D4" s="99"/>
      <c r="E4" s="100"/>
      <c r="F4" s="99"/>
      <c r="G4" s="101"/>
      <c r="H4" s="101"/>
      <c r="I4" s="101"/>
      <c r="J4" s="101"/>
      <c r="K4" s="101"/>
      <c r="L4" s="101"/>
      <c r="M4" s="101"/>
      <c r="N4" s="101"/>
      <c r="O4" s="101"/>
      <c r="P4" s="97"/>
    </row>
    <row r="5" spans="2:16" ht="13.5" customHeight="1">
      <c r="B5" s="93"/>
      <c r="C5" s="352"/>
      <c r="D5" s="526"/>
      <c r="E5" s="527"/>
      <c r="F5" s="527"/>
      <c r="G5" s="527"/>
      <c r="H5" s="527"/>
      <c r="I5" s="527"/>
      <c r="J5" s="527"/>
      <c r="K5" s="528"/>
      <c r="L5" s="59" t="s">
        <v>27</v>
      </c>
      <c r="M5" s="102"/>
      <c r="N5" s="103"/>
      <c r="O5" s="104"/>
      <c r="P5" s="23"/>
    </row>
    <row r="6" spans="2:16" ht="12.75" customHeight="1">
      <c r="B6" s="93"/>
      <c r="C6" s="352"/>
      <c r="D6" s="529" t="s">
        <v>30</v>
      </c>
      <c r="E6" s="530"/>
      <c r="F6" s="530"/>
      <c r="G6" s="530"/>
      <c r="H6" s="530"/>
      <c r="I6" s="530"/>
      <c r="J6" s="530"/>
      <c r="K6" s="531"/>
      <c r="L6" s="58" t="s">
        <v>28</v>
      </c>
      <c r="M6" s="58">
        <v>1</v>
      </c>
      <c r="N6" s="57" t="s">
        <v>29</v>
      </c>
      <c r="O6" s="60">
        <v>1</v>
      </c>
      <c r="P6" s="23"/>
    </row>
    <row r="7" spans="2:16" ht="6.2" customHeight="1" thickBot="1">
      <c r="B7" s="93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25"/>
    </row>
    <row r="8" spans="2:16">
      <c r="B8" s="93"/>
      <c r="C8" s="109"/>
      <c r="D8" s="110"/>
      <c r="E8" s="110"/>
      <c r="F8" s="110"/>
      <c r="G8" s="110"/>
      <c r="H8" s="110"/>
      <c r="I8" s="110"/>
      <c r="J8" s="110"/>
      <c r="K8" s="110"/>
      <c r="L8" s="54" t="s">
        <v>31</v>
      </c>
      <c r="M8" s="55" t="s">
        <v>32</v>
      </c>
      <c r="N8" s="55" t="s">
        <v>33</v>
      </c>
      <c r="O8" s="56" t="s">
        <v>34</v>
      </c>
      <c r="P8" s="24"/>
    </row>
    <row r="9" spans="2:16" ht="14.25" thickBot="1">
      <c r="B9" s="93"/>
      <c r="C9" s="74" t="s">
        <v>196</v>
      </c>
      <c r="D9" s="111"/>
      <c r="E9" s="111"/>
      <c r="F9" s="111"/>
      <c r="G9" s="111"/>
      <c r="H9" s="111"/>
      <c r="I9" s="111"/>
      <c r="J9" s="111"/>
      <c r="K9" s="111"/>
      <c r="L9" s="112"/>
      <c r="M9" s="113"/>
      <c r="N9" s="113"/>
      <c r="O9" s="114"/>
      <c r="P9" s="26"/>
    </row>
    <row r="10" spans="2:16" ht="14.25" thickBot="1">
      <c r="B10" s="93"/>
      <c r="C10" s="532" t="s">
        <v>35</v>
      </c>
      <c r="D10" s="533"/>
      <c r="E10" s="533"/>
      <c r="F10" s="533"/>
      <c r="G10" s="533"/>
      <c r="H10" s="533"/>
      <c r="I10" s="533"/>
      <c r="J10" s="533"/>
      <c r="K10" s="533"/>
      <c r="L10" s="533"/>
      <c r="M10" s="533"/>
      <c r="N10" s="533"/>
      <c r="O10" s="534"/>
      <c r="P10" s="115"/>
    </row>
    <row r="11" spans="2:16">
      <c r="B11" s="93"/>
      <c r="C11" s="66" t="s">
        <v>36</v>
      </c>
      <c r="D11" s="535" t="s">
        <v>3</v>
      </c>
      <c r="E11" s="536"/>
      <c r="F11" s="536"/>
      <c r="G11" s="536"/>
      <c r="H11" s="536"/>
      <c r="I11" s="536"/>
      <c r="J11" s="536"/>
      <c r="K11" s="536"/>
      <c r="L11" s="537"/>
      <c r="M11" s="538" t="s">
        <v>37</v>
      </c>
      <c r="N11" s="539"/>
      <c r="O11" s="66" t="s">
        <v>4</v>
      </c>
      <c r="P11" s="116"/>
    </row>
    <row r="12" spans="2:16" ht="14.25" thickBot="1">
      <c r="B12" s="93"/>
      <c r="C12" s="117" t="s">
        <v>180</v>
      </c>
      <c r="D12" s="515" t="s">
        <v>181</v>
      </c>
      <c r="E12" s="516"/>
      <c r="F12" s="516"/>
      <c r="G12" s="516"/>
      <c r="H12" s="516"/>
      <c r="I12" s="516"/>
      <c r="J12" s="516"/>
      <c r="K12" s="516"/>
      <c r="L12" s="517"/>
      <c r="M12" s="515" t="s">
        <v>182</v>
      </c>
      <c r="N12" s="517"/>
      <c r="O12" s="118"/>
      <c r="P12" s="119"/>
    </row>
    <row r="13" spans="2:16" ht="13.5" customHeight="1" thickBot="1">
      <c r="B13" s="93"/>
      <c r="C13" s="74" t="s">
        <v>38</v>
      </c>
      <c r="D13" s="75"/>
      <c r="E13" s="75"/>
      <c r="F13" s="75"/>
      <c r="G13" s="75"/>
      <c r="H13" s="75"/>
      <c r="I13" s="75"/>
      <c r="J13" s="78"/>
      <c r="K13" s="78"/>
      <c r="L13" s="75"/>
      <c r="M13" s="75"/>
      <c r="N13" s="75"/>
      <c r="O13" s="76"/>
      <c r="P13" s="121"/>
    </row>
    <row r="14" spans="2:16">
      <c r="B14" s="93"/>
      <c r="C14" s="498" t="s">
        <v>3</v>
      </c>
      <c r="D14" s="513"/>
      <c r="E14" s="513"/>
      <c r="F14" s="513"/>
      <c r="G14" s="514"/>
      <c r="H14" s="510" t="s">
        <v>39</v>
      </c>
      <c r="I14" s="513"/>
      <c r="J14" s="522" t="s">
        <v>40</v>
      </c>
      <c r="K14" s="523"/>
      <c r="L14" s="61" t="s">
        <v>51</v>
      </c>
      <c r="M14" s="510" t="s">
        <v>42</v>
      </c>
      <c r="N14" s="511"/>
      <c r="O14" s="62" t="s">
        <v>43</v>
      </c>
      <c r="P14" s="122"/>
    </row>
    <row r="15" spans="2:16">
      <c r="B15" s="93"/>
      <c r="C15" s="502" t="s">
        <v>81</v>
      </c>
      <c r="D15" s="503"/>
      <c r="E15" s="503"/>
      <c r="F15" s="503"/>
      <c r="G15" s="524"/>
      <c r="H15" s="525"/>
      <c r="I15" s="524"/>
      <c r="J15" s="525"/>
      <c r="K15" s="524"/>
      <c r="L15" s="123">
        <v>0.05</v>
      </c>
      <c r="M15" s="520"/>
      <c r="N15" s="521"/>
      <c r="O15" s="124">
        <f>L15*O42</f>
        <v>1960.0723496034248</v>
      </c>
      <c r="P15" s="125"/>
    </row>
    <row r="16" spans="2:16">
      <c r="B16" s="93"/>
      <c r="C16" s="162" t="s">
        <v>191</v>
      </c>
      <c r="D16" s="163"/>
      <c r="E16" s="163"/>
      <c r="F16" s="163"/>
      <c r="G16" s="164"/>
      <c r="H16" s="171"/>
      <c r="I16" s="164"/>
      <c r="J16" s="171"/>
      <c r="K16" s="164"/>
      <c r="L16" s="123">
        <v>92800</v>
      </c>
      <c r="M16" s="520">
        <f>0.125</f>
        <v>0.125</v>
      </c>
      <c r="N16" s="521"/>
      <c r="O16" s="124">
        <f>L16*M16</f>
        <v>11600</v>
      </c>
      <c r="P16" s="125"/>
    </row>
    <row r="17" spans="2:16">
      <c r="B17" s="93"/>
      <c r="C17" s="162"/>
      <c r="D17" s="163"/>
      <c r="E17" s="163"/>
      <c r="F17" s="163"/>
      <c r="G17" s="164"/>
      <c r="H17" s="171"/>
      <c r="I17" s="164"/>
      <c r="J17" s="171"/>
      <c r="K17" s="164"/>
      <c r="L17" s="123"/>
      <c r="M17" s="172"/>
      <c r="N17" s="173"/>
      <c r="O17" s="124"/>
      <c r="P17" s="125"/>
    </row>
    <row r="18" spans="2:16">
      <c r="B18" s="93"/>
      <c r="C18" s="70"/>
      <c r="D18" s="71"/>
      <c r="E18" s="71"/>
      <c r="F18" s="71"/>
      <c r="G18" s="126"/>
      <c r="H18" s="127"/>
      <c r="I18" s="126"/>
      <c r="J18" s="127"/>
      <c r="K18" s="126"/>
      <c r="L18" s="123"/>
      <c r="M18" s="520"/>
      <c r="N18" s="521"/>
      <c r="O18" s="124"/>
      <c r="P18" s="125"/>
    </row>
    <row r="19" spans="2:16" ht="14.25" thickBot="1">
      <c r="B19" s="93"/>
      <c r="C19" s="492"/>
      <c r="D19" s="493"/>
      <c r="E19" s="493"/>
      <c r="F19" s="493"/>
      <c r="G19" s="509"/>
      <c r="H19" s="512"/>
      <c r="I19" s="509"/>
      <c r="J19" s="512"/>
      <c r="K19" s="509"/>
      <c r="L19" s="128"/>
      <c r="M19" s="518"/>
      <c r="N19" s="519"/>
      <c r="O19" s="124"/>
      <c r="P19" s="125"/>
    </row>
    <row r="20" spans="2:16" ht="14.25" thickBot="1">
      <c r="B20" s="93"/>
      <c r="C20" s="474" t="s">
        <v>44</v>
      </c>
      <c r="D20" s="475"/>
      <c r="E20" s="475"/>
      <c r="F20" s="475"/>
      <c r="G20" s="475"/>
      <c r="H20" s="475"/>
      <c r="I20" s="475"/>
      <c r="J20" s="475"/>
      <c r="K20" s="475"/>
      <c r="L20" s="475"/>
      <c r="M20" s="475"/>
      <c r="N20" s="476"/>
      <c r="O20" s="129">
        <f>SUM(O15:O19)</f>
        <v>13560.072349603424</v>
      </c>
      <c r="P20" s="130"/>
    </row>
    <row r="21" spans="2:16" ht="13.5" customHeight="1" thickBot="1">
      <c r="B21" s="93"/>
      <c r="C21" s="77" t="s">
        <v>45</v>
      </c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9"/>
      <c r="P21" s="121"/>
    </row>
    <row r="22" spans="2:16">
      <c r="B22" s="93"/>
      <c r="C22" s="498" t="s">
        <v>3</v>
      </c>
      <c r="D22" s="499"/>
      <c r="E22" s="499"/>
      <c r="F22" s="499"/>
      <c r="G22" s="499"/>
      <c r="H22" s="499"/>
      <c r="I22" s="499"/>
      <c r="J22" s="511"/>
      <c r="K22" s="63" t="s">
        <v>37</v>
      </c>
      <c r="L22" s="61" t="s">
        <v>4</v>
      </c>
      <c r="M22" s="510" t="s">
        <v>46</v>
      </c>
      <c r="N22" s="511"/>
      <c r="O22" s="62" t="s">
        <v>43</v>
      </c>
      <c r="P22" s="122"/>
    </row>
    <row r="23" spans="2:16">
      <c r="B23" s="93"/>
      <c r="C23" s="358" t="s">
        <v>183</v>
      </c>
      <c r="D23" s="359"/>
      <c r="E23" s="359"/>
      <c r="F23" s="359"/>
      <c r="G23" s="359"/>
      <c r="H23" s="359"/>
      <c r="I23" s="359"/>
      <c r="J23" s="360"/>
      <c r="K23" s="131" t="s">
        <v>79</v>
      </c>
      <c r="L23" s="132">
        <v>450</v>
      </c>
      <c r="M23" s="507">
        <v>600</v>
      </c>
      <c r="N23" s="508"/>
      <c r="O23" s="124">
        <f>L23*M23</f>
        <v>270000</v>
      </c>
      <c r="P23" s="125"/>
    </row>
    <row r="24" spans="2:16">
      <c r="B24" s="93"/>
      <c r="C24" s="162" t="s">
        <v>184</v>
      </c>
      <c r="D24" s="163"/>
      <c r="E24" s="163"/>
      <c r="F24" s="163"/>
      <c r="G24" s="163"/>
      <c r="H24" s="163"/>
      <c r="I24" s="163"/>
      <c r="J24" s="164"/>
      <c r="K24" s="165" t="s">
        <v>79</v>
      </c>
      <c r="L24" s="186">
        <v>0.7</v>
      </c>
      <c r="M24" s="507">
        <v>98175</v>
      </c>
      <c r="N24" s="508"/>
      <c r="O24" s="124">
        <f t="shared" ref="O24:O28" si="0">L24*M24</f>
        <v>68722.5</v>
      </c>
      <c r="P24" s="125"/>
    </row>
    <row r="25" spans="2:16">
      <c r="B25" s="93"/>
      <c r="C25" s="162" t="s">
        <v>185</v>
      </c>
      <c r="D25" s="163"/>
      <c r="E25" s="163"/>
      <c r="F25" s="163"/>
      <c r="G25" s="163"/>
      <c r="H25" s="163"/>
      <c r="I25" s="163"/>
      <c r="J25" s="164"/>
      <c r="K25" s="165" t="s">
        <v>176</v>
      </c>
      <c r="L25" s="166">
        <v>0.7</v>
      </c>
      <c r="M25" s="507">
        <v>40320</v>
      </c>
      <c r="N25" s="508"/>
      <c r="O25" s="124">
        <f t="shared" si="0"/>
        <v>28224</v>
      </c>
      <c r="P25" s="125"/>
    </row>
    <row r="26" spans="2:16">
      <c r="B26" s="93"/>
      <c r="C26" s="162" t="s">
        <v>186</v>
      </c>
      <c r="D26" s="163"/>
      <c r="E26" s="163"/>
      <c r="F26" s="163"/>
      <c r="G26" s="163"/>
      <c r="H26" s="163"/>
      <c r="I26" s="163"/>
      <c r="J26" s="164"/>
      <c r="K26" s="165" t="s">
        <v>190</v>
      </c>
      <c r="L26" s="166">
        <v>220</v>
      </c>
      <c r="M26" s="507">
        <v>69</v>
      </c>
      <c r="N26" s="508"/>
      <c r="O26" s="124">
        <f t="shared" si="0"/>
        <v>15180</v>
      </c>
      <c r="P26" s="125"/>
    </row>
    <row r="27" spans="2:16">
      <c r="B27" s="93"/>
      <c r="C27" s="162" t="s">
        <v>187</v>
      </c>
      <c r="D27" s="163"/>
      <c r="E27" s="163"/>
      <c r="F27" s="163"/>
      <c r="G27" s="163"/>
      <c r="H27" s="163"/>
      <c r="I27" s="163"/>
      <c r="J27" s="164"/>
      <c r="K27" s="165" t="s">
        <v>189</v>
      </c>
      <c r="L27" s="166">
        <v>1.35</v>
      </c>
      <c r="M27" s="507">
        <v>17595.599999999999</v>
      </c>
      <c r="N27" s="508"/>
      <c r="O27" s="124">
        <f t="shared" si="0"/>
        <v>23754.06</v>
      </c>
      <c r="P27" s="125"/>
    </row>
    <row r="28" spans="2:16">
      <c r="B28" s="93"/>
      <c r="C28" s="162" t="s">
        <v>188</v>
      </c>
      <c r="D28" s="163"/>
      <c r="E28" s="163"/>
      <c r="F28" s="163"/>
      <c r="G28" s="163"/>
      <c r="H28" s="163"/>
      <c r="I28" s="163"/>
      <c r="J28" s="164"/>
      <c r="K28" s="165" t="s">
        <v>189</v>
      </c>
      <c r="L28" s="166">
        <v>1.35</v>
      </c>
      <c r="M28" s="507">
        <v>19719</v>
      </c>
      <c r="N28" s="508"/>
      <c r="O28" s="124">
        <f t="shared" si="0"/>
        <v>26620.65</v>
      </c>
      <c r="P28" s="125"/>
    </row>
    <row r="29" spans="2:16">
      <c r="B29" s="93"/>
      <c r="C29" s="162"/>
      <c r="D29" s="163"/>
      <c r="E29" s="163"/>
      <c r="F29" s="163"/>
      <c r="G29" s="163"/>
      <c r="H29" s="163"/>
      <c r="I29" s="163"/>
      <c r="J29" s="164"/>
      <c r="K29" s="165"/>
      <c r="L29" s="166"/>
      <c r="M29" s="167"/>
      <c r="N29" s="168"/>
      <c r="O29" s="169"/>
      <c r="P29" s="125"/>
    </row>
    <row r="30" spans="2:16" ht="14.25" thickBot="1">
      <c r="B30" s="93"/>
      <c r="C30" s="492" t="s">
        <v>80</v>
      </c>
      <c r="D30" s="493"/>
      <c r="E30" s="493"/>
      <c r="F30" s="493"/>
      <c r="G30" s="493"/>
      <c r="H30" s="493"/>
      <c r="I30" s="493"/>
      <c r="J30" s="509"/>
      <c r="K30" s="71"/>
      <c r="L30" s="187">
        <v>0.05</v>
      </c>
      <c r="M30" s="497"/>
      <c r="N30" s="496"/>
      <c r="O30" s="133">
        <f>SUM(O23:O29)*L30</f>
        <v>21625.060500000003</v>
      </c>
      <c r="P30" s="125"/>
    </row>
    <row r="31" spans="2:16" ht="14.25" thickBot="1">
      <c r="B31" s="93"/>
      <c r="C31" s="474" t="s">
        <v>44</v>
      </c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6"/>
      <c r="O31" s="134">
        <f>SUM(O23:O30)</f>
        <v>454126.27050000004</v>
      </c>
      <c r="P31" s="125"/>
    </row>
    <row r="32" spans="2:16" ht="13.5" customHeight="1" thickBot="1">
      <c r="B32" s="93"/>
      <c r="C32" s="77" t="s">
        <v>47</v>
      </c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9"/>
      <c r="P32" s="121"/>
    </row>
    <row r="33" spans="2:16" ht="14.25">
      <c r="B33" s="93"/>
      <c r="C33" s="498" t="s">
        <v>48</v>
      </c>
      <c r="D33" s="499"/>
      <c r="E33" s="499"/>
      <c r="F33" s="499"/>
      <c r="G33" s="499"/>
      <c r="H33" s="499"/>
      <c r="I33" s="499"/>
      <c r="J33" s="161" t="s">
        <v>49</v>
      </c>
      <c r="K33" s="160" t="s">
        <v>50</v>
      </c>
      <c r="L33" s="65" t="s">
        <v>76</v>
      </c>
      <c r="M33" s="510" t="s">
        <v>51</v>
      </c>
      <c r="N33" s="511"/>
      <c r="O33" s="62" t="s">
        <v>43</v>
      </c>
      <c r="P33" s="122"/>
    </row>
    <row r="34" spans="2:16">
      <c r="B34" s="93"/>
      <c r="C34" s="502" t="s">
        <v>192</v>
      </c>
      <c r="D34" s="503"/>
      <c r="E34" s="503"/>
      <c r="F34" s="503"/>
      <c r="G34" s="503"/>
      <c r="H34" s="503"/>
      <c r="I34" s="503"/>
      <c r="J34" s="135">
        <f>+L24</f>
        <v>0.7</v>
      </c>
      <c r="K34" s="136">
        <v>26.5</v>
      </c>
      <c r="L34" s="135">
        <f>J34*K34</f>
        <v>18.549999999999997</v>
      </c>
      <c r="M34" s="507">
        <v>1200</v>
      </c>
      <c r="N34" s="508"/>
      <c r="O34" s="124">
        <f>L34*M34</f>
        <v>22259.999999999996</v>
      </c>
      <c r="P34" s="125"/>
    </row>
    <row r="35" spans="2:16" ht="14.25" thickBot="1">
      <c r="B35" s="93"/>
      <c r="C35" s="492" t="s">
        <v>193</v>
      </c>
      <c r="D35" s="493"/>
      <c r="E35" s="493"/>
      <c r="F35" s="493"/>
      <c r="G35" s="493"/>
      <c r="H35" s="493"/>
      <c r="I35" s="493"/>
      <c r="J35" s="361">
        <f>+L25</f>
        <v>0.7</v>
      </c>
      <c r="K35" s="242">
        <v>26.5</v>
      </c>
      <c r="L35" s="243">
        <f>J35*K35</f>
        <v>18.549999999999997</v>
      </c>
      <c r="M35" s="507">
        <v>1200</v>
      </c>
      <c r="N35" s="508"/>
      <c r="O35" s="124">
        <f>L35*M35</f>
        <v>22259.999999999996</v>
      </c>
      <c r="P35" s="125"/>
    </row>
    <row r="36" spans="2:16" ht="14.25" thickBot="1">
      <c r="B36" s="93"/>
      <c r="C36" s="474" t="s">
        <v>44</v>
      </c>
      <c r="D36" s="475"/>
      <c r="E36" s="475"/>
      <c r="F36" s="475"/>
      <c r="G36" s="475"/>
      <c r="H36" s="475"/>
      <c r="I36" s="475"/>
      <c r="J36" s="475"/>
      <c r="K36" s="475"/>
      <c r="L36" s="475"/>
      <c r="M36" s="475"/>
      <c r="N36" s="476"/>
      <c r="O36" s="129">
        <f>SUM(O34:O35)</f>
        <v>44519.999999999993</v>
      </c>
      <c r="P36" s="130"/>
    </row>
    <row r="37" spans="2:16" ht="13.5" customHeight="1" thickBot="1">
      <c r="B37" s="93"/>
      <c r="C37" s="77" t="s">
        <v>52</v>
      </c>
      <c r="D37" s="78"/>
      <c r="E37" s="78"/>
      <c r="F37" s="78"/>
      <c r="G37" s="78"/>
      <c r="H37" s="78"/>
      <c r="I37" s="78"/>
      <c r="J37" s="244"/>
      <c r="K37" s="78"/>
      <c r="L37" s="78"/>
      <c r="M37" s="78"/>
      <c r="N37" s="78"/>
      <c r="O37" s="79"/>
      <c r="P37" s="121"/>
    </row>
    <row r="38" spans="2:16">
      <c r="B38" s="93"/>
      <c r="C38" s="498" t="s">
        <v>53</v>
      </c>
      <c r="D38" s="499"/>
      <c r="E38" s="499"/>
      <c r="F38" s="499"/>
      <c r="G38" s="499"/>
      <c r="H38" s="499"/>
      <c r="I38" s="499"/>
      <c r="J38" s="246"/>
      <c r="K38" s="506" t="s">
        <v>169</v>
      </c>
      <c r="L38" s="501"/>
      <c r="M38" s="500" t="s">
        <v>42</v>
      </c>
      <c r="N38" s="501"/>
      <c r="O38" s="68" t="s">
        <v>43</v>
      </c>
      <c r="P38" s="139"/>
    </row>
    <row r="39" spans="2:16">
      <c r="B39" s="93"/>
      <c r="C39" s="140" t="str">
        <f>+'MO2021'!C72</f>
        <v xml:space="preserve">CUADRILLA "AA" (Albañileria) </v>
      </c>
      <c r="D39" s="141"/>
      <c r="E39" s="141"/>
      <c r="F39" s="141"/>
      <c r="G39" s="141"/>
      <c r="H39" s="141"/>
      <c r="I39" s="141"/>
      <c r="J39" s="247"/>
      <c r="K39" s="484">
        <f>+'MO2021'!F82</f>
        <v>26134.297994712331</v>
      </c>
      <c r="L39" s="485"/>
      <c r="M39" s="486">
        <v>1.5</v>
      </c>
      <c r="N39" s="487"/>
      <c r="O39" s="142">
        <f>K39*M39</f>
        <v>39201.446992068493</v>
      </c>
      <c r="P39" s="143"/>
    </row>
    <row r="40" spans="2:16">
      <c r="B40" s="93"/>
      <c r="C40" s="140"/>
      <c r="D40" s="141"/>
      <c r="E40" s="141"/>
      <c r="F40" s="141"/>
      <c r="G40" s="141"/>
      <c r="H40" s="141"/>
      <c r="I40" s="141"/>
      <c r="J40" s="247"/>
      <c r="K40" s="488"/>
      <c r="L40" s="489"/>
      <c r="M40" s="490"/>
      <c r="N40" s="491"/>
      <c r="O40" s="142"/>
      <c r="P40" s="143"/>
    </row>
    <row r="41" spans="2:16" ht="14.25" thickBot="1">
      <c r="B41" s="93"/>
      <c r="C41" s="492"/>
      <c r="D41" s="493"/>
      <c r="E41" s="493"/>
      <c r="F41" s="493"/>
      <c r="G41" s="493"/>
      <c r="H41" s="493"/>
      <c r="I41" s="494"/>
      <c r="J41" s="245"/>
      <c r="K41" s="495"/>
      <c r="L41" s="496"/>
      <c r="M41" s="497"/>
      <c r="N41" s="496"/>
      <c r="O41" s="138"/>
      <c r="P41" s="125"/>
    </row>
    <row r="42" spans="2:16" ht="14.25" thickBot="1">
      <c r="B42" s="93"/>
      <c r="C42" s="504" t="s">
        <v>44</v>
      </c>
      <c r="D42" s="505"/>
      <c r="E42" s="505"/>
      <c r="F42" s="505"/>
      <c r="G42" s="505"/>
      <c r="H42" s="505"/>
      <c r="I42" s="505"/>
      <c r="J42" s="505"/>
      <c r="K42" s="475"/>
      <c r="L42" s="475"/>
      <c r="M42" s="475"/>
      <c r="N42" s="476"/>
      <c r="O42" s="134">
        <f>SUM(O39:O41)</f>
        <v>39201.446992068493</v>
      </c>
      <c r="P42" s="125"/>
    </row>
    <row r="43" spans="2:16" ht="14.25" thickBot="1">
      <c r="B43" s="93"/>
      <c r="C43" s="80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2"/>
      <c r="P43" s="97"/>
    </row>
    <row r="44" spans="2:16" ht="14.25" thickBot="1">
      <c r="B44" s="93"/>
      <c r="C44" s="477" t="s">
        <v>54</v>
      </c>
      <c r="D44" s="478"/>
      <c r="E44" s="478"/>
      <c r="F44" s="478"/>
      <c r="G44" s="478"/>
      <c r="H44" s="478"/>
      <c r="I44" s="478"/>
      <c r="J44" s="478"/>
      <c r="K44" s="478"/>
      <c r="L44" s="478"/>
      <c r="M44" s="478"/>
      <c r="N44" s="479"/>
      <c r="O44" s="144">
        <f>+O20+O31+O36+O42</f>
        <v>551407.78984167194</v>
      </c>
      <c r="P44" s="145"/>
    </row>
    <row r="45" spans="2:16" ht="14.25" thickBot="1">
      <c r="B45" s="93"/>
      <c r="C45" s="77" t="s">
        <v>55</v>
      </c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9"/>
      <c r="P45" s="121"/>
    </row>
    <row r="46" spans="2:16" ht="14.1" customHeight="1">
      <c r="B46" s="93"/>
      <c r="C46" s="498" t="s">
        <v>56</v>
      </c>
      <c r="D46" s="499"/>
      <c r="E46" s="499"/>
      <c r="F46" s="499"/>
      <c r="G46" s="499"/>
      <c r="H46" s="499"/>
      <c r="I46" s="499"/>
      <c r="J46" s="64"/>
      <c r="K46" s="69"/>
      <c r="L46" s="67" t="s">
        <v>57</v>
      </c>
      <c r="M46" s="500" t="s">
        <v>58</v>
      </c>
      <c r="N46" s="501"/>
      <c r="O46" s="68"/>
      <c r="P46" s="139"/>
    </row>
    <row r="47" spans="2:16">
      <c r="B47" s="93"/>
      <c r="C47" s="502" t="s">
        <v>59</v>
      </c>
      <c r="D47" s="503"/>
      <c r="E47" s="503"/>
      <c r="F47" s="503"/>
      <c r="G47" s="503"/>
      <c r="H47" s="503"/>
      <c r="I47" s="503"/>
      <c r="J47" s="146"/>
      <c r="K47" s="147"/>
      <c r="L47" s="148">
        <v>0</v>
      </c>
      <c r="M47" s="470">
        <f>O44*L47</f>
        <v>0</v>
      </c>
      <c r="N47" s="471"/>
      <c r="O47" s="149"/>
      <c r="P47" s="150"/>
    </row>
    <row r="48" spans="2:16">
      <c r="B48" s="93"/>
      <c r="C48" s="70" t="s">
        <v>60</v>
      </c>
      <c r="D48" s="71"/>
      <c r="E48" s="71"/>
      <c r="F48" s="71"/>
      <c r="G48" s="71"/>
      <c r="H48" s="71"/>
      <c r="I48" s="71"/>
      <c r="J48" s="146"/>
      <c r="K48" s="147"/>
      <c r="L48" s="148">
        <v>0</v>
      </c>
      <c r="M48" s="470">
        <f>+O44*L48</f>
        <v>0</v>
      </c>
      <c r="N48" s="471"/>
      <c r="O48" s="149"/>
      <c r="P48" s="150"/>
    </row>
    <row r="49" spans="2:16" ht="14.25" thickBot="1">
      <c r="B49" s="93"/>
      <c r="C49" s="72" t="s">
        <v>61</v>
      </c>
      <c r="D49" s="73"/>
      <c r="E49" s="73"/>
      <c r="F49" s="73"/>
      <c r="G49" s="73"/>
      <c r="H49" s="73"/>
      <c r="I49" s="73"/>
      <c r="J49" s="151"/>
      <c r="K49" s="152"/>
      <c r="L49" s="148">
        <v>0</v>
      </c>
      <c r="M49" s="472">
        <f>O44*L49</f>
        <v>0</v>
      </c>
      <c r="N49" s="473"/>
      <c r="O49" s="149"/>
      <c r="P49" s="150"/>
    </row>
    <row r="50" spans="2:16" ht="14.25" thickBot="1">
      <c r="B50" s="93"/>
      <c r="C50" s="474" t="s">
        <v>44</v>
      </c>
      <c r="D50" s="475"/>
      <c r="E50" s="475"/>
      <c r="F50" s="475"/>
      <c r="G50" s="475"/>
      <c r="H50" s="475"/>
      <c r="I50" s="475"/>
      <c r="J50" s="475"/>
      <c r="K50" s="475"/>
      <c r="L50" s="475"/>
      <c r="M50" s="475"/>
      <c r="N50" s="476"/>
      <c r="O50" s="153">
        <f>SUM(M47:N49)</f>
        <v>0</v>
      </c>
      <c r="P50" s="154"/>
    </row>
    <row r="51" spans="2:16" ht="6.2" customHeight="1" thickBot="1">
      <c r="B51" s="93"/>
      <c r="C51" s="80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2"/>
      <c r="P51" s="97"/>
    </row>
    <row r="52" spans="2:16" ht="14.25" thickBot="1">
      <c r="B52" s="93"/>
      <c r="C52" s="477" t="s">
        <v>62</v>
      </c>
      <c r="D52" s="478"/>
      <c r="E52" s="478"/>
      <c r="F52" s="478"/>
      <c r="G52" s="478"/>
      <c r="H52" s="478"/>
      <c r="I52" s="478"/>
      <c r="J52" s="478"/>
      <c r="K52" s="478"/>
      <c r="L52" s="478"/>
      <c r="M52" s="478"/>
      <c r="N52" s="479"/>
      <c r="O52" s="155">
        <f>ROUND(O44+O50,0)</f>
        <v>551408</v>
      </c>
      <c r="P52" s="154"/>
    </row>
    <row r="53" spans="2:16">
      <c r="B53" s="93"/>
      <c r="C53" s="80"/>
      <c r="D53" s="81"/>
      <c r="E53" s="81"/>
      <c r="F53" s="83" t="s">
        <v>63</v>
      </c>
      <c r="G53" s="81"/>
      <c r="H53" s="81"/>
      <c r="I53" s="81"/>
      <c r="J53" s="81"/>
      <c r="K53" s="81"/>
      <c r="L53" s="81"/>
      <c r="M53" s="81"/>
      <c r="N53" s="81"/>
      <c r="O53" s="82"/>
      <c r="P53" s="97"/>
    </row>
    <row r="54" spans="2:16">
      <c r="B54" s="93"/>
      <c r="C54" s="80"/>
      <c r="D54" s="81"/>
      <c r="E54" s="81"/>
      <c r="F54" s="83" t="s">
        <v>64</v>
      </c>
      <c r="G54" s="81"/>
      <c r="H54" s="81"/>
      <c r="I54" s="81"/>
      <c r="J54" s="81"/>
      <c r="K54" s="81"/>
      <c r="L54" s="81"/>
      <c r="M54" s="81"/>
      <c r="N54" s="81"/>
      <c r="O54" s="82"/>
      <c r="P54" s="97"/>
    </row>
    <row r="55" spans="2:16">
      <c r="B55" s="93"/>
      <c r="C55" s="84"/>
      <c r="D55" s="85"/>
      <c r="E55" s="85"/>
      <c r="F55" s="83" t="s">
        <v>65</v>
      </c>
      <c r="G55" s="85"/>
      <c r="H55" s="81"/>
      <c r="I55" s="85"/>
      <c r="J55" s="85"/>
      <c r="K55" s="85"/>
      <c r="L55" s="85"/>
      <c r="M55" s="85"/>
      <c r="N55" s="85"/>
      <c r="O55" s="86"/>
      <c r="P55" s="27"/>
    </row>
    <row r="56" spans="2:16" ht="18.75" customHeight="1" thickBot="1">
      <c r="B56" s="93"/>
      <c r="C56" s="480"/>
      <c r="D56" s="481"/>
      <c r="E56" s="481"/>
      <c r="F56" s="73" t="s">
        <v>66</v>
      </c>
      <c r="G56" s="87"/>
      <c r="H56" s="87"/>
      <c r="I56" s="87"/>
      <c r="J56" s="87"/>
      <c r="K56" s="482"/>
      <c r="L56" s="482"/>
      <c r="M56" s="482"/>
      <c r="N56" s="482"/>
      <c r="O56" s="483"/>
      <c r="P56" s="156"/>
    </row>
    <row r="57" spans="2:16" ht="10.35" customHeight="1" thickBot="1">
      <c r="B57" s="157"/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9"/>
    </row>
    <row r="58" spans="2:16" ht="10.35" customHeight="1" thickTop="1"/>
    <row r="59" spans="2:16" ht="10.35" customHeight="1" thickBot="1"/>
    <row r="60" spans="2:16" ht="5.85" customHeight="1" thickTop="1">
      <c r="B60" s="90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2"/>
    </row>
    <row r="61" spans="2:16">
      <c r="B61" s="93"/>
      <c r="C61" s="94" t="s">
        <v>24</v>
      </c>
      <c r="D61" s="95" t="s">
        <v>25</v>
      </c>
      <c r="E61" s="94" t="s">
        <v>26</v>
      </c>
      <c r="F61" s="95">
        <v>2</v>
      </c>
      <c r="G61" s="96"/>
      <c r="H61" s="174" t="s">
        <v>74</v>
      </c>
      <c r="I61" s="96"/>
      <c r="J61" s="96"/>
      <c r="K61" s="96"/>
      <c r="L61" s="96"/>
      <c r="M61" s="96"/>
      <c r="N61" s="96"/>
      <c r="O61" s="96"/>
      <c r="P61" s="97"/>
    </row>
    <row r="62" spans="2:16" ht="5.85" customHeight="1" thickBot="1">
      <c r="B62" s="93"/>
      <c r="C62" s="98"/>
      <c r="D62" s="99"/>
      <c r="E62" s="100"/>
      <c r="F62" s="99"/>
      <c r="G62" s="101"/>
      <c r="H62" s="101"/>
      <c r="I62" s="101"/>
      <c r="J62" s="101"/>
      <c r="K62" s="101"/>
      <c r="L62" s="101"/>
      <c r="M62" s="101"/>
      <c r="N62" s="101"/>
      <c r="O62" s="101"/>
      <c r="P62" s="97"/>
    </row>
    <row r="63" spans="2:16">
      <c r="B63" s="93"/>
      <c r="C63" s="352"/>
      <c r="D63" s="526"/>
      <c r="E63" s="527"/>
      <c r="F63" s="527"/>
      <c r="G63" s="527"/>
      <c r="H63" s="527"/>
      <c r="I63" s="527"/>
      <c r="J63" s="527"/>
      <c r="K63" s="528"/>
      <c r="L63" s="59" t="s">
        <v>27</v>
      </c>
      <c r="M63" s="102"/>
      <c r="N63" s="103"/>
      <c r="O63" s="104"/>
      <c r="P63" s="23"/>
    </row>
    <row r="64" spans="2:16">
      <c r="B64" s="93"/>
      <c r="C64" s="352"/>
      <c r="D64" s="529" t="s">
        <v>30</v>
      </c>
      <c r="E64" s="530"/>
      <c r="F64" s="530"/>
      <c r="G64" s="530"/>
      <c r="H64" s="530"/>
      <c r="I64" s="530"/>
      <c r="J64" s="530"/>
      <c r="K64" s="531"/>
      <c r="L64" s="58" t="s">
        <v>28</v>
      </c>
      <c r="M64" s="58">
        <v>1</v>
      </c>
      <c r="N64" s="57" t="s">
        <v>29</v>
      </c>
      <c r="O64" s="60">
        <v>1</v>
      </c>
      <c r="P64" s="23"/>
    </row>
    <row r="65" spans="2:16" ht="5.85" customHeight="1" thickBot="1">
      <c r="B65" s="93"/>
      <c r="C65" s="105"/>
      <c r="D65" s="106"/>
      <c r="E65" s="106"/>
      <c r="F65" s="106"/>
      <c r="G65" s="106"/>
      <c r="H65" s="106"/>
      <c r="I65" s="106"/>
      <c r="J65" s="106"/>
      <c r="K65" s="106"/>
      <c r="L65" s="106"/>
      <c r="M65" s="107"/>
      <c r="N65" s="107"/>
      <c r="O65" s="108"/>
      <c r="P65" s="25"/>
    </row>
    <row r="66" spans="2:16">
      <c r="B66" s="93"/>
      <c r="C66" s="109"/>
      <c r="D66" s="110"/>
      <c r="E66" s="110"/>
      <c r="F66" s="110"/>
      <c r="G66" s="110"/>
      <c r="H66" s="110"/>
      <c r="I66" s="110"/>
      <c r="J66" s="110"/>
      <c r="K66" s="110"/>
      <c r="L66" s="54" t="s">
        <v>31</v>
      </c>
      <c r="M66" s="55" t="s">
        <v>32</v>
      </c>
      <c r="N66" s="55" t="s">
        <v>33</v>
      </c>
      <c r="O66" s="56" t="s">
        <v>34</v>
      </c>
      <c r="P66" s="24"/>
    </row>
    <row r="67" spans="2:16" ht="14.25" thickBot="1">
      <c r="B67" s="93"/>
      <c r="C67" s="74" t="s">
        <v>196</v>
      </c>
      <c r="D67" s="111"/>
      <c r="E67" s="111"/>
      <c r="F67" s="111"/>
      <c r="G67" s="111"/>
      <c r="H67" s="111"/>
      <c r="I67" s="111"/>
      <c r="J67" s="111"/>
      <c r="K67" s="111"/>
      <c r="L67" s="112"/>
      <c r="M67" s="113"/>
      <c r="N67" s="113"/>
      <c r="O67" s="114"/>
      <c r="P67" s="26"/>
    </row>
    <row r="68" spans="2:16" ht="14.25" thickBot="1">
      <c r="B68" s="93"/>
      <c r="C68" s="532" t="s">
        <v>35</v>
      </c>
      <c r="D68" s="533"/>
      <c r="E68" s="533"/>
      <c r="F68" s="533"/>
      <c r="G68" s="533"/>
      <c r="H68" s="533"/>
      <c r="I68" s="533"/>
      <c r="J68" s="533"/>
      <c r="K68" s="533"/>
      <c r="L68" s="533"/>
      <c r="M68" s="533"/>
      <c r="N68" s="533"/>
      <c r="O68" s="534"/>
      <c r="P68" s="115"/>
    </row>
    <row r="69" spans="2:16" ht="13.5" customHeight="1">
      <c r="B69" s="93"/>
      <c r="C69" s="66" t="s">
        <v>36</v>
      </c>
      <c r="D69" s="535" t="s">
        <v>3</v>
      </c>
      <c r="E69" s="536"/>
      <c r="F69" s="536"/>
      <c r="G69" s="536"/>
      <c r="H69" s="536"/>
      <c r="I69" s="536"/>
      <c r="J69" s="536"/>
      <c r="K69" s="536"/>
      <c r="L69" s="537"/>
      <c r="M69" s="538" t="s">
        <v>37</v>
      </c>
      <c r="N69" s="539"/>
      <c r="O69" s="66" t="s">
        <v>4</v>
      </c>
      <c r="P69" s="116"/>
    </row>
    <row r="70" spans="2:16" ht="14.25" thickBot="1">
      <c r="B70" s="93"/>
      <c r="C70" s="117" t="s">
        <v>194</v>
      </c>
      <c r="D70" s="515" t="s">
        <v>195</v>
      </c>
      <c r="E70" s="516"/>
      <c r="F70" s="516"/>
      <c r="G70" s="516"/>
      <c r="H70" s="516"/>
      <c r="I70" s="516"/>
      <c r="J70" s="516"/>
      <c r="K70" s="516"/>
      <c r="L70" s="517"/>
      <c r="M70" s="515" t="s">
        <v>182</v>
      </c>
      <c r="N70" s="517"/>
      <c r="O70" s="118"/>
      <c r="P70" s="119"/>
    </row>
    <row r="71" spans="2:16" ht="14.25" thickBot="1">
      <c r="B71" s="93"/>
      <c r="C71" s="74" t="s">
        <v>38</v>
      </c>
      <c r="D71" s="75"/>
      <c r="E71" s="75"/>
      <c r="F71" s="75"/>
      <c r="G71" s="75"/>
      <c r="H71" s="75"/>
      <c r="I71" s="75"/>
      <c r="J71" s="78"/>
      <c r="K71" s="78"/>
      <c r="L71" s="75"/>
      <c r="M71" s="75"/>
      <c r="N71" s="75"/>
      <c r="O71" s="76"/>
      <c r="P71" s="121"/>
    </row>
    <row r="72" spans="2:16">
      <c r="B72" s="93"/>
      <c r="C72" s="498" t="s">
        <v>3</v>
      </c>
      <c r="D72" s="513"/>
      <c r="E72" s="513"/>
      <c r="F72" s="513"/>
      <c r="G72" s="514"/>
      <c r="H72" s="510" t="s">
        <v>39</v>
      </c>
      <c r="I72" s="513"/>
      <c r="J72" s="522" t="s">
        <v>40</v>
      </c>
      <c r="K72" s="523"/>
      <c r="L72" s="61" t="s">
        <v>51</v>
      </c>
      <c r="M72" s="510" t="s">
        <v>42</v>
      </c>
      <c r="N72" s="511"/>
      <c r="O72" s="62" t="s">
        <v>43</v>
      </c>
      <c r="P72" s="122"/>
    </row>
    <row r="73" spans="2:16">
      <c r="B73" s="93"/>
      <c r="C73" s="502" t="s">
        <v>81</v>
      </c>
      <c r="D73" s="503"/>
      <c r="E73" s="503"/>
      <c r="F73" s="503"/>
      <c r="G73" s="524"/>
      <c r="H73" s="525"/>
      <c r="I73" s="524"/>
      <c r="J73" s="525"/>
      <c r="K73" s="524"/>
      <c r="L73" s="123">
        <v>0.05</v>
      </c>
      <c r="M73" s="520"/>
      <c r="N73" s="521"/>
      <c r="O73" s="124">
        <f>L73*O100</f>
        <v>1960.0723496034248</v>
      </c>
      <c r="P73" s="125"/>
    </row>
    <row r="74" spans="2:16">
      <c r="B74" s="93"/>
      <c r="C74" s="162" t="s">
        <v>191</v>
      </c>
      <c r="D74" s="163"/>
      <c r="E74" s="163"/>
      <c r="F74" s="163"/>
      <c r="G74" s="164"/>
      <c r="H74" s="171"/>
      <c r="I74" s="164"/>
      <c r="J74" s="171"/>
      <c r="K74" s="164"/>
      <c r="L74" s="123">
        <f>L16</f>
        <v>92800</v>
      </c>
      <c r="M74" s="520">
        <f>0.125</f>
        <v>0.125</v>
      </c>
      <c r="N74" s="521"/>
      <c r="O74" s="124">
        <f>L74*M74</f>
        <v>11600</v>
      </c>
      <c r="P74" s="125"/>
    </row>
    <row r="75" spans="2:16">
      <c r="B75" s="93"/>
      <c r="C75" s="162"/>
      <c r="D75" s="163"/>
      <c r="E75" s="163"/>
      <c r="F75" s="163"/>
      <c r="G75" s="164"/>
      <c r="H75" s="171"/>
      <c r="I75" s="164"/>
      <c r="J75" s="171"/>
      <c r="K75" s="164"/>
      <c r="L75" s="123"/>
      <c r="M75" s="172"/>
      <c r="N75" s="173"/>
      <c r="O75" s="124"/>
      <c r="P75" s="125"/>
    </row>
    <row r="76" spans="2:16">
      <c r="B76" s="93"/>
      <c r="C76" s="70"/>
      <c r="D76" s="71"/>
      <c r="E76" s="71"/>
      <c r="F76" s="71"/>
      <c r="G76" s="126"/>
      <c r="H76" s="127"/>
      <c r="I76" s="126"/>
      <c r="J76" s="127"/>
      <c r="K76" s="126"/>
      <c r="L76" s="123"/>
      <c r="M76" s="520"/>
      <c r="N76" s="521"/>
      <c r="O76" s="124"/>
      <c r="P76" s="125"/>
    </row>
    <row r="77" spans="2:16" ht="14.25" thickBot="1">
      <c r="B77" s="93"/>
      <c r="C77" s="492"/>
      <c r="D77" s="493"/>
      <c r="E77" s="493"/>
      <c r="F77" s="493"/>
      <c r="G77" s="509"/>
      <c r="H77" s="512"/>
      <c r="I77" s="509"/>
      <c r="J77" s="512"/>
      <c r="K77" s="509"/>
      <c r="L77" s="128"/>
      <c r="M77" s="518"/>
      <c r="N77" s="519"/>
      <c r="O77" s="124"/>
      <c r="P77" s="125"/>
    </row>
    <row r="78" spans="2:16" ht="14.25" thickBot="1">
      <c r="B78" s="93"/>
      <c r="C78" s="474" t="s">
        <v>44</v>
      </c>
      <c r="D78" s="475"/>
      <c r="E78" s="475"/>
      <c r="F78" s="475"/>
      <c r="G78" s="475"/>
      <c r="H78" s="475"/>
      <c r="I78" s="475"/>
      <c r="J78" s="475"/>
      <c r="K78" s="475"/>
      <c r="L78" s="475"/>
      <c r="M78" s="475"/>
      <c r="N78" s="476"/>
      <c r="O78" s="129">
        <f>SUM(O73:O77)</f>
        <v>13560.072349603424</v>
      </c>
      <c r="P78" s="130"/>
    </row>
    <row r="79" spans="2:16" ht="14.25" thickBot="1">
      <c r="B79" s="93"/>
      <c r="C79" s="77" t="s">
        <v>45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9"/>
      <c r="P79" s="121"/>
    </row>
    <row r="80" spans="2:16">
      <c r="B80" s="93"/>
      <c r="C80" s="498" t="s">
        <v>3</v>
      </c>
      <c r="D80" s="499"/>
      <c r="E80" s="499"/>
      <c r="F80" s="499"/>
      <c r="G80" s="499"/>
      <c r="H80" s="499"/>
      <c r="I80" s="499"/>
      <c r="J80" s="511"/>
      <c r="K80" s="63" t="s">
        <v>37</v>
      </c>
      <c r="L80" s="61" t="s">
        <v>4</v>
      </c>
      <c r="M80" s="510" t="s">
        <v>46</v>
      </c>
      <c r="N80" s="511"/>
      <c r="O80" s="62" t="s">
        <v>43</v>
      </c>
      <c r="P80" s="122"/>
    </row>
    <row r="81" spans="2:16">
      <c r="B81" s="93"/>
      <c r="C81" s="358" t="s">
        <v>183</v>
      </c>
      <c r="D81" s="359"/>
      <c r="E81" s="359"/>
      <c r="F81" s="359"/>
      <c r="G81" s="359"/>
      <c r="H81" s="359"/>
      <c r="I81" s="359"/>
      <c r="J81" s="360"/>
      <c r="K81" s="131" t="s">
        <v>79</v>
      </c>
      <c r="L81" s="132">
        <v>420</v>
      </c>
      <c r="M81" s="507">
        <f>+M23</f>
        <v>600</v>
      </c>
      <c r="N81" s="508"/>
      <c r="O81" s="124">
        <f>L81*M81</f>
        <v>252000</v>
      </c>
      <c r="P81" s="125"/>
    </row>
    <row r="82" spans="2:16">
      <c r="B82" s="93"/>
      <c r="C82" s="162" t="s">
        <v>184</v>
      </c>
      <c r="D82" s="163"/>
      <c r="E82" s="163"/>
      <c r="F82" s="163"/>
      <c r="G82" s="163"/>
      <c r="H82" s="163"/>
      <c r="I82" s="163"/>
      <c r="J82" s="164"/>
      <c r="K82" s="165" t="s">
        <v>79</v>
      </c>
      <c r="L82" s="186">
        <v>0.67</v>
      </c>
      <c r="M82" s="507">
        <f t="shared" ref="M82:M86" si="1">+M24</f>
        <v>98175</v>
      </c>
      <c r="N82" s="508"/>
      <c r="O82" s="124">
        <f t="shared" ref="O82:O86" si="2">L82*M82</f>
        <v>65777.25</v>
      </c>
      <c r="P82" s="125"/>
    </row>
    <row r="83" spans="2:16">
      <c r="B83" s="93"/>
      <c r="C83" s="162" t="s">
        <v>185</v>
      </c>
      <c r="D83" s="163"/>
      <c r="E83" s="163"/>
      <c r="F83" s="163"/>
      <c r="G83" s="163"/>
      <c r="H83" s="163"/>
      <c r="I83" s="163"/>
      <c r="J83" s="164"/>
      <c r="K83" s="165" t="s">
        <v>176</v>
      </c>
      <c r="L83" s="166">
        <v>0.67</v>
      </c>
      <c r="M83" s="507">
        <f t="shared" si="1"/>
        <v>40320</v>
      </c>
      <c r="N83" s="508"/>
      <c r="O83" s="124">
        <f t="shared" si="2"/>
        <v>27014.400000000001</v>
      </c>
      <c r="P83" s="125"/>
    </row>
    <row r="84" spans="2:16">
      <c r="B84" s="93"/>
      <c r="C84" s="162" t="s">
        <v>186</v>
      </c>
      <c r="D84" s="163"/>
      <c r="E84" s="163"/>
      <c r="F84" s="163"/>
      <c r="G84" s="163"/>
      <c r="H84" s="163"/>
      <c r="I84" s="163"/>
      <c r="J84" s="164"/>
      <c r="K84" s="165" t="s">
        <v>190</v>
      </c>
      <c r="L84" s="166">
        <v>200</v>
      </c>
      <c r="M84" s="507">
        <f t="shared" si="1"/>
        <v>69</v>
      </c>
      <c r="N84" s="508"/>
      <c r="O84" s="124">
        <f t="shared" si="2"/>
        <v>13800</v>
      </c>
      <c r="P84" s="125"/>
    </row>
    <row r="85" spans="2:16">
      <c r="B85" s="93"/>
      <c r="C85" s="162" t="s">
        <v>187</v>
      </c>
      <c r="D85" s="163"/>
      <c r="E85" s="163"/>
      <c r="F85" s="163"/>
      <c r="G85" s="163"/>
      <c r="H85" s="163"/>
      <c r="I85" s="163"/>
      <c r="J85" s="164"/>
      <c r="K85" s="165" t="s">
        <v>189</v>
      </c>
      <c r="L85" s="166">
        <v>1.26</v>
      </c>
      <c r="M85" s="507">
        <f t="shared" si="1"/>
        <v>17595.599999999999</v>
      </c>
      <c r="N85" s="508"/>
      <c r="O85" s="124">
        <f t="shared" si="2"/>
        <v>22170.455999999998</v>
      </c>
      <c r="P85" s="125"/>
    </row>
    <row r="86" spans="2:16">
      <c r="B86" s="93"/>
      <c r="C86" s="162" t="s">
        <v>188</v>
      </c>
      <c r="D86" s="163"/>
      <c r="E86" s="163"/>
      <c r="F86" s="163"/>
      <c r="G86" s="163"/>
      <c r="H86" s="163"/>
      <c r="I86" s="163"/>
      <c r="J86" s="164"/>
      <c r="K86" s="165" t="s">
        <v>189</v>
      </c>
      <c r="L86" s="166">
        <f>0.003*L81</f>
        <v>1.26</v>
      </c>
      <c r="M86" s="507">
        <f t="shared" si="1"/>
        <v>19719</v>
      </c>
      <c r="N86" s="508"/>
      <c r="O86" s="124">
        <f t="shared" si="2"/>
        <v>24845.94</v>
      </c>
      <c r="P86" s="125"/>
    </row>
    <row r="87" spans="2:16">
      <c r="B87" s="93"/>
      <c r="C87" s="162"/>
      <c r="D87" s="163"/>
      <c r="E87" s="163"/>
      <c r="F87" s="163"/>
      <c r="G87" s="163"/>
      <c r="H87" s="163"/>
      <c r="I87" s="163"/>
      <c r="J87" s="164"/>
      <c r="K87" s="165"/>
      <c r="L87" s="166"/>
      <c r="M87" s="167"/>
      <c r="N87" s="168"/>
      <c r="O87" s="169"/>
      <c r="P87" s="125"/>
    </row>
    <row r="88" spans="2:16" ht="14.25" thickBot="1">
      <c r="B88" s="93"/>
      <c r="C88" s="492" t="s">
        <v>80</v>
      </c>
      <c r="D88" s="493"/>
      <c r="E88" s="493"/>
      <c r="F88" s="493"/>
      <c r="G88" s="493"/>
      <c r="H88" s="493"/>
      <c r="I88" s="493"/>
      <c r="J88" s="509"/>
      <c r="K88" s="71"/>
      <c r="L88" s="187">
        <v>0.05</v>
      </c>
      <c r="M88" s="497"/>
      <c r="N88" s="496"/>
      <c r="O88" s="133">
        <f>SUM(O81:O87)*L88</f>
        <v>20280.402300000002</v>
      </c>
      <c r="P88" s="125"/>
    </row>
    <row r="89" spans="2:16" ht="14.25" thickBot="1">
      <c r="B89" s="93"/>
      <c r="C89" s="474" t="s">
        <v>44</v>
      </c>
      <c r="D89" s="475"/>
      <c r="E89" s="475"/>
      <c r="F89" s="475"/>
      <c r="G89" s="475"/>
      <c r="H89" s="475"/>
      <c r="I89" s="475"/>
      <c r="J89" s="475"/>
      <c r="K89" s="475"/>
      <c r="L89" s="475"/>
      <c r="M89" s="475"/>
      <c r="N89" s="476"/>
      <c r="O89" s="134">
        <f>SUM(O81:O88)</f>
        <v>425888.44830000005</v>
      </c>
      <c r="P89" s="125"/>
    </row>
    <row r="90" spans="2:16" ht="14.25" thickBot="1">
      <c r="B90" s="93"/>
      <c r="C90" s="77" t="s">
        <v>47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9"/>
      <c r="P90" s="121"/>
    </row>
    <row r="91" spans="2:16" ht="14.25">
      <c r="B91" s="93"/>
      <c r="C91" s="498" t="s">
        <v>48</v>
      </c>
      <c r="D91" s="499"/>
      <c r="E91" s="499"/>
      <c r="F91" s="499"/>
      <c r="G91" s="499"/>
      <c r="H91" s="499"/>
      <c r="I91" s="499"/>
      <c r="J91" s="161" t="s">
        <v>49</v>
      </c>
      <c r="K91" s="160" t="s">
        <v>50</v>
      </c>
      <c r="L91" s="65" t="s">
        <v>76</v>
      </c>
      <c r="M91" s="510" t="s">
        <v>51</v>
      </c>
      <c r="N91" s="511"/>
      <c r="O91" s="62" t="s">
        <v>43</v>
      </c>
      <c r="P91" s="122"/>
    </row>
    <row r="92" spans="2:16">
      <c r="B92" s="93"/>
      <c r="C92" s="502" t="s">
        <v>192</v>
      </c>
      <c r="D92" s="503"/>
      <c r="E92" s="503"/>
      <c r="F92" s="503"/>
      <c r="G92" s="503"/>
      <c r="H92" s="503"/>
      <c r="I92" s="503"/>
      <c r="J92" s="135">
        <f>+L82</f>
        <v>0.67</v>
      </c>
      <c r="K92" s="136">
        <v>26.5</v>
      </c>
      <c r="L92" s="135">
        <f>J92*K92</f>
        <v>17.755000000000003</v>
      </c>
      <c r="M92" s="507">
        <f>+M34</f>
        <v>1200</v>
      </c>
      <c r="N92" s="508"/>
      <c r="O92" s="124">
        <f>L92*M92</f>
        <v>21306.000000000004</v>
      </c>
      <c r="P92" s="125"/>
    </row>
    <row r="93" spans="2:16" ht="14.25" thickBot="1">
      <c r="B93" s="93"/>
      <c r="C93" s="492" t="s">
        <v>193</v>
      </c>
      <c r="D93" s="493"/>
      <c r="E93" s="493"/>
      <c r="F93" s="493"/>
      <c r="G93" s="493"/>
      <c r="H93" s="493"/>
      <c r="I93" s="493"/>
      <c r="J93" s="361">
        <f>+L83</f>
        <v>0.67</v>
      </c>
      <c r="K93" s="242">
        <v>26.5</v>
      </c>
      <c r="L93" s="243">
        <f>J93*K93</f>
        <v>17.755000000000003</v>
      </c>
      <c r="M93" s="507">
        <f>+M35</f>
        <v>1200</v>
      </c>
      <c r="N93" s="508"/>
      <c r="O93" s="124">
        <f>L93*M93</f>
        <v>21306.000000000004</v>
      </c>
      <c r="P93" s="125"/>
    </row>
    <row r="94" spans="2:16" ht="14.25" thickBot="1">
      <c r="B94" s="93"/>
      <c r="C94" s="474" t="s">
        <v>44</v>
      </c>
      <c r="D94" s="475"/>
      <c r="E94" s="475"/>
      <c r="F94" s="475"/>
      <c r="G94" s="475"/>
      <c r="H94" s="475"/>
      <c r="I94" s="475"/>
      <c r="J94" s="475"/>
      <c r="K94" s="475"/>
      <c r="L94" s="475"/>
      <c r="M94" s="475"/>
      <c r="N94" s="476"/>
      <c r="O94" s="129">
        <f>SUM(O92:O93)</f>
        <v>42612.000000000007</v>
      </c>
      <c r="P94" s="130"/>
    </row>
    <row r="95" spans="2:16" ht="14.25" thickBot="1">
      <c r="B95" s="93"/>
      <c r="C95" s="77" t="s">
        <v>52</v>
      </c>
      <c r="D95" s="78"/>
      <c r="E95" s="78"/>
      <c r="F95" s="78"/>
      <c r="G95" s="78"/>
      <c r="H95" s="78"/>
      <c r="I95" s="78"/>
      <c r="J95" s="244"/>
      <c r="K95" s="78"/>
      <c r="L95" s="78"/>
      <c r="M95" s="78"/>
      <c r="N95" s="78"/>
      <c r="O95" s="79"/>
      <c r="P95" s="121"/>
    </row>
    <row r="96" spans="2:16" ht="13.5" customHeight="1">
      <c r="B96" s="93"/>
      <c r="C96" s="498" t="s">
        <v>53</v>
      </c>
      <c r="D96" s="499"/>
      <c r="E96" s="499"/>
      <c r="F96" s="499"/>
      <c r="G96" s="499"/>
      <c r="H96" s="499"/>
      <c r="I96" s="499"/>
      <c r="J96" s="246"/>
      <c r="K96" s="506" t="s">
        <v>169</v>
      </c>
      <c r="L96" s="501"/>
      <c r="M96" s="500" t="s">
        <v>42</v>
      </c>
      <c r="N96" s="501"/>
      <c r="O96" s="68" t="s">
        <v>43</v>
      </c>
      <c r="P96" s="139"/>
    </row>
    <row r="97" spans="2:16">
      <c r="B97" s="93"/>
      <c r="C97" s="540" t="str">
        <f>+'MO2021'!C72</f>
        <v xml:space="preserve">CUADRILLA "AA" (Albañileria) </v>
      </c>
      <c r="D97" s="541"/>
      <c r="E97" s="541"/>
      <c r="F97" s="541"/>
      <c r="G97" s="541"/>
      <c r="H97" s="541"/>
      <c r="I97" s="541"/>
      <c r="J97" s="542"/>
      <c r="K97" s="484">
        <f>+'MO2021'!F82</f>
        <v>26134.297994712331</v>
      </c>
      <c r="L97" s="485"/>
      <c r="M97" s="486">
        <v>1.5</v>
      </c>
      <c r="N97" s="487"/>
      <c r="O97" s="142">
        <f>K97*M97</f>
        <v>39201.446992068493</v>
      </c>
      <c r="P97" s="143"/>
    </row>
    <row r="98" spans="2:16">
      <c r="B98" s="93"/>
      <c r="C98" s="140"/>
      <c r="D98" s="141"/>
      <c r="E98" s="141"/>
      <c r="F98" s="141"/>
      <c r="G98" s="141"/>
      <c r="H98" s="141"/>
      <c r="I98" s="141"/>
      <c r="J98" s="247"/>
      <c r="K98" s="488"/>
      <c r="L98" s="489"/>
      <c r="M98" s="490"/>
      <c r="N98" s="491"/>
      <c r="O98" s="142"/>
      <c r="P98" s="143"/>
    </row>
    <row r="99" spans="2:16" ht="14.25" thickBot="1">
      <c r="B99" s="93"/>
      <c r="C99" s="492"/>
      <c r="D99" s="493"/>
      <c r="E99" s="493"/>
      <c r="F99" s="493"/>
      <c r="G99" s="493"/>
      <c r="H99" s="493"/>
      <c r="I99" s="494"/>
      <c r="J99" s="245"/>
      <c r="K99" s="495"/>
      <c r="L99" s="496"/>
      <c r="M99" s="497"/>
      <c r="N99" s="496"/>
      <c r="O99" s="138"/>
      <c r="P99" s="125"/>
    </row>
    <row r="100" spans="2:16" ht="14.25" thickBot="1">
      <c r="B100" s="93"/>
      <c r="C100" s="504" t="s">
        <v>44</v>
      </c>
      <c r="D100" s="505"/>
      <c r="E100" s="505"/>
      <c r="F100" s="505"/>
      <c r="G100" s="505"/>
      <c r="H100" s="505"/>
      <c r="I100" s="505"/>
      <c r="J100" s="505"/>
      <c r="K100" s="475"/>
      <c r="L100" s="475"/>
      <c r="M100" s="475"/>
      <c r="N100" s="476"/>
      <c r="O100" s="134">
        <f>SUM(O97:O99)</f>
        <v>39201.446992068493</v>
      </c>
      <c r="P100" s="125"/>
    </row>
    <row r="101" spans="2:16" ht="14.25" thickBot="1">
      <c r="B101" s="93"/>
      <c r="C101" s="80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2"/>
      <c r="P101" s="97"/>
    </row>
    <row r="102" spans="2:16" ht="14.25" thickBot="1">
      <c r="B102" s="93"/>
      <c r="C102" s="477" t="s">
        <v>54</v>
      </c>
      <c r="D102" s="478"/>
      <c r="E102" s="478"/>
      <c r="F102" s="478"/>
      <c r="G102" s="478"/>
      <c r="H102" s="478"/>
      <c r="I102" s="478"/>
      <c r="J102" s="478"/>
      <c r="K102" s="478"/>
      <c r="L102" s="478"/>
      <c r="M102" s="478"/>
      <c r="N102" s="479"/>
      <c r="O102" s="144">
        <f>+O78+O89+O94+O100</f>
        <v>521261.96764167194</v>
      </c>
      <c r="P102" s="145"/>
    </row>
    <row r="103" spans="2:16" ht="14.25" thickBot="1">
      <c r="B103" s="93"/>
      <c r="C103" s="77" t="s">
        <v>55</v>
      </c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9"/>
      <c r="P103" s="121"/>
    </row>
    <row r="104" spans="2:16" ht="24.75">
      <c r="B104" s="93"/>
      <c r="C104" s="498" t="s">
        <v>56</v>
      </c>
      <c r="D104" s="499"/>
      <c r="E104" s="499"/>
      <c r="F104" s="499"/>
      <c r="G104" s="499"/>
      <c r="H104" s="499"/>
      <c r="I104" s="499"/>
      <c r="J104" s="64"/>
      <c r="K104" s="69"/>
      <c r="L104" s="67" t="s">
        <v>57</v>
      </c>
      <c r="M104" s="500" t="s">
        <v>58</v>
      </c>
      <c r="N104" s="501"/>
      <c r="O104" s="68"/>
      <c r="P104" s="139"/>
    </row>
    <row r="105" spans="2:16">
      <c r="B105" s="93"/>
      <c r="C105" s="502" t="s">
        <v>59</v>
      </c>
      <c r="D105" s="503"/>
      <c r="E105" s="503"/>
      <c r="F105" s="503"/>
      <c r="G105" s="503"/>
      <c r="H105" s="503"/>
      <c r="I105" s="503"/>
      <c r="J105" s="146"/>
      <c r="K105" s="147"/>
      <c r="L105" s="148">
        <f>'PRESUPUESTO OFICIAL'!K83</f>
        <v>0</v>
      </c>
      <c r="M105" s="470">
        <f>O102*L105</f>
        <v>0</v>
      </c>
      <c r="N105" s="471"/>
      <c r="O105" s="149"/>
      <c r="P105" s="150"/>
    </row>
    <row r="106" spans="2:16">
      <c r="B106" s="93"/>
      <c r="C106" s="70" t="s">
        <v>60</v>
      </c>
      <c r="D106" s="71"/>
      <c r="E106" s="71"/>
      <c r="F106" s="71"/>
      <c r="G106" s="71"/>
      <c r="H106" s="71"/>
      <c r="I106" s="71"/>
      <c r="J106" s="146"/>
      <c r="K106" s="147"/>
      <c r="L106" s="148">
        <f>'PRESUPUESTO OFICIAL'!K84</f>
        <v>0</v>
      </c>
      <c r="M106" s="470">
        <f>+O102*L106</f>
        <v>0</v>
      </c>
      <c r="N106" s="471"/>
      <c r="O106" s="149"/>
      <c r="P106" s="150"/>
    </row>
    <row r="107" spans="2:16" ht="14.25" thickBot="1">
      <c r="B107" s="93"/>
      <c r="C107" s="72" t="s">
        <v>61</v>
      </c>
      <c r="D107" s="73"/>
      <c r="E107" s="73"/>
      <c r="F107" s="73"/>
      <c r="G107" s="73"/>
      <c r="H107" s="73"/>
      <c r="I107" s="73"/>
      <c r="J107" s="151"/>
      <c r="K107" s="152"/>
      <c r="L107" s="148">
        <f>'PRESUPUESTO OFICIAL'!K85</f>
        <v>0</v>
      </c>
      <c r="M107" s="472">
        <f>O102*L107</f>
        <v>0</v>
      </c>
      <c r="N107" s="473"/>
      <c r="O107" s="149"/>
      <c r="P107" s="150"/>
    </row>
    <row r="108" spans="2:16" ht="14.25" thickBot="1">
      <c r="B108" s="93"/>
      <c r="C108" s="474" t="s">
        <v>44</v>
      </c>
      <c r="D108" s="475"/>
      <c r="E108" s="475"/>
      <c r="F108" s="475"/>
      <c r="G108" s="475"/>
      <c r="H108" s="475"/>
      <c r="I108" s="475"/>
      <c r="J108" s="475"/>
      <c r="K108" s="475"/>
      <c r="L108" s="475"/>
      <c r="M108" s="475"/>
      <c r="N108" s="476"/>
      <c r="O108" s="153">
        <f>SUM(M105:N107)</f>
        <v>0</v>
      </c>
      <c r="P108" s="154"/>
    </row>
    <row r="109" spans="2:16" ht="5.85" customHeight="1" thickBot="1">
      <c r="B109" s="9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2"/>
      <c r="P109" s="97"/>
    </row>
    <row r="110" spans="2:16" ht="14.25" thickBot="1">
      <c r="B110" s="93"/>
      <c r="C110" s="477" t="s">
        <v>62</v>
      </c>
      <c r="D110" s="478"/>
      <c r="E110" s="478"/>
      <c r="F110" s="478"/>
      <c r="G110" s="478"/>
      <c r="H110" s="478"/>
      <c r="I110" s="478"/>
      <c r="J110" s="478"/>
      <c r="K110" s="478"/>
      <c r="L110" s="478"/>
      <c r="M110" s="478"/>
      <c r="N110" s="479"/>
      <c r="O110" s="155">
        <f>ROUND(O102+O108,0)</f>
        <v>521262</v>
      </c>
      <c r="P110" s="154"/>
    </row>
    <row r="111" spans="2:16">
      <c r="B111" s="93"/>
      <c r="C111" s="80"/>
      <c r="D111" s="81"/>
      <c r="E111" s="81"/>
      <c r="F111" s="83" t="s">
        <v>63</v>
      </c>
      <c r="G111" s="81"/>
      <c r="H111" s="81"/>
      <c r="I111" s="81"/>
      <c r="J111" s="81"/>
      <c r="K111" s="81"/>
      <c r="L111" s="81"/>
      <c r="M111" s="81"/>
      <c r="N111" s="81"/>
      <c r="O111" s="82"/>
      <c r="P111" s="97"/>
    </row>
    <row r="112" spans="2:16">
      <c r="B112" s="93"/>
      <c r="C112" s="80"/>
      <c r="D112" s="81"/>
      <c r="E112" s="81"/>
      <c r="F112" s="83" t="s">
        <v>64</v>
      </c>
      <c r="G112" s="81"/>
      <c r="H112" s="81"/>
      <c r="I112" s="81"/>
      <c r="J112" s="81"/>
      <c r="K112" s="81"/>
      <c r="L112" s="81"/>
      <c r="M112" s="81"/>
      <c r="N112" s="81"/>
      <c r="O112" s="82"/>
      <c r="P112" s="97"/>
    </row>
    <row r="113" spans="2:16">
      <c r="B113" s="93"/>
      <c r="C113" s="84"/>
      <c r="D113" s="85"/>
      <c r="E113" s="85"/>
      <c r="F113" s="83" t="s">
        <v>65</v>
      </c>
      <c r="G113" s="85"/>
      <c r="H113" s="81"/>
      <c r="I113" s="85"/>
      <c r="J113" s="85"/>
      <c r="K113" s="85"/>
      <c r="L113" s="85"/>
      <c r="M113" s="85"/>
      <c r="N113" s="85"/>
      <c r="O113" s="86"/>
      <c r="P113" s="27"/>
    </row>
    <row r="114" spans="2:16" ht="14.25" thickBot="1">
      <c r="B114" s="93"/>
      <c r="C114" s="480"/>
      <c r="D114" s="481"/>
      <c r="E114" s="481"/>
      <c r="F114" s="73" t="s">
        <v>66</v>
      </c>
      <c r="G114" s="87"/>
      <c r="H114" s="87"/>
      <c r="I114" s="87"/>
      <c r="J114" s="87"/>
      <c r="K114" s="482"/>
      <c r="L114" s="482"/>
      <c r="M114" s="482"/>
      <c r="N114" s="482"/>
      <c r="O114" s="483"/>
      <c r="P114" s="156"/>
    </row>
    <row r="115" spans="2:16" ht="10.35" customHeight="1" thickBot="1">
      <c r="B115" s="157"/>
      <c r="C115" s="158"/>
      <c r="D115" s="158"/>
      <c r="E115" s="158"/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9"/>
    </row>
    <row r="116" spans="2:16" ht="14.25" thickTop="1"/>
    <row r="117" spans="2:16" ht="10.35" customHeight="1" thickBot="1"/>
    <row r="118" spans="2:16" ht="5.85" customHeight="1" thickTop="1">
      <c r="B118" s="90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2"/>
    </row>
    <row r="119" spans="2:16">
      <c r="B119" s="93"/>
      <c r="C119" s="94" t="s">
        <v>24</v>
      </c>
      <c r="D119" s="95" t="s">
        <v>25</v>
      </c>
      <c r="E119" s="94" t="s">
        <v>26</v>
      </c>
      <c r="F119" s="95">
        <v>2</v>
      </c>
      <c r="G119" s="96"/>
      <c r="H119" s="174" t="s">
        <v>74</v>
      </c>
      <c r="I119" s="96"/>
      <c r="J119" s="96"/>
      <c r="K119" s="96"/>
      <c r="L119" s="96"/>
      <c r="M119" s="96"/>
      <c r="N119" s="96"/>
      <c r="O119" s="96"/>
      <c r="P119" s="97"/>
    </row>
    <row r="120" spans="2:16" ht="5.85" customHeight="1" thickBot="1">
      <c r="B120" s="93"/>
      <c r="C120" s="98"/>
      <c r="D120" s="99"/>
      <c r="E120" s="100"/>
      <c r="F120" s="99"/>
      <c r="G120" s="101"/>
      <c r="H120" s="101"/>
      <c r="I120" s="101"/>
      <c r="J120" s="101"/>
      <c r="K120" s="101"/>
      <c r="L120" s="101"/>
      <c r="M120" s="101"/>
      <c r="N120" s="101"/>
      <c r="O120" s="101"/>
      <c r="P120" s="97"/>
    </row>
    <row r="121" spans="2:16">
      <c r="B121" s="93"/>
      <c r="C121" s="352"/>
      <c r="D121" s="526"/>
      <c r="E121" s="527"/>
      <c r="F121" s="527"/>
      <c r="G121" s="527"/>
      <c r="H121" s="527"/>
      <c r="I121" s="527"/>
      <c r="J121" s="527"/>
      <c r="K121" s="528"/>
      <c r="L121" s="59" t="s">
        <v>27</v>
      </c>
      <c r="M121" s="102"/>
      <c r="N121" s="103"/>
      <c r="O121" s="104"/>
      <c r="P121" s="23"/>
    </row>
    <row r="122" spans="2:16">
      <c r="B122" s="93"/>
      <c r="C122" s="352"/>
      <c r="D122" s="529" t="s">
        <v>30</v>
      </c>
      <c r="E122" s="530"/>
      <c r="F122" s="530"/>
      <c r="G122" s="530"/>
      <c r="H122" s="530"/>
      <c r="I122" s="530"/>
      <c r="J122" s="530"/>
      <c r="K122" s="531"/>
      <c r="L122" s="58" t="s">
        <v>28</v>
      </c>
      <c r="M122" s="58">
        <v>1</v>
      </c>
      <c r="N122" s="57" t="s">
        <v>29</v>
      </c>
      <c r="O122" s="60">
        <v>1</v>
      </c>
      <c r="P122" s="23"/>
    </row>
    <row r="123" spans="2:16" ht="5.85" customHeight="1" thickBot="1">
      <c r="B123" s="93"/>
      <c r="C123" s="105"/>
      <c r="D123" s="106"/>
      <c r="E123" s="106"/>
      <c r="F123" s="106"/>
      <c r="G123" s="106"/>
      <c r="H123" s="106"/>
      <c r="I123" s="106"/>
      <c r="J123" s="106"/>
      <c r="K123" s="106"/>
      <c r="L123" s="106"/>
      <c r="M123" s="107"/>
      <c r="N123" s="107"/>
      <c r="O123" s="108"/>
      <c r="P123" s="25"/>
    </row>
    <row r="124" spans="2:16">
      <c r="B124" s="93"/>
      <c r="C124" s="109"/>
      <c r="D124" s="110"/>
      <c r="E124" s="110"/>
      <c r="F124" s="110"/>
      <c r="G124" s="110"/>
      <c r="H124" s="110"/>
      <c r="I124" s="110"/>
      <c r="J124" s="110"/>
      <c r="K124" s="110"/>
      <c r="L124" s="54" t="s">
        <v>31</v>
      </c>
      <c r="M124" s="55" t="s">
        <v>32</v>
      </c>
      <c r="N124" s="55" t="s">
        <v>33</v>
      </c>
      <c r="O124" s="56" t="s">
        <v>34</v>
      </c>
      <c r="P124" s="24"/>
    </row>
    <row r="125" spans="2:16" ht="14.25" thickBot="1">
      <c r="B125" s="93"/>
      <c r="C125" s="74" t="s">
        <v>196</v>
      </c>
      <c r="D125" s="111"/>
      <c r="E125" s="111"/>
      <c r="F125" s="111"/>
      <c r="G125" s="111"/>
      <c r="H125" s="111"/>
      <c r="I125" s="111"/>
      <c r="J125" s="111"/>
      <c r="K125" s="111"/>
      <c r="L125" s="112"/>
      <c r="M125" s="113"/>
      <c r="N125" s="113"/>
      <c r="O125" s="114"/>
      <c r="P125" s="26"/>
    </row>
    <row r="126" spans="2:16" ht="14.25" thickBot="1">
      <c r="B126" s="93"/>
      <c r="C126" s="532" t="s">
        <v>35</v>
      </c>
      <c r="D126" s="533"/>
      <c r="E126" s="533"/>
      <c r="F126" s="533"/>
      <c r="G126" s="533"/>
      <c r="H126" s="533"/>
      <c r="I126" s="533"/>
      <c r="J126" s="533"/>
      <c r="K126" s="533"/>
      <c r="L126" s="533"/>
      <c r="M126" s="533"/>
      <c r="N126" s="533"/>
      <c r="O126" s="534"/>
      <c r="P126" s="115"/>
    </row>
    <row r="127" spans="2:16">
      <c r="B127" s="93"/>
      <c r="C127" s="66" t="s">
        <v>36</v>
      </c>
      <c r="D127" s="535" t="s">
        <v>3</v>
      </c>
      <c r="E127" s="536"/>
      <c r="F127" s="536"/>
      <c r="G127" s="536"/>
      <c r="H127" s="536"/>
      <c r="I127" s="536"/>
      <c r="J127" s="536"/>
      <c r="K127" s="536"/>
      <c r="L127" s="537"/>
      <c r="M127" s="538" t="s">
        <v>37</v>
      </c>
      <c r="N127" s="539"/>
      <c r="O127" s="66" t="s">
        <v>4</v>
      </c>
      <c r="P127" s="116"/>
    </row>
    <row r="128" spans="2:16" ht="14.25" thickBot="1">
      <c r="B128" s="93"/>
      <c r="C128" s="117" t="s">
        <v>197</v>
      </c>
      <c r="D128" s="515" t="s">
        <v>198</v>
      </c>
      <c r="E128" s="516"/>
      <c r="F128" s="516"/>
      <c r="G128" s="516"/>
      <c r="H128" s="516"/>
      <c r="I128" s="516"/>
      <c r="J128" s="516"/>
      <c r="K128" s="516"/>
      <c r="L128" s="517"/>
      <c r="M128" s="515" t="s">
        <v>182</v>
      </c>
      <c r="N128" s="517"/>
      <c r="O128" s="118"/>
      <c r="P128" s="119"/>
    </row>
    <row r="129" spans="2:16" ht="14.25" thickBot="1">
      <c r="B129" s="93"/>
      <c r="C129" s="74" t="s">
        <v>38</v>
      </c>
      <c r="D129" s="75"/>
      <c r="E129" s="75"/>
      <c r="F129" s="75"/>
      <c r="G129" s="75"/>
      <c r="H129" s="75"/>
      <c r="I129" s="75"/>
      <c r="J129" s="78"/>
      <c r="K129" s="78"/>
      <c r="L129" s="75"/>
      <c r="M129" s="75"/>
      <c r="N129" s="75"/>
      <c r="O129" s="76"/>
      <c r="P129" s="121"/>
    </row>
    <row r="130" spans="2:16">
      <c r="B130" s="93"/>
      <c r="C130" s="498" t="s">
        <v>3</v>
      </c>
      <c r="D130" s="513"/>
      <c r="E130" s="513"/>
      <c r="F130" s="513"/>
      <c r="G130" s="514"/>
      <c r="H130" s="510" t="s">
        <v>39</v>
      </c>
      <c r="I130" s="513"/>
      <c r="J130" s="522" t="s">
        <v>40</v>
      </c>
      <c r="K130" s="523"/>
      <c r="L130" s="61" t="s">
        <v>51</v>
      </c>
      <c r="M130" s="510" t="s">
        <v>42</v>
      </c>
      <c r="N130" s="511"/>
      <c r="O130" s="62" t="s">
        <v>43</v>
      </c>
      <c r="P130" s="122"/>
    </row>
    <row r="131" spans="2:16">
      <c r="B131" s="93"/>
      <c r="C131" s="502" t="s">
        <v>81</v>
      </c>
      <c r="D131" s="503"/>
      <c r="E131" s="503"/>
      <c r="F131" s="503"/>
      <c r="G131" s="524"/>
      <c r="H131" s="525"/>
      <c r="I131" s="524"/>
      <c r="J131" s="525"/>
      <c r="K131" s="524"/>
      <c r="L131" s="123">
        <v>0.05</v>
      </c>
      <c r="M131" s="520"/>
      <c r="N131" s="521"/>
      <c r="O131" s="124">
        <f>L131*O158</f>
        <v>1960.0723496034248</v>
      </c>
      <c r="P131" s="125"/>
    </row>
    <row r="132" spans="2:16">
      <c r="B132" s="93"/>
      <c r="C132" s="162" t="s">
        <v>191</v>
      </c>
      <c r="D132" s="163"/>
      <c r="E132" s="163"/>
      <c r="F132" s="163"/>
      <c r="G132" s="164"/>
      <c r="H132" s="171"/>
      <c r="I132" s="164"/>
      <c r="J132" s="171"/>
      <c r="K132" s="164"/>
      <c r="L132" s="123">
        <f>L16</f>
        <v>92800</v>
      </c>
      <c r="M132" s="520">
        <f>0.125</f>
        <v>0.125</v>
      </c>
      <c r="N132" s="521"/>
      <c r="O132" s="124">
        <f>L132*M132</f>
        <v>11600</v>
      </c>
      <c r="P132" s="125"/>
    </row>
    <row r="133" spans="2:16">
      <c r="B133" s="93"/>
      <c r="C133" s="162"/>
      <c r="D133" s="163"/>
      <c r="E133" s="163"/>
      <c r="F133" s="163"/>
      <c r="G133" s="164"/>
      <c r="H133" s="171"/>
      <c r="I133" s="164"/>
      <c r="J133" s="171"/>
      <c r="K133" s="164"/>
      <c r="L133" s="123"/>
      <c r="M133" s="172"/>
      <c r="N133" s="173"/>
      <c r="O133" s="124"/>
      <c r="P133" s="125"/>
    </row>
    <row r="134" spans="2:16">
      <c r="B134" s="93"/>
      <c r="C134" s="70"/>
      <c r="D134" s="71"/>
      <c r="E134" s="71"/>
      <c r="F134" s="71"/>
      <c r="G134" s="126"/>
      <c r="H134" s="127"/>
      <c r="I134" s="126"/>
      <c r="J134" s="127"/>
      <c r="K134" s="126"/>
      <c r="L134" s="123"/>
      <c r="M134" s="520"/>
      <c r="N134" s="521"/>
      <c r="O134" s="124"/>
      <c r="P134" s="125"/>
    </row>
    <row r="135" spans="2:16" ht="14.25" thickBot="1">
      <c r="B135" s="93"/>
      <c r="C135" s="492"/>
      <c r="D135" s="493"/>
      <c r="E135" s="493"/>
      <c r="F135" s="493"/>
      <c r="G135" s="509"/>
      <c r="H135" s="512"/>
      <c r="I135" s="509"/>
      <c r="J135" s="512"/>
      <c r="K135" s="509"/>
      <c r="L135" s="128"/>
      <c r="M135" s="518"/>
      <c r="N135" s="519"/>
      <c r="O135" s="124"/>
      <c r="P135" s="125"/>
    </row>
    <row r="136" spans="2:16" ht="14.25" thickBot="1">
      <c r="B136" s="93"/>
      <c r="C136" s="474" t="s">
        <v>44</v>
      </c>
      <c r="D136" s="475"/>
      <c r="E136" s="475"/>
      <c r="F136" s="475"/>
      <c r="G136" s="475"/>
      <c r="H136" s="475"/>
      <c r="I136" s="475"/>
      <c r="J136" s="475"/>
      <c r="K136" s="475"/>
      <c r="L136" s="475"/>
      <c r="M136" s="475"/>
      <c r="N136" s="476"/>
      <c r="O136" s="129">
        <f>SUM(O131:O135)</f>
        <v>13560.072349603424</v>
      </c>
      <c r="P136" s="130"/>
    </row>
    <row r="137" spans="2:16" ht="14.25" thickBot="1">
      <c r="B137" s="93"/>
      <c r="C137" s="77" t="s">
        <v>45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9"/>
      <c r="P137" s="121"/>
    </row>
    <row r="138" spans="2:16">
      <c r="B138" s="93"/>
      <c r="C138" s="498" t="s">
        <v>3</v>
      </c>
      <c r="D138" s="499"/>
      <c r="E138" s="499"/>
      <c r="F138" s="499"/>
      <c r="G138" s="499"/>
      <c r="H138" s="499"/>
      <c r="I138" s="499"/>
      <c r="J138" s="511"/>
      <c r="K138" s="63" t="s">
        <v>37</v>
      </c>
      <c r="L138" s="61" t="s">
        <v>4</v>
      </c>
      <c r="M138" s="510" t="s">
        <v>46</v>
      </c>
      <c r="N138" s="511"/>
      <c r="O138" s="62" t="s">
        <v>43</v>
      </c>
      <c r="P138" s="122"/>
    </row>
    <row r="139" spans="2:16">
      <c r="B139" s="93"/>
      <c r="C139" s="358" t="s">
        <v>183</v>
      </c>
      <c r="D139" s="359"/>
      <c r="E139" s="359"/>
      <c r="F139" s="359"/>
      <c r="G139" s="359"/>
      <c r="H139" s="359"/>
      <c r="I139" s="359"/>
      <c r="J139" s="360"/>
      <c r="K139" s="131" t="s">
        <v>79</v>
      </c>
      <c r="L139" s="132">
        <v>375</v>
      </c>
      <c r="M139" s="507">
        <f>+M23</f>
        <v>600</v>
      </c>
      <c r="N139" s="508"/>
      <c r="O139" s="124">
        <f>L139*M139</f>
        <v>225000</v>
      </c>
      <c r="P139" s="125"/>
    </row>
    <row r="140" spans="2:16">
      <c r="B140" s="93"/>
      <c r="C140" s="162" t="s">
        <v>184</v>
      </c>
      <c r="D140" s="163"/>
      <c r="E140" s="163"/>
      <c r="F140" s="163"/>
      <c r="G140" s="163"/>
      <c r="H140" s="163"/>
      <c r="I140" s="163"/>
      <c r="J140" s="164"/>
      <c r="K140" s="165" t="s">
        <v>79</v>
      </c>
      <c r="L140" s="186">
        <v>0.84</v>
      </c>
      <c r="M140" s="507">
        <f t="shared" ref="M140:M144" si="3">+M24</f>
        <v>98175</v>
      </c>
      <c r="N140" s="508"/>
      <c r="O140" s="124">
        <f t="shared" ref="O140:O144" si="4">L140*M140</f>
        <v>82467</v>
      </c>
      <c r="P140" s="125"/>
    </row>
    <row r="141" spans="2:16">
      <c r="B141" s="93"/>
      <c r="C141" s="162" t="s">
        <v>185</v>
      </c>
      <c r="D141" s="163"/>
      <c r="E141" s="163"/>
      <c r="F141" s="163"/>
      <c r="G141" s="163"/>
      <c r="H141" s="163"/>
      <c r="I141" s="163"/>
      <c r="J141" s="164"/>
      <c r="K141" s="165" t="s">
        <v>176</v>
      </c>
      <c r="L141" s="166">
        <v>0.56000000000000005</v>
      </c>
      <c r="M141" s="507">
        <f t="shared" si="3"/>
        <v>40320</v>
      </c>
      <c r="N141" s="508"/>
      <c r="O141" s="124">
        <f t="shared" si="4"/>
        <v>22579.200000000001</v>
      </c>
      <c r="P141" s="125"/>
    </row>
    <row r="142" spans="2:16">
      <c r="B142" s="93"/>
      <c r="C142" s="162" t="s">
        <v>186</v>
      </c>
      <c r="D142" s="163"/>
      <c r="E142" s="163"/>
      <c r="F142" s="163"/>
      <c r="G142" s="163"/>
      <c r="H142" s="163"/>
      <c r="I142" s="163"/>
      <c r="J142" s="164"/>
      <c r="K142" s="165" t="s">
        <v>190</v>
      </c>
      <c r="L142" s="166">
        <v>180</v>
      </c>
      <c r="M142" s="507">
        <f t="shared" si="3"/>
        <v>69</v>
      </c>
      <c r="N142" s="508"/>
      <c r="O142" s="124">
        <f t="shared" si="4"/>
        <v>12420</v>
      </c>
      <c r="P142" s="125"/>
    </row>
    <row r="143" spans="2:16">
      <c r="B143" s="93"/>
      <c r="C143" s="162" t="s">
        <v>187</v>
      </c>
      <c r="D143" s="163"/>
      <c r="E143" s="163"/>
      <c r="F143" s="163"/>
      <c r="G143" s="163"/>
      <c r="H143" s="163"/>
      <c r="I143" s="163"/>
      <c r="J143" s="164"/>
      <c r="K143" s="165" t="s">
        <v>189</v>
      </c>
      <c r="L143" s="362">
        <v>1.125</v>
      </c>
      <c r="M143" s="507">
        <f t="shared" si="3"/>
        <v>17595.599999999999</v>
      </c>
      <c r="N143" s="508"/>
      <c r="O143" s="124">
        <f t="shared" si="4"/>
        <v>19795.05</v>
      </c>
      <c r="P143" s="125"/>
    </row>
    <row r="144" spans="2:16">
      <c r="B144" s="93"/>
      <c r="C144" s="162" t="s">
        <v>188</v>
      </c>
      <c r="D144" s="163"/>
      <c r="E144" s="163"/>
      <c r="F144" s="163"/>
      <c r="G144" s="163"/>
      <c r="H144" s="163"/>
      <c r="I144" s="163"/>
      <c r="J144" s="164"/>
      <c r="K144" s="165" t="s">
        <v>189</v>
      </c>
      <c r="L144" s="362">
        <f>0.003*L139</f>
        <v>1.125</v>
      </c>
      <c r="M144" s="507">
        <f t="shared" si="3"/>
        <v>19719</v>
      </c>
      <c r="N144" s="508"/>
      <c r="O144" s="124">
        <f t="shared" si="4"/>
        <v>22183.875</v>
      </c>
      <c r="P144" s="125"/>
    </row>
    <row r="145" spans="2:16">
      <c r="B145" s="93"/>
      <c r="C145" s="162"/>
      <c r="D145" s="163"/>
      <c r="E145" s="163"/>
      <c r="F145" s="163"/>
      <c r="G145" s="163"/>
      <c r="H145" s="163"/>
      <c r="I145" s="163"/>
      <c r="J145" s="164"/>
      <c r="K145" s="165"/>
      <c r="L145" s="166"/>
      <c r="M145" s="167"/>
      <c r="N145" s="168"/>
      <c r="O145" s="169"/>
      <c r="P145" s="125"/>
    </row>
    <row r="146" spans="2:16" ht="14.25" thickBot="1">
      <c r="B146" s="93"/>
      <c r="C146" s="492" t="s">
        <v>80</v>
      </c>
      <c r="D146" s="493"/>
      <c r="E146" s="493"/>
      <c r="F146" s="493"/>
      <c r="G146" s="493"/>
      <c r="H146" s="493"/>
      <c r="I146" s="493"/>
      <c r="J146" s="509"/>
      <c r="K146" s="71"/>
      <c r="L146" s="187">
        <v>0.05</v>
      </c>
      <c r="M146" s="497"/>
      <c r="N146" s="496"/>
      <c r="O146" s="133">
        <f>SUM(O139:O145)*L146</f>
        <v>19222.256250000002</v>
      </c>
      <c r="P146" s="125"/>
    </row>
    <row r="147" spans="2:16" ht="14.25" thickBot="1">
      <c r="B147" s="93"/>
      <c r="C147" s="474" t="s">
        <v>44</v>
      </c>
      <c r="D147" s="475"/>
      <c r="E147" s="475"/>
      <c r="F147" s="475"/>
      <c r="G147" s="475"/>
      <c r="H147" s="475"/>
      <c r="I147" s="475"/>
      <c r="J147" s="475"/>
      <c r="K147" s="475"/>
      <c r="L147" s="475"/>
      <c r="M147" s="475"/>
      <c r="N147" s="476"/>
      <c r="O147" s="134">
        <f>SUM(O139:O146)</f>
        <v>403667.38124999998</v>
      </c>
      <c r="P147" s="125"/>
    </row>
    <row r="148" spans="2:16" ht="14.25" thickBot="1">
      <c r="B148" s="93"/>
      <c r="C148" s="77" t="s">
        <v>47</v>
      </c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9"/>
      <c r="P148" s="121"/>
    </row>
    <row r="149" spans="2:16" ht="14.25">
      <c r="B149" s="93"/>
      <c r="C149" s="498" t="s">
        <v>48</v>
      </c>
      <c r="D149" s="499"/>
      <c r="E149" s="499"/>
      <c r="F149" s="499"/>
      <c r="G149" s="499"/>
      <c r="H149" s="499"/>
      <c r="I149" s="499"/>
      <c r="J149" s="161" t="s">
        <v>49</v>
      </c>
      <c r="K149" s="160" t="s">
        <v>50</v>
      </c>
      <c r="L149" s="65" t="s">
        <v>76</v>
      </c>
      <c r="M149" s="510" t="s">
        <v>51</v>
      </c>
      <c r="N149" s="511"/>
      <c r="O149" s="62" t="s">
        <v>43</v>
      </c>
      <c r="P149" s="122"/>
    </row>
    <row r="150" spans="2:16">
      <c r="B150" s="93"/>
      <c r="C150" s="502" t="s">
        <v>192</v>
      </c>
      <c r="D150" s="503"/>
      <c r="E150" s="503"/>
      <c r="F150" s="503"/>
      <c r="G150" s="503"/>
      <c r="H150" s="503"/>
      <c r="I150" s="503"/>
      <c r="J150" s="135">
        <f>+L140</f>
        <v>0.84</v>
      </c>
      <c r="K150" s="136">
        <v>26.5</v>
      </c>
      <c r="L150" s="135">
        <f>J150*K150</f>
        <v>22.259999999999998</v>
      </c>
      <c r="M150" s="507">
        <f>+M34</f>
        <v>1200</v>
      </c>
      <c r="N150" s="508"/>
      <c r="O150" s="124">
        <f>L150*M150</f>
        <v>26711.999999999996</v>
      </c>
      <c r="P150" s="125"/>
    </row>
    <row r="151" spans="2:16" ht="14.25" thickBot="1">
      <c r="B151" s="93"/>
      <c r="C151" s="492" t="s">
        <v>193</v>
      </c>
      <c r="D151" s="493"/>
      <c r="E151" s="493"/>
      <c r="F151" s="493"/>
      <c r="G151" s="493"/>
      <c r="H151" s="493"/>
      <c r="I151" s="493"/>
      <c r="J151" s="361">
        <f>+L141</f>
        <v>0.56000000000000005</v>
      </c>
      <c r="K151" s="242">
        <v>26.5</v>
      </c>
      <c r="L151" s="243">
        <f>J151*K151</f>
        <v>14.840000000000002</v>
      </c>
      <c r="M151" s="507">
        <f>+M34</f>
        <v>1200</v>
      </c>
      <c r="N151" s="508"/>
      <c r="O151" s="124">
        <f>L151*M151</f>
        <v>17808.000000000004</v>
      </c>
      <c r="P151" s="125"/>
    </row>
    <row r="152" spans="2:16" ht="14.25" thickBot="1">
      <c r="B152" s="93"/>
      <c r="C152" s="474" t="s">
        <v>44</v>
      </c>
      <c r="D152" s="475"/>
      <c r="E152" s="475"/>
      <c r="F152" s="475"/>
      <c r="G152" s="475"/>
      <c r="H152" s="475"/>
      <c r="I152" s="475"/>
      <c r="J152" s="475"/>
      <c r="K152" s="475"/>
      <c r="L152" s="475"/>
      <c r="M152" s="475"/>
      <c r="N152" s="476"/>
      <c r="O152" s="129">
        <f>SUM(O150:O151)</f>
        <v>44520</v>
      </c>
      <c r="P152" s="130"/>
    </row>
    <row r="153" spans="2:16" ht="14.25" thickBot="1">
      <c r="B153" s="93"/>
      <c r="C153" s="77" t="s">
        <v>52</v>
      </c>
      <c r="D153" s="78"/>
      <c r="E153" s="78"/>
      <c r="F153" s="78"/>
      <c r="G153" s="78"/>
      <c r="H153" s="78"/>
      <c r="I153" s="78"/>
      <c r="J153" s="244"/>
      <c r="K153" s="78"/>
      <c r="L153" s="78"/>
      <c r="M153" s="78"/>
      <c r="N153" s="78"/>
      <c r="O153" s="79"/>
      <c r="P153" s="121"/>
    </row>
    <row r="154" spans="2:16">
      <c r="B154" s="93"/>
      <c r="C154" s="498" t="s">
        <v>53</v>
      </c>
      <c r="D154" s="499"/>
      <c r="E154" s="499"/>
      <c r="F154" s="499"/>
      <c r="G154" s="499"/>
      <c r="H154" s="499"/>
      <c r="I154" s="499"/>
      <c r="J154" s="246"/>
      <c r="K154" s="506" t="s">
        <v>169</v>
      </c>
      <c r="L154" s="501"/>
      <c r="M154" s="500" t="s">
        <v>42</v>
      </c>
      <c r="N154" s="501"/>
      <c r="O154" s="68" t="s">
        <v>43</v>
      </c>
      <c r="P154" s="139"/>
    </row>
    <row r="155" spans="2:16">
      <c r="B155" s="93"/>
      <c r="C155" s="540" t="str">
        <f>+'MO2021'!C72</f>
        <v xml:space="preserve">CUADRILLA "AA" (Albañileria) </v>
      </c>
      <c r="D155" s="541"/>
      <c r="E155" s="541"/>
      <c r="F155" s="541"/>
      <c r="G155" s="541"/>
      <c r="H155" s="541"/>
      <c r="I155" s="541"/>
      <c r="J155" s="542"/>
      <c r="K155" s="484">
        <f>+'MO2021'!F82</f>
        <v>26134.297994712331</v>
      </c>
      <c r="L155" s="485"/>
      <c r="M155" s="486">
        <v>1.5</v>
      </c>
      <c r="N155" s="487"/>
      <c r="O155" s="142">
        <f>K155*M155</f>
        <v>39201.446992068493</v>
      </c>
      <c r="P155" s="143"/>
    </row>
    <row r="156" spans="2:16">
      <c r="B156" s="93"/>
      <c r="C156" s="140"/>
      <c r="D156" s="141"/>
      <c r="E156" s="141"/>
      <c r="F156" s="141"/>
      <c r="G156" s="141"/>
      <c r="H156" s="141"/>
      <c r="I156" s="141"/>
      <c r="J156" s="247"/>
      <c r="K156" s="488"/>
      <c r="L156" s="489"/>
      <c r="M156" s="490"/>
      <c r="N156" s="491"/>
      <c r="O156" s="142"/>
      <c r="P156" s="143"/>
    </row>
    <row r="157" spans="2:16" ht="14.25" thickBot="1">
      <c r="B157" s="93"/>
      <c r="C157" s="492"/>
      <c r="D157" s="493"/>
      <c r="E157" s="493"/>
      <c r="F157" s="493"/>
      <c r="G157" s="493"/>
      <c r="H157" s="493"/>
      <c r="I157" s="494"/>
      <c r="J157" s="245"/>
      <c r="K157" s="495"/>
      <c r="L157" s="496"/>
      <c r="M157" s="497"/>
      <c r="N157" s="496"/>
      <c r="O157" s="138"/>
      <c r="P157" s="125"/>
    </row>
    <row r="158" spans="2:16" ht="14.25" thickBot="1">
      <c r="B158" s="93"/>
      <c r="C158" s="504" t="s">
        <v>44</v>
      </c>
      <c r="D158" s="505"/>
      <c r="E158" s="505"/>
      <c r="F158" s="505"/>
      <c r="G158" s="505"/>
      <c r="H158" s="505"/>
      <c r="I158" s="505"/>
      <c r="J158" s="505"/>
      <c r="K158" s="475"/>
      <c r="L158" s="475"/>
      <c r="M158" s="475"/>
      <c r="N158" s="476"/>
      <c r="O158" s="134">
        <f>SUM(O155:O157)</f>
        <v>39201.446992068493</v>
      </c>
      <c r="P158" s="125"/>
    </row>
    <row r="159" spans="2:16" ht="5.85" customHeight="1" thickBot="1">
      <c r="B159" s="93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2"/>
      <c r="P159" s="97"/>
    </row>
    <row r="160" spans="2:16" ht="14.25" thickBot="1">
      <c r="B160" s="93"/>
      <c r="C160" s="477" t="s">
        <v>54</v>
      </c>
      <c r="D160" s="478"/>
      <c r="E160" s="478"/>
      <c r="F160" s="478"/>
      <c r="G160" s="478"/>
      <c r="H160" s="478"/>
      <c r="I160" s="478"/>
      <c r="J160" s="478"/>
      <c r="K160" s="478"/>
      <c r="L160" s="478"/>
      <c r="M160" s="478"/>
      <c r="N160" s="479"/>
      <c r="O160" s="144">
        <f>+O136+O147+O152+O158</f>
        <v>500948.90059167187</v>
      </c>
      <c r="P160" s="145"/>
    </row>
    <row r="161" spans="2:16" ht="14.25" thickBot="1">
      <c r="B161" s="93"/>
      <c r="C161" s="77" t="s">
        <v>55</v>
      </c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9"/>
      <c r="P161" s="121"/>
    </row>
    <row r="162" spans="2:16" ht="24.75">
      <c r="B162" s="93"/>
      <c r="C162" s="498" t="s">
        <v>56</v>
      </c>
      <c r="D162" s="499"/>
      <c r="E162" s="499"/>
      <c r="F162" s="499"/>
      <c r="G162" s="499"/>
      <c r="H162" s="499"/>
      <c r="I162" s="499"/>
      <c r="J162" s="64"/>
      <c r="K162" s="69"/>
      <c r="L162" s="67" t="s">
        <v>57</v>
      </c>
      <c r="M162" s="500" t="s">
        <v>58</v>
      </c>
      <c r="N162" s="501"/>
      <c r="O162" s="68"/>
      <c r="P162" s="139"/>
    </row>
    <row r="163" spans="2:16">
      <c r="B163" s="93"/>
      <c r="C163" s="502" t="s">
        <v>59</v>
      </c>
      <c r="D163" s="503"/>
      <c r="E163" s="503"/>
      <c r="F163" s="503"/>
      <c r="G163" s="503"/>
      <c r="H163" s="503"/>
      <c r="I163" s="503"/>
      <c r="J163" s="146"/>
      <c r="K163" s="147"/>
      <c r="L163" s="148">
        <f>'PRESUPUESTO OFICIAL'!K141</f>
        <v>0</v>
      </c>
      <c r="M163" s="470">
        <f>O160*L163</f>
        <v>0</v>
      </c>
      <c r="N163" s="471"/>
      <c r="O163" s="149"/>
      <c r="P163" s="150"/>
    </row>
    <row r="164" spans="2:16">
      <c r="B164" s="93"/>
      <c r="C164" s="70" t="s">
        <v>60</v>
      </c>
      <c r="D164" s="71"/>
      <c r="E164" s="71"/>
      <c r="F164" s="71"/>
      <c r="G164" s="71"/>
      <c r="H164" s="71"/>
      <c r="I164" s="71"/>
      <c r="J164" s="146"/>
      <c r="K164" s="147"/>
      <c r="L164" s="148">
        <f>'PRESUPUESTO OFICIAL'!K142</f>
        <v>0</v>
      </c>
      <c r="M164" s="470">
        <f>+O160*L164</f>
        <v>0</v>
      </c>
      <c r="N164" s="471"/>
      <c r="O164" s="149"/>
      <c r="P164" s="150"/>
    </row>
    <row r="165" spans="2:16" ht="14.25" thickBot="1">
      <c r="B165" s="93"/>
      <c r="C165" s="72" t="s">
        <v>61</v>
      </c>
      <c r="D165" s="73"/>
      <c r="E165" s="73"/>
      <c r="F165" s="73"/>
      <c r="G165" s="73"/>
      <c r="H165" s="73"/>
      <c r="I165" s="73"/>
      <c r="J165" s="151"/>
      <c r="K165" s="152"/>
      <c r="L165" s="148">
        <f>'PRESUPUESTO OFICIAL'!K143</f>
        <v>0</v>
      </c>
      <c r="M165" s="472">
        <f>O160*L165</f>
        <v>0</v>
      </c>
      <c r="N165" s="473"/>
      <c r="O165" s="149"/>
      <c r="P165" s="150"/>
    </row>
    <row r="166" spans="2:16" ht="14.25" thickBot="1">
      <c r="B166" s="93"/>
      <c r="C166" s="474" t="s">
        <v>44</v>
      </c>
      <c r="D166" s="475"/>
      <c r="E166" s="475"/>
      <c r="F166" s="475"/>
      <c r="G166" s="475"/>
      <c r="H166" s="475"/>
      <c r="I166" s="475"/>
      <c r="J166" s="475"/>
      <c r="K166" s="475"/>
      <c r="L166" s="475"/>
      <c r="M166" s="475"/>
      <c r="N166" s="476"/>
      <c r="O166" s="153">
        <f>SUM(M163:N165)</f>
        <v>0</v>
      </c>
      <c r="P166" s="154"/>
    </row>
    <row r="167" spans="2:16" ht="14.25" thickBot="1">
      <c r="B167" s="93"/>
      <c r="C167" s="80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2"/>
      <c r="P167" s="97"/>
    </row>
    <row r="168" spans="2:16" ht="14.25" thickBot="1">
      <c r="B168" s="93"/>
      <c r="C168" s="477" t="s">
        <v>62</v>
      </c>
      <c r="D168" s="478"/>
      <c r="E168" s="478"/>
      <c r="F168" s="478"/>
      <c r="G168" s="478"/>
      <c r="H168" s="478"/>
      <c r="I168" s="478"/>
      <c r="J168" s="478"/>
      <c r="K168" s="478"/>
      <c r="L168" s="478"/>
      <c r="M168" s="478"/>
      <c r="N168" s="479"/>
      <c r="O168" s="155">
        <f>ROUND(O160+O166,0)</f>
        <v>500949</v>
      </c>
      <c r="P168" s="154"/>
    </row>
    <row r="169" spans="2:16">
      <c r="B169" s="93"/>
      <c r="C169" s="80"/>
      <c r="D169" s="81"/>
      <c r="E169" s="81"/>
      <c r="F169" s="83" t="s">
        <v>63</v>
      </c>
      <c r="G169" s="81"/>
      <c r="H169" s="81"/>
      <c r="I169" s="81"/>
      <c r="J169" s="81"/>
      <c r="K169" s="81"/>
      <c r="L169" s="81"/>
      <c r="M169" s="81"/>
      <c r="N169" s="81"/>
      <c r="O169" s="82"/>
      <c r="P169" s="97"/>
    </row>
    <row r="170" spans="2:16">
      <c r="B170" s="93"/>
      <c r="C170" s="80"/>
      <c r="D170" s="81"/>
      <c r="E170" s="81"/>
      <c r="F170" s="83" t="s">
        <v>64</v>
      </c>
      <c r="G170" s="81"/>
      <c r="H170" s="81"/>
      <c r="I170" s="81"/>
      <c r="J170" s="81"/>
      <c r="K170" s="81"/>
      <c r="L170" s="81"/>
      <c r="M170" s="81"/>
      <c r="N170" s="81"/>
      <c r="O170" s="82"/>
      <c r="P170" s="97"/>
    </row>
    <row r="171" spans="2:16">
      <c r="B171" s="93"/>
      <c r="C171" s="84"/>
      <c r="D171" s="85"/>
      <c r="E171" s="85"/>
      <c r="F171" s="83" t="s">
        <v>65</v>
      </c>
      <c r="G171" s="85"/>
      <c r="H171" s="81"/>
      <c r="I171" s="85"/>
      <c r="J171" s="85"/>
      <c r="K171" s="85"/>
      <c r="L171" s="85"/>
      <c r="M171" s="85"/>
      <c r="N171" s="85"/>
      <c r="O171" s="86"/>
      <c r="P171" s="27"/>
    </row>
    <row r="172" spans="2:16" ht="14.25" thickBot="1">
      <c r="B172" s="93"/>
      <c r="C172" s="480"/>
      <c r="D172" s="481"/>
      <c r="E172" s="481"/>
      <c r="F172" s="73" t="s">
        <v>66</v>
      </c>
      <c r="G172" s="87"/>
      <c r="H172" s="87"/>
      <c r="I172" s="87"/>
      <c r="J172" s="87"/>
      <c r="K172" s="482"/>
      <c r="L172" s="482"/>
      <c r="M172" s="482"/>
      <c r="N172" s="482"/>
      <c r="O172" s="483"/>
      <c r="P172" s="156"/>
    </row>
    <row r="173" spans="2:16" ht="10.35" customHeight="1" thickBot="1">
      <c r="B173" s="157"/>
      <c r="C173" s="158"/>
      <c r="D173" s="158"/>
      <c r="E173" s="158"/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9"/>
    </row>
    <row r="174" spans="2:16" ht="14.25" thickTop="1"/>
    <row r="175" spans="2:16" ht="10.35" customHeight="1" thickBot="1"/>
    <row r="176" spans="2:16" ht="5.85" customHeight="1" thickTop="1">
      <c r="B176" s="90"/>
      <c r="C176" s="91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2"/>
    </row>
    <row r="177" spans="2:16">
      <c r="B177" s="93"/>
      <c r="C177" s="94" t="s">
        <v>24</v>
      </c>
      <c r="D177" s="95" t="s">
        <v>25</v>
      </c>
      <c r="E177" s="94" t="s">
        <v>26</v>
      </c>
      <c r="F177" s="95">
        <v>2</v>
      </c>
      <c r="G177" s="96"/>
      <c r="H177" s="174" t="s">
        <v>74</v>
      </c>
      <c r="I177" s="96"/>
      <c r="J177" s="96"/>
      <c r="K177" s="96"/>
      <c r="L177" s="96"/>
      <c r="M177" s="96"/>
      <c r="N177" s="96"/>
      <c r="O177" s="96"/>
      <c r="P177" s="97"/>
    </row>
    <row r="178" spans="2:16" ht="5.85" customHeight="1" thickBot="1">
      <c r="B178" s="93"/>
      <c r="C178" s="98"/>
      <c r="D178" s="99"/>
      <c r="E178" s="100"/>
      <c r="F178" s="99"/>
      <c r="G178" s="101"/>
      <c r="H178" s="101"/>
      <c r="I178" s="101"/>
      <c r="J178" s="101"/>
      <c r="K178" s="101"/>
      <c r="L178" s="101"/>
      <c r="M178" s="101"/>
      <c r="N178" s="101"/>
      <c r="O178" s="101"/>
      <c r="P178" s="97"/>
    </row>
    <row r="179" spans="2:16">
      <c r="B179" s="93"/>
      <c r="C179" s="352"/>
      <c r="D179" s="526"/>
      <c r="E179" s="527"/>
      <c r="F179" s="527"/>
      <c r="G179" s="527"/>
      <c r="H179" s="527"/>
      <c r="I179" s="527"/>
      <c r="J179" s="527"/>
      <c r="K179" s="528"/>
      <c r="L179" s="59" t="s">
        <v>27</v>
      </c>
      <c r="M179" s="102"/>
      <c r="N179" s="103"/>
      <c r="O179" s="104"/>
      <c r="P179" s="23"/>
    </row>
    <row r="180" spans="2:16">
      <c r="B180" s="93"/>
      <c r="C180" s="352"/>
      <c r="D180" s="529" t="s">
        <v>30</v>
      </c>
      <c r="E180" s="530"/>
      <c r="F180" s="530"/>
      <c r="G180" s="530"/>
      <c r="H180" s="530"/>
      <c r="I180" s="530"/>
      <c r="J180" s="530"/>
      <c r="K180" s="531"/>
      <c r="L180" s="58" t="s">
        <v>28</v>
      </c>
      <c r="M180" s="58">
        <v>1</v>
      </c>
      <c r="N180" s="57" t="s">
        <v>29</v>
      </c>
      <c r="O180" s="60">
        <v>1</v>
      </c>
      <c r="P180" s="23"/>
    </row>
    <row r="181" spans="2:16" ht="5.85" customHeight="1" thickBot="1">
      <c r="B181" s="93"/>
      <c r="C181" s="105"/>
      <c r="D181" s="106"/>
      <c r="E181" s="106"/>
      <c r="F181" s="106"/>
      <c r="G181" s="106"/>
      <c r="H181" s="106"/>
      <c r="I181" s="106"/>
      <c r="J181" s="106"/>
      <c r="K181" s="106"/>
      <c r="L181" s="106"/>
      <c r="M181" s="107"/>
      <c r="N181" s="107"/>
      <c r="O181" s="108"/>
      <c r="P181" s="25"/>
    </row>
    <row r="182" spans="2:16">
      <c r="B182" s="93"/>
      <c r="C182" s="109"/>
      <c r="D182" s="110"/>
      <c r="E182" s="110"/>
      <c r="F182" s="110"/>
      <c r="G182" s="110"/>
      <c r="H182" s="110"/>
      <c r="I182" s="110"/>
      <c r="J182" s="110"/>
      <c r="K182" s="110"/>
      <c r="L182" s="54" t="s">
        <v>31</v>
      </c>
      <c r="M182" s="55" t="s">
        <v>32</v>
      </c>
      <c r="N182" s="55" t="s">
        <v>33</v>
      </c>
      <c r="O182" s="56" t="s">
        <v>34</v>
      </c>
      <c r="P182" s="24"/>
    </row>
    <row r="183" spans="2:16" ht="14.25" thickBot="1">
      <c r="B183" s="93"/>
      <c r="C183" s="74" t="s">
        <v>196</v>
      </c>
      <c r="D183" s="111"/>
      <c r="E183" s="111"/>
      <c r="F183" s="111"/>
      <c r="G183" s="111"/>
      <c r="H183" s="111"/>
      <c r="I183" s="111"/>
      <c r="J183" s="111"/>
      <c r="K183" s="111"/>
      <c r="L183" s="112"/>
      <c r="M183" s="113"/>
      <c r="N183" s="113"/>
      <c r="O183" s="114"/>
      <c r="P183" s="26"/>
    </row>
    <row r="184" spans="2:16" ht="14.25" thickBot="1">
      <c r="B184" s="93"/>
      <c r="C184" s="532" t="s">
        <v>35</v>
      </c>
      <c r="D184" s="533"/>
      <c r="E184" s="533"/>
      <c r="F184" s="533"/>
      <c r="G184" s="533"/>
      <c r="H184" s="533"/>
      <c r="I184" s="533"/>
      <c r="J184" s="533"/>
      <c r="K184" s="533"/>
      <c r="L184" s="533"/>
      <c r="M184" s="533"/>
      <c r="N184" s="533"/>
      <c r="O184" s="534"/>
      <c r="P184" s="115"/>
    </row>
    <row r="185" spans="2:16">
      <c r="B185" s="93"/>
      <c r="C185" s="66" t="s">
        <v>36</v>
      </c>
      <c r="D185" s="535" t="s">
        <v>3</v>
      </c>
      <c r="E185" s="536"/>
      <c r="F185" s="536"/>
      <c r="G185" s="536"/>
      <c r="H185" s="536"/>
      <c r="I185" s="536"/>
      <c r="J185" s="536"/>
      <c r="K185" s="536"/>
      <c r="L185" s="537"/>
      <c r="M185" s="538" t="s">
        <v>37</v>
      </c>
      <c r="N185" s="539"/>
      <c r="O185" s="66" t="s">
        <v>4</v>
      </c>
      <c r="P185" s="116"/>
    </row>
    <row r="186" spans="2:16" ht="14.25" thickBot="1">
      <c r="B186" s="93"/>
      <c r="C186" s="117" t="s">
        <v>201</v>
      </c>
      <c r="D186" s="515" t="s">
        <v>199</v>
      </c>
      <c r="E186" s="516"/>
      <c r="F186" s="516"/>
      <c r="G186" s="516"/>
      <c r="H186" s="516"/>
      <c r="I186" s="516"/>
      <c r="J186" s="516"/>
      <c r="K186" s="516"/>
      <c r="L186" s="517"/>
      <c r="M186" s="515" t="s">
        <v>182</v>
      </c>
      <c r="N186" s="517"/>
      <c r="O186" s="118"/>
      <c r="P186" s="119"/>
    </row>
    <row r="187" spans="2:16" ht="14.25" thickBot="1">
      <c r="B187" s="93"/>
      <c r="C187" s="74" t="s">
        <v>38</v>
      </c>
      <c r="D187" s="75"/>
      <c r="E187" s="75"/>
      <c r="F187" s="75"/>
      <c r="G187" s="75"/>
      <c r="H187" s="75"/>
      <c r="I187" s="75"/>
      <c r="J187" s="78"/>
      <c r="K187" s="78"/>
      <c r="L187" s="75"/>
      <c r="M187" s="75"/>
      <c r="N187" s="75"/>
      <c r="O187" s="76"/>
      <c r="P187" s="121"/>
    </row>
    <row r="188" spans="2:16">
      <c r="B188" s="93"/>
      <c r="C188" s="498" t="s">
        <v>3</v>
      </c>
      <c r="D188" s="513"/>
      <c r="E188" s="513"/>
      <c r="F188" s="513"/>
      <c r="G188" s="514"/>
      <c r="H188" s="510" t="s">
        <v>39</v>
      </c>
      <c r="I188" s="513"/>
      <c r="J188" s="522" t="s">
        <v>40</v>
      </c>
      <c r="K188" s="523"/>
      <c r="L188" s="61" t="s">
        <v>51</v>
      </c>
      <c r="M188" s="510" t="s">
        <v>42</v>
      </c>
      <c r="N188" s="511"/>
      <c r="O188" s="62" t="s">
        <v>43</v>
      </c>
      <c r="P188" s="122"/>
    </row>
    <row r="189" spans="2:16">
      <c r="B189" s="93"/>
      <c r="C189" s="502" t="s">
        <v>81</v>
      </c>
      <c r="D189" s="503"/>
      <c r="E189" s="503"/>
      <c r="F189" s="503"/>
      <c r="G189" s="524"/>
      <c r="H189" s="525"/>
      <c r="I189" s="524"/>
      <c r="J189" s="525"/>
      <c r="K189" s="524"/>
      <c r="L189" s="123">
        <v>0.05</v>
      </c>
      <c r="M189" s="520"/>
      <c r="N189" s="521"/>
      <c r="O189" s="124">
        <f>L189*O216</f>
        <v>1960.0723496034248</v>
      </c>
      <c r="P189" s="125"/>
    </row>
    <row r="190" spans="2:16">
      <c r="B190" s="93"/>
      <c r="C190" s="162" t="s">
        <v>191</v>
      </c>
      <c r="D190" s="163"/>
      <c r="E190" s="163"/>
      <c r="F190" s="163"/>
      <c r="G190" s="164"/>
      <c r="H190" s="171"/>
      <c r="I190" s="164"/>
      <c r="J190" s="171"/>
      <c r="K190" s="164"/>
      <c r="L190" s="123">
        <f>L16</f>
        <v>92800</v>
      </c>
      <c r="M190" s="520">
        <f>0.125</f>
        <v>0.125</v>
      </c>
      <c r="N190" s="521"/>
      <c r="O190" s="124">
        <f>L190*M190</f>
        <v>11600</v>
      </c>
      <c r="P190" s="125"/>
    </row>
    <row r="191" spans="2:16">
      <c r="B191" s="93"/>
      <c r="C191" s="162"/>
      <c r="D191" s="163"/>
      <c r="E191" s="163"/>
      <c r="F191" s="163"/>
      <c r="G191" s="164"/>
      <c r="H191" s="171"/>
      <c r="I191" s="164"/>
      <c r="J191" s="171"/>
      <c r="K191" s="164"/>
      <c r="L191" s="123"/>
      <c r="M191" s="172"/>
      <c r="N191" s="173"/>
      <c r="O191" s="124"/>
      <c r="P191" s="125"/>
    </row>
    <row r="192" spans="2:16">
      <c r="B192" s="93"/>
      <c r="C192" s="70"/>
      <c r="D192" s="71"/>
      <c r="E192" s="71"/>
      <c r="F192" s="71"/>
      <c r="G192" s="126"/>
      <c r="H192" s="127"/>
      <c r="I192" s="126"/>
      <c r="J192" s="127"/>
      <c r="K192" s="126"/>
      <c r="L192" s="123"/>
      <c r="M192" s="520"/>
      <c r="N192" s="521"/>
      <c r="O192" s="124"/>
      <c r="P192" s="125"/>
    </row>
    <row r="193" spans="2:16" ht="14.25" thickBot="1">
      <c r="B193" s="93"/>
      <c r="C193" s="492"/>
      <c r="D193" s="493"/>
      <c r="E193" s="493"/>
      <c r="F193" s="493"/>
      <c r="G193" s="509"/>
      <c r="H193" s="512"/>
      <c r="I193" s="509"/>
      <c r="J193" s="512"/>
      <c r="K193" s="509"/>
      <c r="L193" s="128"/>
      <c r="M193" s="518"/>
      <c r="N193" s="519"/>
      <c r="O193" s="124"/>
      <c r="P193" s="125"/>
    </row>
    <row r="194" spans="2:16" ht="14.25" thickBot="1">
      <c r="B194" s="93"/>
      <c r="C194" s="474" t="s">
        <v>44</v>
      </c>
      <c r="D194" s="475"/>
      <c r="E194" s="475"/>
      <c r="F194" s="475"/>
      <c r="G194" s="475"/>
      <c r="H194" s="475"/>
      <c r="I194" s="475"/>
      <c r="J194" s="475"/>
      <c r="K194" s="475"/>
      <c r="L194" s="475"/>
      <c r="M194" s="475"/>
      <c r="N194" s="476"/>
      <c r="O194" s="129">
        <f>SUM(O189:O193)</f>
        <v>13560.072349603424</v>
      </c>
      <c r="P194" s="130"/>
    </row>
    <row r="195" spans="2:16" ht="14.25" thickBot="1">
      <c r="B195" s="93"/>
      <c r="C195" s="77" t="s">
        <v>45</v>
      </c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9"/>
      <c r="P195" s="121"/>
    </row>
    <row r="196" spans="2:16">
      <c r="B196" s="93"/>
      <c r="C196" s="498" t="s">
        <v>3</v>
      </c>
      <c r="D196" s="499"/>
      <c r="E196" s="499"/>
      <c r="F196" s="499"/>
      <c r="G196" s="499"/>
      <c r="H196" s="499"/>
      <c r="I196" s="499"/>
      <c r="J196" s="511"/>
      <c r="K196" s="63" t="s">
        <v>37</v>
      </c>
      <c r="L196" s="61" t="s">
        <v>4</v>
      </c>
      <c r="M196" s="510" t="s">
        <v>46</v>
      </c>
      <c r="N196" s="511"/>
      <c r="O196" s="62" t="s">
        <v>43</v>
      </c>
      <c r="P196" s="122"/>
    </row>
    <row r="197" spans="2:16">
      <c r="B197" s="93"/>
      <c r="C197" s="358" t="s">
        <v>183</v>
      </c>
      <c r="D197" s="359"/>
      <c r="E197" s="359"/>
      <c r="F197" s="359"/>
      <c r="G197" s="359"/>
      <c r="H197" s="359"/>
      <c r="I197" s="359"/>
      <c r="J197" s="360"/>
      <c r="K197" s="131" t="s">
        <v>79</v>
      </c>
      <c r="L197" s="132">
        <v>300</v>
      </c>
      <c r="M197" s="507">
        <f>+M23</f>
        <v>600</v>
      </c>
      <c r="N197" s="508"/>
      <c r="O197" s="124">
        <f>L197*M197</f>
        <v>180000</v>
      </c>
      <c r="P197" s="125"/>
    </row>
    <row r="198" spans="2:16">
      <c r="B198" s="93"/>
      <c r="C198" s="162" t="s">
        <v>184</v>
      </c>
      <c r="D198" s="163"/>
      <c r="E198" s="163"/>
      <c r="F198" s="163"/>
      <c r="G198" s="163"/>
      <c r="H198" s="163"/>
      <c r="I198" s="163"/>
      <c r="J198" s="164"/>
      <c r="K198" s="165" t="s">
        <v>79</v>
      </c>
      <c r="L198" s="186">
        <v>0.95</v>
      </c>
      <c r="M198" s="507">
        <f t="shared" ref="M198:M202" si="5">+M24</f>
        <v>98175</v>
      </c>
      <c r="N198" s="508"/>
      <c r="O198" s="124">
        <f t="shared" ref="O198:O202" si="6">L198*M198</f>
        <v>93266.25</v>
      </c>
      <c r="P198" s="125"/>
    </row>
    <row r="199" spans="2:16">
      <c r="B199" s="93"/>
      <c r="C199" s="162" t="s">
        <v>185</v>
      </c>
      <c r="D199" s="163"/>
      <c r="E199" s="163"/>
      <c r="F199" s="163"/>
      <c r="G199" s="163"/>
      <c r="H199" s="163"/>
      <c r="I199" s="163"/>
      <c r="J199" s="164"/>
      <c r="K199" s="165" t="s">
        <v>176</v>
      </c>
      <c r="L199" s="166">
        <v>0.48</v>
      </c>
      <c r="M199" s="507">
        <f t="shared" si="5"/>
        <v>40320</v>
      </c>
      <c r="N199" s="508"/>
      <c r="O199" s="124">
        <f t="shared" si="6"/>
        <v>19353.599999999999</v>
      </c>
      <c r="P199" s="125"/>
    </row>
    <row r="200" spans="2:16">
      <c r="B200" s="93"/>
      <c r="C200" s="162" t="s">
        <v>186</v>
      </c>
      <c r="D200" s="163"/>
      <c r="E200" s="163"/>
      <c r="F200" s="163"/>
      <c r="G200" s="163"/>
      <c r="H200" s="163"/>
      <c r="I200" s="163"/>
      <c r="J200" s="164"/>
      <c r="K200" s="165" t="s">
        <v>190</v>
      </c>
      <c r="L200" s="166">
        <v>170</v>
      </c>
      <c r="M200" s="507">
        <f t="shared" si="5"/>
        <v>69</v>
      </c>
      <c r="N200" s="508"/>
      <c r="O200" s="124">
        <f t="shared" si="6"/>
        <v>11730</v>
      </c>
      <c r="P200" s="125"/>
    </row>
    <row r="201" spans="2:16">
      <c r="B201" s="93"/>
      <c r="C201" s="162" t="s">
        <v>187</v>
      </c>
      <c r="D201" s="163"/>
      <c r="E201" s="163"/>
      <c r="F201" s="163"/>
      <c r="G201" s="163"/>
      <c r="H201" s="163"/>
      <c r="I201" s="163"/>
      <c r="J201" s="164"/>
      <c r="K201" s="165" t="s">
        <v>189</v>
      </c>
      <c r="L201" s="362">
        <v>0.9</v>
      </c>
      <c r="M201" s="507">
        <f t="shared" si="5"/>
        <v>17595.599999999999</v>
      </c>
      <c r="N201" s="508"/>
      <c r="O201" s="124">
        <f t="shared" si="6"/>
        <v>15836.039999999999</v>
      </c>
      <c r="P201" s="125"/>
    </row>
    <row r="202" spans="2:16">
      <c r="B202" s="93"/>
      <c r="C202" s="162" t="s">
        <v>188</v>
      </c>
      <c r="D202" s="163"/>
      <c r="E202" s="163"/>
      <c r="F202" s="163"/>
      <c r="G202" s="163"/>
      <c r="H202" s="163"/>
      <c r="I202" s="163"/>
      <c r="J202" s="164"/>
      <c r="K202" s="165" t="s">
        <v>189</v>
      </c>
      <c r="L202" s="362">
        <f>0.003*L197</f>
        <v>0.9</v>
      </c>
      <c r="M202" s="507">
        <f t="shared" si="5"/>
        <v>19719</v>
      </c>
      <c r="N202" s="508"/>
      <c r="O202" s="124">
        <f t="shared" si="6"/>
        <v>17747.100000000002</v>
      </c>
      <c r="P202" s="125"/>
    </row>
    <row r="203" spans="2:16">
      <c r="B203" s="93"/>
      <c r="C203" s="162"/>
      <c r="D203" s="163"/>
      <c r="E203" s="163"/>
      <c r="F203" s="163"/>
      <c r="G203" s="163"/>
      <c r="H203" s="163"/>
      <c r="I203" s="163"/>
      <c r="J203" s="164"/>
      <c r="K203" s="165"/>
      <c r="L203" s="166"/>
      <c r="M203" s="167"/>
      <c r="N203" s="168"/>
      <c r="O203" s="169"/>
      <c r="P203" s="125"/>
    </row>
    <row r="204" spans="2:16" ht="14.25" thickBot="1">
      <c r="B204" s="93"/>
      <c r="C204" s="492" t="s">
        <v>80</v>
      </c>
      <c r="D204" s="493"/>
      <c r="E204" s="493"/>
      <c r="F204" s="493"/>
      <c r="G204" s="493"/>
      <c r="H204" s="493"/>
      <c r="I204" s="493"/>
      <c r="J204" s="509"/>
      <c r="K204" s="71"/>
      <c r="L204" s="187">
        <v>0.05</v>
      </c>
      <c r="M204" s="497"/>
      <c r="N204" s="496"/>
      <c r="O204" s="133">
        <f>SUM(O197:O203)*L204</f>
        <v>16896.649499999996</v>
      </c>
      <c r="P204" s="125"/>
    </row>
    <row r="205" spans="2:16" ht="14.25" thickBot="1">
      <c r="B205" s="93"/>
      <c r="C205" s="474" t="s">
        <v>44</v>
      </c>
      <c r="D205" s="475"/>
      <c r="E205" s="475"/>
      <c r="F205" s="475"/>
      <c r="G205" s="475"/>
      <c r="H205" s="475"/>
      <c r="I205" s="475"/>
      <c r="J205" s="475"/>
      <c r="K205" s="475"/>
      <c r="L205" s="475"/>
      <c r="M205" s="475"/>
      <c r="N205" s="476"/>
      <c r="O205" s="134">
        <f>SUM(O197:O204)</f>
        <v>354829.63949999993</v>
      </c>
      <c r="P205" s="125"/>
    </row>
    <row r="206" spans="2:16" ht="14.25" thickBot="1">
      <c r="B206" s="93"/>
      <c r="C206" s="77" t="s">
        <v>47</v>
      </c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9"/>
      <c r="P206" s="121"/>
    </row>
    <row r="207" spans="2:16" ht="14.25">
      <c r="B207" s="93"/>
      <c r="C207" s="498" t="s">
        <v>48</v>
      </c>
      <c r="D207" s="499"/>
      <c r="E207" s="499"/>
      <c r="F207" s="499"/>
      <c r="G207" s="499"/>
      <c r="H207" s="499"/>
      <c r="I207" s="499"/>
      <c r="J207" s="161" t="s">
        <v>49</v>
      </c>
      <c r="K207" s="160" t="s">
        <v>50</v>
      </c>
      <c r="L207" s="65" t="s">
        <v>76</v>
      </c>
      <c r="M207" s="510" t="s">
        <v>51</v>
      </c>
      <c r="N207" s="511"/>
      <c r="O207" s="62" t="s">
        <v>43</v>
      </c>
      <c r="P207" s="122"/>
    </row>
    <row r="208" spans="2:16">
      <c r="B208" s="93"/>
      <c r="C208" s="502" t="s">
        <v>192</v>
      </c>
      <c r="D208" s="503"/>
      <c r="E208" s="503"/>
      <c r="F208" s="503"/>
      <c r="G208" s="503"/>
      <c r="H208" s="503"/>
      <c r="I208" s="503"/>
      <c r="J208" s="135">
        <f>+L198</f>
        <v>0.95</v>
      </c>
      <c r="K208" s="136">
        <v>26.5</v>
      </c>
      <c r="L208" s="135">
        <f>J208*K208</f>
        <v>25.174999999999997</v>
      </c>
      <c r="M208" s="507">
        <f>+M34</f>
        <v>1200</v>
      </c>
      <c r="N208" s="508"/>
      <c r="O208" s="124">
        <f>L208*M208</f>
        <v>30209.999999999996</v>
      </c>
      <c r="P208" s="125"/>
    </row>
    <row r="209" spans="2:16" ht="14.25" thickBot="1">
      <c r="B209" s="93"/>
      <c r="C209" s="492" t="s">
        <v>193</v>
      </c>
      <c r="D209" s="493"/>
      <c r="E209" s="493"/>
      <c r="F209" s="493"/>
      <c r="G209" s="493"/>
      <c r="H209" s="493"/>
      <c r="I209" s="493"/>
      <c r="J209" s="361">
        <f>+L199</f>
        <v>0.48</v>
      </c>
      <c r="K209" s="242">
        <v>26.5</v>
      </c>
      <c r="L209" s="243">
        <f>J209*K209</f>
        <v>12.719999999999999</v>
      </c>
      <c r="M209" s="507">
        <f>+M35</f>
        <v>1200</v>
      </c>
      <c r="N209" s="508"/>
      <c r="O209" s="124">
        <f>L209*M209</f>
        <v>15263.999999999998</v>
      </c>
      <c r="P209" s="125"/>
    </row>
    <row r="210" spans="2:16" ht="14.25" thickBot="1">
      <c r="B210" s="93"/>
      <c r="C210" s="474" t="s">
        <v>44</v>
      </c>
      <c r="D210" s="475"/>
      <c r="E210" s="475"/>
      <c r="F210" s="475"/>
      <c r="G210" s="475"/>
      <c r="H210" s="475"/>
      <c r="I210" s="475"/>
      <c r="J210" s="475"/>
      <c r="K210" s="475"/>
      <c r="L210" s="475"/>
      <c r="M210" s="475"/>
      <c r="N210" s="476"/>
      <c r="O210" s="129">
        <f>SUM(O208:O209)</f>
        <v>45473.999999999993</v>
      </c>
      <c r="P210" s="130"/>
    </row>
    <row r="211" spans="2:16" ht="14.25" thickBot="1">
      <c r="B211" s="93"/>
      <c r="C211" s="77" t="s">
        <v>52</v>
      </c>
      <c r="D211" s="78"/>
      <c r="E211" s="78"/>
      <c r="F211" s="78"/>
      <c r="G211" s="78"/>
      <c r="H211" s="78"/>
      <c r="I211" s="78"/>
      <c r="J211" s="244"/>
      <c r="K211" s="78"/>
      <c r="L211" s="78"/>
      <c r="M211" s="78"/>
      <c r="N211" s="78"/>
      <c r="O211" s="79"/>
      <c r="P211" s="121"/>
    </row>
    <row r="212" spans="2:16">
      <c r="B212" s="93"/>
      <c r="C212" s="498" t="s">
        <v>53</v>
      </c>
      <c r="D212" s="499"/>
      <c r="E212" s="499"/>
      <c r="F212" s="499"/>
      <c r="G212" s="499"/>
      <c r="H212" s="499"/>
      <c r="I212" s="499"/>
      <c r="J212" s="246"/>
      <c r="K212" s="506" t="s">
        <v>169</v>
      </c>
      <c r="L212" s="501"/>
      <c r="M212" s="500" t="s">
        <v>42</v>
      </c>
      <c r="N212" s="501"/>
      <c r="O212" s="68" t="s">
        <v>43</v>
      </c>
      <c r="P212" s="139"/>
    </row>
    <row r="213" spans="2:16">
      <c r="B213" s="93"/>
      <c r="C213" s="540" t="str">
        <f>+'MO2021'!C72</f>
        <v xml:space="preserve">CUADRILLA "AA" (Albañileria) </v>
      </c>
      <c r="D213" s="541"/>
      <c r="E213" s="541"/>
      <c r="F213" s="541"/>
      <c r="G213" s="541"/>
      <c r="H213" s="541"/>
      <c r="I213" s="541"/>
      <c r="J213" s="542"/>
      <c r="K213" s="484">
        <f>+'MO2021'!F82</f>
        <v>26134.297994712331</v>
      </c>
      <c r="L213" s="485"/>
      <c r="M213" s="486">
        <v>1.5</v>
      </c>
      <c r="N213" s="487"/>
      <c r="O213" s="142">
        <f>K213*M213</f>
        <v>39201.446992068493</v>
      </c>
      <c r="P213" s="143"/>
    </row>
    <row r="214" spans="2:16">
      <c r="B214" s="93"/>
      <c r="C214" s="140"/>
      <c r="D214" s="141"/>
      <c r="E214" s="141"/>
      <c r="F214" s="141"/>
      <c r="G214" s="141"/>
      <c r="H214" s="141"/>
      <c r="I214" s="141"/>
      <c r="J214" s="247"/>
      <c r="K214" s="488"/>
      <c r="L214" s="489"/>
      <c r="M214" s="490"/>
      <c r="N214" s="491"/>
      <c r="O214" s="142"/>
      <c r="P214" s="143"/>
    </row>
    <row r="215" spans="2:16" ht="14.25" thickBot="1">
      <c r="B215" s="93"/>
      <c r="C215" s="492"/>
      <c r="D215" s="493"/>
      <c r="E215" s="493"/>
      <c r="F215" s="493"/>
      <c r="G215" s="493"/>
      <c r="H215" s="493"/>
      <c r="I215" s="494"/>
      <c r="J215" s="245"/>
      <c r="K215" s="495"/>
      <c r="L215" s="496"/>
      <c r="M215" s="497"/>
      <c r="N215" s="496"/>
      <c r="O215" s="138"/>
      <c r="P215" s="125"/>
    </row>
    <row r="216" spans="2:16" ht="14.25" thickBot="1">
      <c r="B216" s="93"/>
      <c r="C216" s="504" t="s">
        <v>44</v>
      </c>
      <c r="D216" s="505"/>
      <c r="E216" s="505"/>
      <c r="F216" s="505"/>
      <c r="G216" s="505"/>
      <c r="H216" s="505"/>
      <c r="I216" s="505"/>
      <c r="J216" s="505"/>
      <c r="K216" s="475"/>
      <c r="L216" s="475"/>
      <c r="M216" s="475"/>
      <c r="N216" s="476"/>
      <c r="O216" s="134">
        <f>SUM(O213:O215)</f>
        <v>39201.446992068493</v>
      </c>
      <c r="P216" s="125"/>
    </row>
    <row r="217" spans="2:16" ht="5.85" customHeight="1" thickBot="1">
      <c r="B217" s="93"/>
      <c r="C217" s="80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2"/>
      <c r="P217" s="97"/>
    </row>
    <row r="218" spans="2:16" ht="14.25" thickBot="1">
      <c r="B218" s="93"/>
      <c r="C218" s="477" t="s">
        <v>54</v>
      </c>
      <c r="D218" s="478"/>
      <c r="E218" s="478"/>
      <c r="F218" s="478"/>
      <c r="G218" s="478"/>
      <c r="H218" s="478"/>
      <c r="I218" s="478"/>
      <c r="J218" s="478"/>
      <c r="K218" s="478"/>
      <c r="L218" s="478"/>
      <c r="M218" s="478"/>
      <c r="N218" s="479"/>
      <c r="O218" s="144">
        <f>+O194+O205+O210+O216</f>
        <v>453065.15884167183</v>
      </c>
      <c r="P218" s="145"/>
    </row>
    <row r="219" spans="2:16" ht="14.25" thickBot="1">
      <c r="B219" s="93"/>
      <c r="C219" s="77" t="s">
        <v>55</v>
      </c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9"/>
      <c r="P219" s="121"/>
    </row>
    <row r="220" spans="2:16" ht="24.75">
      <c r="B220" s="93"/>
      <c r="C220" s="498" t="s">
        <v>56</v>
      </c>
      <c r="D220" s="499"/>
      <c r="E220" s="499"/>
      <c r="F220" s="499"/>
      <c r="G220" s="499"/>
      <c r="H220" s="499"/>
      <c r="I220" s="499"/>
      <c r="J220" s="64"/>
      <c r="K220" s="69"/>
      <c r="L220" s="67" t="s">
        <v>57</v>
      </c>
      <c r="M220" s="500" t="s">
        <v>58</v>
      </c>
      <c r="N220" s="501"/>
      <c r="O220" s="68"/>
      <c r="P220" s="139"/>
    </row>
    <row r="221" spans="2:16">
      <c r="B221" s="93"/>
      <c r="C221" s="502" t="s">
        <v>59</v>
      </c>
      <c r="D221" s="503"/>
      <c r="E221" s="503"/>
      <c r="F221" s="503"/>
      <c r="G221" s="503"/>
      <c r="H221" s="503"/>
      <c r="I221" s="503"/>
      <c r="J221" s="146"/>
      <c r="K221" s="147"/>
      <c r="L221" s="148">
        <f>'PRESUPUESTO OFICIAL'!K199</f>
        <v>0</v>
      </c>
      <c r="M221" s="470">
        <f>O218*L221</f>
        <v>0</v>
      </c>
      <c r="N221" s="471"/>
      <c r="O221" s="149"/>
      <c r="P221" s="150"/>
    </row>
    <row r="222" spans="2:16">
      <c r="B222" s="93"/>
      <c r="C222" s="70" t="s">
        <v>60</v>
      </c>
      <c r="D222" s="71"/>
      <c r="E222" s="71"/>
      <c r="F222" s="71"/>
      <c r="G222" s="71"/>
      <c r="H222" s="71"/>
      <c r="I222" s="71"/>
      <c r="J222" s="146"/>
      <c r="K222" s="147"/>
      <c r="L222" s="148">
        <f>'PRESUPUESTO OFICIAL'!K200</f>
        <v>0</v>
      </c>
      <c r="M222" s="470">
        <f>+O218*L222</f>
        <v>0</v>
      </c>
      <c r="N222" s="471"/>
      <c r="O222" s="149"/>
      <c r="P222" s="150"/>
    </row>
    <row r="223" spans="2:16" ht="14.25" thickBot="1">
      <c r="B223" s="93"/>
      <c r="C223" s="72" t="s">
        <v>61</v>
      </c>
      <c r="D223" s="73"/>
      <c r="E223" s="73"/>
      <c r="F223" s="73"/>
      <c r="G223" s="73"/>
      <c r="H223" s="73"/>
      <c r="I223" s="73"/>
      <c r="J223" s="151"/>
      <c r="K223" s="152"/>
      <c r="L223" s="148">
        <f>'PRESUPUESTO OFICIAL'!K201</f>
        <v>0</v>
      </c>
      <c r="M223" s="472">
        <f>O218*L223</f>
        <v>0</v>
      </c>
      <c r="N223" s="473"/>
      <c r="O223" s="149"/>
      <c r="P223" s="150"/>
    </row>
    <row r="224" spans="2:16" ht="14.25" thickBot="1">
      <c r="B224" s="93"/>
      <c r="C224" s="474" t="s">
        <v>44</v>
      </c>
      <c r="D224" s="475"/>
      <c r="E224" s="475"/>
      <c r="F224" s="475"/>
      <c r="G224" s="475"/>
      <c r="H224" s="475"/>
      <c r="I224" s="475"/>
      <c r="J224" s="475"/>
      <c r="K224" s="475"/>
      <c r="L224" s="475"/>
      <c r="M224" s="475"/>
      <c r="N224" s="476"/>
      <c r="O224" s="153">
        <f>SUM(M221:N223)</f>
        <v>0</v>
      </c>
      <c r="P224" s="154"/>
    </row>
    <row r="225" spans="2:16" ht="14.25" thickBot="1">
      <c r="B225" s="93"/>
      <c r="C225" s="80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2"/>
      <c r="P225" s="97"/>
    </row>
    <row r="226" spans="2:16" ht="14.25" thickBot="1">
      <c r="B226" s="93"/>
      <c r="C226" s="477" t="s">
        <v>62</v>
      </c>
      <c r="D226" s="478"/>
      <c r="E226" s="478"/>
      <c r="F226" s="478"/>
      <c r="G226" s="478"/>
      <c r="H226" s="478"/>
      <c r="I226" s="478"/>
      <c r="J226" s="478"/>
      <c r="K226" s="478"/>
      <c r="L226" s="478"/>
      <c r="M226" s="478"/>
      <c r="N226" s="479"/>
      <c r="O226" s="155">
        <f>ROUND(O218+O224,0)</f>
        <v>453065</v>
      </c>
      <c r="P226" s="154"/>
    </row>
    <row r="227" spans="2:16">
      <c r="B227" s="93"/>
      <c r="C227" s="80"/>
      <c r="D227" s="81"/>
      <c r="E227" s="81"/>
      <c r="F227" s="83" t="s">
        <v>63</v>
      </c>
      <c r="G227" s="81"/>
      <c r="H227" s="81"/>
      <c r="I227" s="81"/>
      <c r="J227" s="81"/>
      <c r="K227" s="81"/>
      <c r="L227" s="81"/>
      <c r="M227" s="81"/>
      <c r="N227" s="81"/>
      <c r="O227" s="82"/>
      <c r="P227" s="97"/>
    </row>
    <row r="228" spans="2:16">
      <c r="B228" s="93"/>
      <c r="C228" s="80"/>
      <c r="D228" s="81"/>
      <c r="E228" s="81"/>
      <c r="F228" s="83" t="s">
        <v>64</v>
      </c>
      <c r="G228" s="81"/>
      <c r="H228" s="81"/>
      <c r="I228" s="81"/>
      <c r="J228" s="81"/>
      <c r="K228" s="81"/>
      <c r="L228" s="81"/>
      <c r="M228" s="81"/>
      <c r="N228" s="81"/>
      <c r="O228" s="82"/>
      <c r="P228" s="97"/>
    </row>
    <row r="229" spans="2:16">
      <c r="B229" s="93"/>
      <c r="C229" s="84"/>
      <c r="D229" s="85"/>
      <c r="E229" s="85"/>
      <c r="F229" s="83" t="s">
        <v>65</v>
      </c>
      <c r="G229" s="85"/>
      <c r="H229" s="81"/>
      <c r="I229" s="85"/>
      <c r="J229" s="85"/>
      <c r="K229" s="85"/>
      <c r="L229" s="85"/>
      <c r="M229" s="85"/>
      <c r="N229" s="85"/>
      <c r="O229" s="86"/>
      <c r="P229" s="27"/>
    </row>
    <row r="230" spans="2:16" ht="14.25" thickBot="1">
      <c r="B230" s="93"/>
      <c r="C230" s="480"/>
      <c r="D230" s="481"/>
      <c r="E230" s="481"/>
      <c r="F230" s="73" t="s">
        <v>66</v>
      </c>
      <c r="G230" s="87"/>
      <c r="H230" s="87"/>
      <c r="I230" s="87"/>
      <c r="J230" s="87"/>
      <c r="K230" s="482"/>
      <c r="L230" s="482"/>
      <c r="M230" s="482"/>
      <c r="N230" s="482"/>
      <c r="O230" s="483"/>
      <c r="P230" s="156"/>
    </row>
    <row r="231" spans="2:16" ht="10.35" customHeight="1" thickBot="1">
      <c r="B231" s="157"/>
      <c r="C231" s="158"/>
      <c r="D231" s="158"/>
      <c r="E231" s="158"/>
      <c r="F231" s="158"/>
      <c r="G231" s="158"/>
      <c r="H231" s="158"/>
      <c r="I231" s="158"/>
      <c r="J231" s="158"/>
      <c r="K231" s="158"/>
      <c r="L231" s="158"/>
      <c r="M231" s="158"/>
      <c r="N231" s="158"/>
      <c r="O231" s="158"/>
      <c r="P231" s="159"/>
    </row>
    <row r="232" spans="2:16" ht="14.25" thickTop="1"/>
    <row r="233" spans="2:16" ht="10.35" customHeight="1" thickBot="1"/>
    <row r="234" spans="2:16" ht="5.85" customHeight="1" thickTop="1">
      <c r="B234" s="90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2"/>
    </row>
    <row r="235" spans="2:16">
      <c r="B235" s="93"/>
      <c r="C235" s="94" t="s">
        <v>24</v>
      </c>
      <c r="D235" s="95" t="s">
        <v>25</v>
      </c>
      <c r="E235" s="94" t="s">
        <v>26</v>
      </c>
      <c r="F235" s="95">
        <v>2</v>
      </c>
      <c r="G235" s="96"/>
      <c r="H235" s="174" t="s">
        <v>74</v>
      </c>
      <c r="I235" s="96"/>
      <c r="J235" s="96"/>
      <c r="K235" s="96"/>
      <c r="L235" s="96"/>
      <c r="M235" s="96"/>
      <c r="N235" s="96"/>
      <c r="O235" s="96"/>
      <c r="P235" s="97"/>
    </row>
    <row r="236" spans="2:16" ht="5.85" customHeight="1" thickBot="1">
      <c r="B236" s="93"/>
      <c r="C236" s="98"/>
      <c r="D236" s="99"/>
      <c r="E236" s="100"/>
      <c r="F236" s="99"/>
      <c r="G236" s="101"/>
      <c r="H236" s="101"/>
      <c r="I236" s="101"/>
      <c r="J236" s="101"/>
      <c r="K236" s="101"/>
      <c r="L236" s="101"/>
      <c r="M236" s="101"/>
      <c r="N236" s="101"/>
      <c r="O236" s="101"/>
      <c r="P236" s="97"/>
    </row>
    <row r="237" spans="2:16">
      <c r="B237" s="93"/>
      <c r="C237" s="352"/>
      <c r="D237" s="526"/>
      <c r="E237" s="527"/>
      <c r="F237" s="527"/>
      <c r="G237" s="527"/>
      <c r="H237" s="527"/>
      <c r="I237" s="527"/>
      <c r="J237" s="527"/>
      <c r="K237" s="528"/>
      <c r="L237" s="59" t="s">
        <v>27</v>
      </c>
      <c r="M237" s="102"/>
      <c r="N237" s="103"/>
      <c r="O237" s="104"/>
      <c r="P237" s="23"/>
    </row>
    <row r="238" spans="2:16">
      <c r="B238" s="93"/>
      <c r="C238" s="352"/>
      <c r="D238" s="529" t="s">
        <v>30</v>
      </c>
      <c r="E238" s="530"/>
      <c r="F238" s="530"/>
      <c r="G238" s="530"/>
      <c r="H238" s="530"/>
      <c r="I238" s="530"/>
      <c r="J238" s="530"/>
      <c r="K238" s="531"/>
      <c r="L238" s="58" t="s">
        <v>28</v>
      </c>
      <c r="M238" s="58">
        <v>1</v>
      </c>
      <c r="N238" s="57" t="s">
        <v>29</v>
      </c>
      <c r="O238" s="60">
        <v>1</v>
      </c>
      <c r="P238" s="23"/>
    </row>
    <row r="239" spans="2:16" ht="5.85" customHeight="1" thickBot="1">
      <c r="B239" s="93"/>
      <c r="C239" s="105"/>
      <c r="D239" s="106"/>
      <c r="E239" s="106"/>
      <c r="F239" s="106"/>
      <c r="G239" s="106"/>
      <c r="H239" s="106"/>
      <c r="I239" s="106"/>
      <c r="J239" s="106"/>
      <c r="K239" s="106"/>
      <c r="L239" s="106"/>
      <c r="M239" s="107"/>
      <c r="N239" s="107"/>
      <c r="O239" s="108"/>
      <c r="P239" s="25"/>
    </row>
    <row r="240" spans="2:16">
      <c r="B240" s="93"/>
      <c r="C240" s="109"/>
      <c r="D240" s="110"/>
      <c r="E240" s="110"/>
      <c r="F240" s="110"/>
      <c r="G240" s="110"/>
      <c r="H240" s="110"/>
      <c r="I240" s="110"/>
      <c r="J240" s="110"/>
      <c r="K240" s="110"/>
      <c r="L240" s="54" t="s">
        <v>31</v>
      </c>
      <c r="M240" s="55" t="s">
        <v>32</v>
      </c>
      <c r="N240" s="55" t="s">
        <v>33</v>
      </c>
      <c r="O240" s="56" t="s">
        <v>34</v>
      </c>
      <c r="P240" s="24"/>
    </row>
    <row r="241" spans="2:16" ht="14.25" thickBot="1">
      <c r="B241" s="93"/>
      <c r="C241" s="74" t="s">
        <v>196</v>
      </c>
      <c r="D241" s="111"/>
      <c r="E241" s="111"/>
      <c r="F241" s="111"/>
      <c r="G241" s="111"/>
      <c r="H241" s="111"/>
      <c r="I241" s="111"/>
      <c r="J241" s="111"/>
      <c r="K241" s="111"/>
      <c r="L241" s="112"/>
      <c r="M241" s="113"/>
      <c r="N241" s="113"/>
      <c r="O241" s="114"/>
      <c r="P241" s="26"/>
    </row>
    <row r="242" spans="2:16" ht="14.25" thickBot="1">
      <c r="B242" s="93"/>
      <c r="C242" s="532" t="s">
        <v>35</v>
      </c>
      <c r="D242" s="533"/>
      <c r="E242" s="533"/>
      <c r="F242" s="533"/>
      <c r="G242" s="533"/>
      <c r="H242" s="533"/>
      <c r="I242" s="533"/>
      <c r="J242" s="533"/>
      <c r="K242" s="533"/>
      <c r="L242" s="533"/>
      <c r="M242" s="533"/>
      <c r="N242" s="533"/>
      <c r="O242" s="534"/>
      <c r="P242" s="115"/>
    </row>
    <row r="243" spans="2:16">
      <c r="B243" s="93"/>
      <c r="C243" s="66" t="s">
        <v>36</v>
      </c>
      <c r="D243" s="535" t="s">
        <v>3</v>
      </c>
      <c r="E243" s="536"/>
      <c r="F243" s="536"/>
      <c r="G243" s="536"/>
      <c r="H243" s="536"/>
      <c r="I243" s="536"/>
      <c r="J243" s="536"/>
      <c r="K243" s="536"/>
      <c r="L243" s="537"/>
      <c r="M243" s="538" t="s">
        <v>37</v>
      </c>
      <c r="N243" s="539"/>
      <c r="O243" s="66" t="s">
        <v>4</v>
      </c>
      <c r="P243" s="116"/>
    </row>
    <row r="244" spans="2:16" ht="14.25" thickBot="1">
      <c r="B244" s="93"/>
      <c r="C244" s="117" t="s">
        <v>202</v>
      </c>
      <c r="D244" s="515" t="s">
        <v>200</v>
      </c>
      <c r="E244" s="516"/>
      <c r="F244" s="516"/>
      <c r="G244" s="516"/>
      <c r="H244" s="516"/>
      <c r="I244" s="516"/>
      <c r="J244" s="516"/>
      <c r="K244" s="516"/>
      <c r="L244" s="517"/>
      <c r="M244" s="515" t="s">
        <v>182</v>
      </c>
      <c r="N244" s="517"/>
      <c r="O244" s="118"/>
      <c r="P244" s="119"/>
    </row>
    <row r="245" spans="2:16" ht="14.25" thickBot="1">
      <c r="B245" s="93"/>
      <c r="C245" s="74" t="s">
        <v>38</v>
      </c>
      <c r="D245" s="75"/>
      <c r="E245" s="75"/>
      <c r="F245" s="75"/>
      <c r="G245" s="75"/>
      <c r="H245" s="75"/>
      <c r="I245" s="75"/>
      <c r="J245" s="78"/>
      <c r="K245" s="78"/>
      <c r="L245" s="75"/>
      <c r="M245" s="75"/>
      <c r="N245" s="75"/>
      <c r="O245" s="76"/>
      <c r="P245" s="121"/>
    </row>
    <row r="246" spans="2:16">
      <c r="B246" s="93"/>
      <c r="C246" s="498" t="s">
        <v>3</v>
      </c>
      <c r="D246" s="513"/>
      <c r="E246" s="513"/>
      <c r="F246" s="513"/>
      <c r="G246" s="514"/>
      <c r="H246" s="510" t="s">
        <v>39</v>
      </c>
      <c r="I246" s="513"/>
      <c r="J246" s="522" t="s">
        <v>40</v>
      </c>
      <c r="K246" s="523"/>
      <c r="L246" s="61" t="s">
        <v>51</v>
      </c>
      <c r="M246" s="510" t="s">
        <v>42</v>
      </c>
      <c r="N246" s="511"/>
      <c r="O246" s="62" t="s">
        <v>43</v>
      </c>
      <c r="P246" s="122"/>
    </row>
    <row r="247" spans="2:16">
      <c r="B247" s="93"/>
      <c r="C247" s="502" t="s">
        <v>81</v>
      </c>
      <c r="D247" s="503"/>
      <c r="E247" s="503"/>
      <c r="F247" s="503"/>
      <c r="G247" s="524"/>
      <c r="H247" s="525"/>
      <c r="I247" s="524"/>
      <c r="J247" s="525"/>
      <c r="K247" s="524"/>
      <c r="L247" s="123">
        <v>0.05</v>
      </c>
      <c r="M247" s="520"/>
      <c r="N247" s="521"/>
      <c r="O247" s="124">
        <f>L247*O274</f>
        <v>1960.0723496034248</v>
      </c>
      <c r="P247" s="125"/>
    </row>
    <row r="248" spans="2:16">
      <c r="B248" s="93"/>
      <c r="C248" s="162" t="s">
        <v>191</v>
      </c>
      <c r="D248" s="163"/>
      <c r="E248" s="163"/>
      <c r="F248" s="163"/>
      <c r="G248" s="164"/>
      <c r="H248" s="171"/>
      <c r="I248" s="164"/>
      <c r="J248" s="171"/>
      <c r="K248" s="164"/>
      <c r="L248" s="123">
        <f>L16</f>
        <v>92800</v>
      </c>
      <c r="M248" s="520">
        <f>0.125</f>
        <v>0.125</v>
      </c>
      <c r="N248" s="521"/>
      <c r="O248" s="124">
        <f>L248*M248</f>
        <v>11600</v>
      </c>
      <c r="P248" s="125"/>
    </row>
    <row r="249" spans="2:16">
      <c r="B249" s="93"/>
      <c r="C249" s="162"/>
      <c r="D249" s="163"/>
      <c r="E249" s="163"/>
      <c r="F249" s="163"/>
      <c r="G249" s="164"/>
      <c r="H249" s="171"/>
      <c r="I249" s="164"/>
      <c r="J249" s="171"/>
      <c r="K249" s="164"/>
      <c r="L249" s="123"/>
      <c r="M249" s="172"/>
      <c r="N249" s="173"/>
      <c r="O249" s="124"/>
      <c r="P249" s="125"/>
    </row>
    <row r="250" spans="2:16">
      <c r="B250" s="93"/>
      <c r="C250" s="70"/>
      <c r="D250" s="71"/>
      <c r="E250" s="71"/>
      <c r="F250" s="71"/>
      <c r="G250" s="126"/>
      <c r="H250" s="127"/>
      <c r="I250" s="126"/>
      <c r="J250" s="127"/>
      <c r="K250" s="126"/>
      <c r="L250" s="123"/>
      <c r="M250" s="520"/>
      <c r="N250" s="521"/>
      <c r="O250" s="124"/>
      <c r="P250" s="125"/>
    </row>
    <row r="251" spans="2:16" ht="14.25" thickBot="1">
      <c r="B251" s="93"/>
      <c r="C251" s="492"/>
      <c r="D251" s="493"/>
      <c r="E251" s="493"/>
      <c r="F251" s="493"/>
      <c r="G251" s="509"/>
      <c r="H251" s="512"/>
      <c r="I251" s="509"/>
      <c r="J251" s="512"/>
      <c r="K251" s="509"/>
      <c r="L251" s="128"/>
      <c r="M251" s="518"/>
      <c r="N251" s="519"/>
      <c r="O251" s="124"/>
      <c r="P251" s="125"/>
    </row>
    <row r="252" spans="2:16" ht="14.25" thickBot="1">
      <c r="B252" s="93"/>
      <c r="C252" s="474" t="s">
        <v>44</v>
      </c>
      <c r="D252" s="475"/>
      <c r="E252" s="475"/>
      <c r="F252" s="475"/>
      <c r="G252" s="475"/>
      <c r="H252" s="475"/>
      <c r="I252" s="475"/>
      <c r="J252" s="475"/>
      <c r="K252" s="475"/>
      <c r="L252" s="475"/>
      <c r="M252" s="475"/>
      <c r="N252" s="476"/>
      <c r="O252" s="129">
        <f>SUM(O247:O251)</f>
        <v>13560.072349603424</v>
      </c>
      <c r="P252" s="130"/>
    </row>
    <row r="253" spans="2:16" ht="14.25" thickBot="1">
      <c r="B253" s="93"/>
      <c r="C253" s="77" t="s">
        <v>45</v>
      </c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9"/>
      <c r="P253" s="121"/>
    </row>
    <row r="254" spans="2:16">
      <c r="B254" s="93"/>
      <c r="C254" s="498" t="s">
        <v>3</v>
      </c>
      <c r="D254" s="499"/>
      <c r="E254" s="499"/>
      <c r="F254" s="499"/>
      <c r="G254" s="499"/>
      <c r="H254" s="499"/>
      <c r="I254" s="499"/>
      <c r="J254" s="511"/>
      <c r="K254" s="63" t="s">
        <v>37</v>
      </c>
      <c r="L254" s="61" t="s">
        <v>4</v>
      </c>
      <c r="M254" s="510" t="s">
        <v>46</v>
      </c>
      <c r="N254" s="511"/>
      <c r="O254" s="62" t="s">
        <v>43</v>
      </c>
      <c r="P254" s="122"/>
    </row>
    <row r="255" spans="2:16">
      <c r="B255" s="93"/>
      <c r="C255" s="358" t="s">
        <v>183</v>
      </c>
      <c r="D255" s="359"/>
      <c r="E255" s="359"/>
      <c r="F255" s="359"/>
      <c r="G255" s="359"/>
      <c r="H255" s="359"/>
      <c r="I255" s="359"/>
      <c r="J255" s="360"/>
      <c r="K255" s="131" t="s">
        <v>79</v>
      </c>
      <c r="L255" s="132">
        <v>260</v>
      </c>
      <c r="M255" s="507">
        <f>+M23</f>
        <v>600</v>
      </c>
      <c r="N255" s="508"/>
      <c r="O255" s="124">
        <f>L255*M255</f>
        <v>156000</v>
      </c>
      <c r="P255" s="125"/>
    </row>
    <row r="256" spans="2:16">
      <c r="B256" s="93"/>
      <c r="C256" s="162" t="s">
        <v>184</v>
      </c>
      <c r="D256" s="163"/>
      <c r="E256" s="163"/>
      <c r="F256" s="163"/>
      <c r="G256" s="163"/>
      <c r="H256" s="163"/>
      <c r="I256" s="163"/>
      <c r="J256" s="164"/>
      <c r="K256" s="165" t="s">
        <v>79</v>
      </c>
      <c r="L256" s="186">
        <v>0.84</v>
      </c>
      <c r="M256" s="507">
        <f t="shared" ref="M256:M260" si="7">+M24</f>
        <v>98175</v>
      </c>
      <c r="N256" s="508"/>
      <c r="O256" s="124">
        <f t="shared" ref="O256:O260" si="8">L256*M256</f>
        <v>82467</v>
      </c>
      <c r="P256" s="125"/>
    </row>
    <row r="257" spans="2:16">
      <c r="B257" s="93"/>
      <c r="C257" s="162" t="s">
        <v>185</v>
      </c>
      <c r="D257" s="163"/>
      <c r="E257" s="163"/>
      <c r="F257" s="163"/>
      <c r="G257" s="163"/>
      <c r="H257" s="163"/>
      <c r="I257" s="163"/>
      <c r="J257" s="164"/>
      <c r="K257" s="165" t="s">
        <v>176</v>
      </c>
      <c r="L257" s="166">
        <v>0.63</v>
      </c>
      <c r="M257" s="507">
        <f t="shared" si="7"/>
        <v>40320</v>
      </c>
      <c r="N257" s="508"/>
      <c r="O257" s="124">
        <f t="shared" si="8"/>
        <v>25401.599999999999</v>
      </c>
      <c r="P257" s="125"/>
    </row>
    <row r="258" spans="2:16">
      <c r="B258" s="93"/>
      <c r="C258" s="162" t="s">
        <v>186</v>
      </c>
      <c r="D258" s="163"/>
      <c r="E258" s="163"/>
      <c r="F258" s="163"/>
      <c r="G258" s="163"/>
      <c r="H258" s="163"/>
      <c r="I258" s="163"/>
      <c r="J258" s="164"/>
      <c r="K258" s="165" t="s">
        <v>190</v>
      </c>
      <c r="L258" s="166">
        <v>170</v>
      </c>
      <c r="M258" s="507">
        <f t="shared" si="7"/>
        <v>69</v>
      </c>
      <c r="N258" s="508"/>
      <c r="O258" s="124">
        <f t="shared" si="8"/>
        <v>11730</v>
      </c>
      <c r="P258" s="125"/>
    </row>
    <row r="259" spans="2:16">
      <c r="B259" s="93"/>
      <c r="C259" s="162" t="s">
        <v>187</v>
      </c>
      <c r="D259" s="163"/>
      <c r="E259" s="163"/>
      <c r="F259" s="163"/>
      <c r="G259" s="163"/>
      <c r="H259" s="163"/>
      <c r="I259" s="163"/>
      <c r="J259" s="164"/>
      <c r="K259" s="165" t="s">
        <v>189</v>
      </c>
      <c r="L259" s="362">
        <v>0.78</v>
      </c>
      <c r="M259" s="507">
        <f t="shared" si="7"/>
        <v>17595.599999999999</v>
      </c>
      <c r="N259" s="508"/>
      <c r="O259" s="124">
        <f t="shared" si="8"/>
        <v>13724.567999999999</v>
      </c>
      <c r="P259" s="125"/>
    </row>
    <row r="260" spans="2:16">
      <c r="B260" s="93"/>
      <c r="C260" s="162" t="s">
        <v>188</v>
      </c>
      <c r="D260" s="163"/>
      <c r="E260" s="163"/>
      <c r="F260" s="163"/>
      <c r="G260" s="163"/>
      <c r="H260" s="163"/>
      <c r="I260" s="163"/>
      <c r="J260" s="164"/>
      <c r="K260" s="165" t="s">
        <v>189</v>
      </c>
      <c r="L260" s="362">
        <f>0.003*L255</f>
        <v>0.78</v>
      </c>
      <c r="M260" s="507">
        <f t="shared" si="7"/>
        <v>19719</v>
      </c>
      <c r="N260" s="508"/>
      <c r="O260" s="124">
        <f t="shared" si="8"/>
        <v>15380.82</v>
      </c>
      <c r="P260" s="125"/>
    </row>
    <row r="261" spans="2:16">
      <c r="B261" s="93"/>
      <c r="C261" s="162"/>
      <c r="D261" s="163"/>
      <c r="E261" s="163"/>
      <c r="F261" s="163"/>
      <c r="G261" s="163"/>
      <c r="H261" s="163"/>
      <c r="I261" s="163"/>
      <c r="J261" s="164"/>
      <c r="K261" s="165"/>
      <c r="L261" s="166"/>
      <c r="M261" s="167"/>
      <c r="N261" s="168"/>
      <c r="O261" s="169"/>
      <c r="P261" s="125"/>
    </row>
    <row r="262" spans="2:16" ht="14.25" thickBot="1">
      <c r="B262" s="93"/>
      <c r="C262" s="492" t="s">
        <v>80</v>
      </c>
      <c r="D262" s="493"/>
      <c r="E262" s="493"/>
      <c r="F262" s="493"/>
      <c r="G262" s="493"/>
      <c r="H262" s="493"/>
      <c r="I262" s="493"/>
      <c r="J262" s="509"/>
      <c r="K262" s="71"/>
      <c r="L262" s="187">
        <v>0.05</v>
      </c>
      <c r="M262" s="497"/>
      <c r="N262" s="496"/>
      <c r="O262" s="133">
        <f>SUM(O255:O261)*L262</f>
        <v>15235.199399999998</v>
      </c>
      <c r="P262" s="125"/>
    </row>
    <row r="263" spans="2:16" ht="14.25" thickBot="1">
      <c r="B263" s="93"/>
      <c r="C263" s="474" t="s">
        <v>44</v>
      </c>
      <c r="D263" s="475"/>
      <c r="E263" s="475"/>
      <c r="F263" s="475"/>
      <c r="G263" s="475"/>
      <c r="H263" s="475"/>
      <c r="I263" s="475"/>
      <c r="J263" s="475"/>
      <c r="K263" s="475"/>
      <c r="L263" s="475"/>
      <c r="M263" s="475"/>
      <c r="N263" s="476"/>
      <c r="O263" s="134">
        <f>SUM(O255:O262)</f>
        <v>319939.18739999994</v>
      </c>
      <c r="P263" s="125"/>
    </row>
    <row r="264" spans="2:16" ht="14.25" thickBot="1">
      <c r="B264" s="93"/>
      <c r="C264" s="77" t="s">
        <v>47</v>
      </c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9"/>
      <c r="P264" s="121"/>
    </row>
    <row r="265" spans="2:16" ht="14.25">
      <c r="B265" s="93"/>
      <c r="C265" s="498" t="s">
        <v>48</v>
      </c>
      <c r="D265" s="499"/>
      <c r="E265" s="499"/>
      <c r="F265" s="499"/>
      <c r="G265" s="499"/>
      <c r="H265" s="499"/>
      <c r="I265" s="499"/>
      <c r="J265" s="161" t="s">
        <v>49</v>
      </c>
      <c r="K265" s="160" t="s">
        <v>50</v>
      </c>
      <c r="L265" s="65" t="s">
        <v>76</v>
      </c>
      <c r="M265" s="510" t="s">
        <v>51</v>
      </c>
      <c r="N265" s="511"/>
      <c r="O265" s="62" t="s">
        <v>43</v>
      </c>
      <c r="P265" s="122"/>
    </row>
    <row r="266" spans="2:16">
      <c r="B266" s="93"/>
      <c r="C266" s="502" t="s">
        <v>192</v>
      </c>
      <c r="D266" s="503"/>
      <c r="E266" s="503"/>
      <c r="F266" s="503"/>
      <c r="G266" s="503"/>
      <c r="H266" s="503"/>
      <c r="I266" s="503"/>
      <c r="J266" s="135">
        <f>+L256</f>
        <v>0.84</v>
      </c>
      <c r="K266" s="136">
        <v>26.5</v>
      </c>
      <c r="L266" s="135">
        <f>J266*K266</f>
        <v>22.259999999999998</v>
      </c>
      <c r="M266" s="507">
        <f>+M34</f>
        <v>1200</v>
      </c>
      <c r="N266" s="508"/>
      <c r="O266" s="124">
        <f>L266*M266</f>
        <v>26711.999999999996</v>
      </c>
      <c r="P266" s="125"/>
    </row>
    <row r="267" spans="2:16" ht="14.25" thickBot="1">
      <c r="B267" s="93"/>
      <c r="C267" s="492" t="s">
        <v>193</v>
      </c>
      <c r="D267" s="493"/>
      <c r="E267" s="493"/>
      <c r="F267" s="493"/>
      <c r="G267" s="493"/>
      <c r="H267" s="493"/>
      <c r="I267" s="493"/>
      <c r="J267" s="361">
        <f>+L257</f>
        <v>0.63</v>
      </c>
      <c r="K267" s="242">
        <v>26.5</v>
      </c>
      <c r="L267" s="243">
        <f>J267*K267</f>
        <v>16.695</v>
      </c>
      <c r="M267" s="507">
        <f>+M34</f>
        <v>1200</v>
      </c>
      <c r="N267" s="508"/>
      <c r="O267" s="124">
        <f>L267*M267</f>
        <v>20034</v>
      </c>
      <c r="P267" s="125"/>
    </row>
    <row r="268" spans="2:16" ht="14.25" thickBot="1">
      <c r="B268" s="93"/>
      <c r="C268" s="474" t="s">
        <v>44</v>
      </c>
      <c r="D268" s="475"/>
      <c r="E268" s="475"/>
      <c r="F268" s="475"/>
      <c r="G268" s="475"/>
      <c r="H268" s="475"/>
      <c r="I268" s="475"/>
      <c r="J268" s="475"/>
      <c r="K268" s="475"/>
      <c r="L268" s="475"/>
      <c r="M268" s="475"/>
      <c r="N268" s="476"/>
      <c r="O268" s="129">
        <f>SUM(O266:O267)</f>
        <v>46746</v>
      </c>
      <c r="P268" s="130"/>
    </row>
    <row r="269" spans="2:16" ht="14.25" thickBot="1">
      <c r="B269" s="93"/>
      <c r="C269" s="77" t="s">
        <v>52</v>
      </c>
      <c r="D269" s="78"/>
      <c r="E269" s="78"/>
      <c r="F269" s="78"/>
      <c r="G269" s="78"/>
      <c r="H269" s="78"/>
      <c r="I269" s="78"/>
      <c r="J269" s="244"/>
      <c r="K269" s="78"/>
      <c r="L269" s="78"/>
      <c r="M269" s="78"/>
      <c r="N269" s="78"/>
      <c r="O269" s="79"/>
      <c r="P269" s="121"/>
    </row>
    <row r="270" spans="2:16">
      <c r="B270" s="93"/>
      <c r="C270" s="498" t="s">
        <v>53</v>
      </c>
      <c r="D270" s="499"/>
      <c r="E270" s="499"/>
      <c r="F270" s="499"/>
      <c r="G270" s="499"/>
      <c r="H270" s="499"/>
      <c r="I270" s="499"/>
      <c r="J270" s="246"/>
      <c r="K270" s="506" t="s">
        <v>169</v>
      </c>
      <c r="L270" s="501"/>
      <c r="M270" s="500" t="s">
        <v>42</v>
      </c>
      <c r="N270" s="501"/>
      <c r="O270" s="68" t="s">
        <v>43</v>
      </c>
      <c r="P270" s="139"/>
    </row>
    <row r="271" spans="2:16">
      <c r="B271" s="93"/>
      <c r="C271" s="540" t="str">
        <f>+'MO2021'!C72</f>
        <v xml:space="preserve">CUADRILLA "AA" (Albañileria) </v>
      </c>
      <c r="D271" s="541"/>
      <c r="E271" s="541"/>
      <c r="F271" s="541"/>
      <c r="G271" s="541"/>
      <c r="H271" s="541"/>
      <c r="I271" s="541"/>
      <c r="J271" s="542"/>
      <c r="K271" s="484">
        <f>+'MO2021'!F82</f>
        <v>26134.297994712331</v>
      </c>
      <c r="L271" s="485"/>
      <c r="M271" s="486">
        <v>1.5</v>
      </c>
      <c r="N271" s="487"/>
      <c r="O271" s="142">
        <f>K271*M271</f>
        <v>39201.446992068493</v>
      </c>
      <c r="P271" s="143"/>
    </row>
    <row r="272" spans="2:16">
      <c r="B272" s="93"/>
      <c r="C272" s="140"/>
      <c r="D272" s="141"/>
      <c r="E272" s="141"/>
      <c r="F272" s="141"/>
      <c r="G272" s="141"/>
      <c r="H272" s="141"/>
      <c r="I272" s="141"/>
      <c r="J272" s="247"/>
      <c r="K272" s="488"/>
      <c r="L272" s="489"/>
      <c r="M272" s="490"/>
      <c r="N272" s="491"/>
      <c r="O272" s="142"/>
      <c r="P272" s="143"/>
    </row>
    <row r="273" spans="2:16" ht="14.25" thickBot="1">
      <c r="B273" s="93"/>
      <c r="C273" s="492"/>
      <c r="D273" s="493"/>
      <c r="E273" s="493"/>
      <c r="F273" s="493"/>
      <c r="G273" s="493"/>
      <c r="H273" s="493"/>
      <c r="I273" s="494"/>
      <c r="J273" s="245"/>
      <c r="K273" s="495"/>
      <c r="L273" s="496"/>
      <c r="M273" s="497"/>
      <c r="N273" s="496"/>
      <c r="O273" s="138"/>
      <c r="P273" s="125"/>
    </row>
    <row r="274" spans="2:16" ht="14.25" thickBot="1">
      <c r="B274" s="93"/>
      <c r="C274" s="504" t="s">
        <v>44</v>
      </c>
      <c r="D274" s="505"/>
      <c r="E274" s="505"/>
      <c r="F274" s="505"/>
      <c r="G274" s="505"/>
      <c r="H274" s="505"/>
      <c r="I274" s="505"/>
      <c r="J274" s="505"/>
      <c r="K274" s="475"/>
      <c r="L274" s="475"/>
      <c r="M274" s="475"/>
      <c r="N274" s="476"/>
      <c r="O274" s="134">
        <f>SUM(O271:O273)</f>
        <v>39201.446992068493</v>
      </c>
      <c r="P274" s="125"/>
    </row>
    <row r="275" spans="2:16" ht="5.85" customHeight="1" thickBot="1">
      <c r="B275" s="93"/>
      <c r="C275" s="80"/>
      <c r="D275" s="81"/>
      <c r="E275" s="81"/>
      <c r="F275" s="81"/>
      <c r="G275" s="81"/>
      <c r="H275" s="81"/>
      <c r="I275" s="81"/>
      <c r="J275" s="81"/>
      <c r="K275" s="81"/>
      <c r="L275" s="81"/>
      <c r="M275" s="81"/>
      <c r="N275" s="81"/>
      <c r="O275" s="82"/>
      <c r="P275" s="97"/>
    </row>
    <row r="276" spans="2:16" ht="14.25" thickBot="1">
      <c r="B276" s="93"/>
      <c r="C276" s="477" t="s">
        <v>54</v>
      </c>
      <c r="D276" s="478"/>
      <c r="E276" s="478"/>
      <c r="F276" s="478"/>
      <c r="G276" s="478"/>
      <c r="H276" s="478"/>
      <c r="I276" s="478"/>
      <c r="J276" s="478"/>
      <c r="K276" s="478"/>
      <c r="L276" s="478"/>
      <c r="M276" s="478"/>
      <c r="N276" s="479"/>
      <c r="O276" s="144">
        <f>+O252+O263+O268+O274</f>
        <v>419446.70674167183</v>
      </c>
      <c r="P276" s="145"/>
    </row>
    <row r="277" spans="2:16" ht="14.25" thickBot="1">
      <c r="B277" s="93"/>
      <c r="C277" s="77" t="s">
        <v>55</v>
      </c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9"/>
      <c r="P277" s="121"/>
    </row>
    <row r="278" spans="2:16" ht="24.75">
      <c r="B278" s="93"/>
      <c r="C278" s="498" t="s">
        <v>56</v>
      </c>
      <c r="D278" s="499"/>
      <c r="E278" s="499"/>
      <c r="F278" s="499"/>
      <c r="G278" s="499"/>
      <c r="H278" s="499"/>
      <c r="I278" s="499"/>
      <c r="J278" s="64"/>
      <c r="K278" s="69"/>
      <c r="L278" s="67" t="s">
        <v>57</v>
      </c>
      <c r="M278" s="500" t="s">
        <v>58</v>
      </c>
      <c r="N278" s="501"/>
      <c r="O278" s="68"/>
      <c r="P278" s="139"/>
    </row>
    <row r="279" spans="2:16">
      <c r="B279" s="93"/>
      <c r="C279" s="502" t="s">
        <v>59</v>
      </c>
      <c r="D279" s="503"/>
      <c r="E279" s="503"/>
      <c r="F279" s="503"/>
      <c r="G279" s="503"/>
      <c r="H279" s="503"/>
      <c r="I279" s="503"/>
      <c r="J279" s="146"/>
      <c r="K279" s="147"/>
      <c r="L279" s="148">
        <f>'PRESUPUESTO OFICIAL'!K257</f>
        <v>0</v>
      </c>
      <c r="M279" s="470">
        <f>O276*L279</f>
        <v>0</v>
      </c>
      <c r="N279" s="471"/>
      <c r="O279" s="149"/>
      <c r="P279" s="150"/>
    </row>
    <row r="280" spans="2:16">
      <c r="B280" s="93"/>
      <c r="C280" s="70" t="s">
        <v>60</v>
      </c>
      <c r="D280" s="71"/>
      <c r="E280" s="71"/>
      <c r="F280" s="71"/>
      <c r="G280" s="71"/>
      <c r="H280" s="71"/>
      <c r="I280" s="71"/>
      <c r="J280" s="146"/>
      <c r="K280" s="147"/>
      <c r="L280" s="148">
        <f>'PRESUPUESTO OFICIAL'!K258</f>
        <v>0</v>
      </c>
      <c r="M280" s="470">
        <f>+O276*L280</f>
        <v>0</v>
      </c>
      <c r="N280" s="471"/>
      <c r="O280" s="149"/>
      <c r="P280" s="150"/>
    </row>
    <row r="281" spans="2:16" ht="14.25" thickBot="1">
      <c r="B281" s="93"/>
      <c r="C281" s="72" t="s">
        <v>61</v>
      </c>
      <c r="D281" s="73"/>
      <c r="E281" s="73"/>
      <c r="F281" s="73"/>
      <c r="G281" s="73"/>
      <c r="H281" s="73"/>
      <c r="I281" s="73"/>
      <c r="J281" s="151"/>
      <c r="K281" s="152"/>
      <c r="L281" s="148">
        <f>'PRESUPUESTO OFICIAL'!K259</f>
        <v>0</v>
      </c>
      <c r="M281" s="472">
        <f>O276*L281</f>
        <v>0</v>
      </c>
      <c r="N281" s="473"/>
      <c r="O281" s="149"/>
      <c r="P281" s="150"/>
    </row>
    <row r="282" spans="2:16" ht="14.25" thickBot="1">
      <c r="B282" s="93"/>
      <c r="C282" s="474" t="s">
        <v>44</v>
      </c>
      <c r="D282" s="475"/>
      <c r="E282" s="475"/>
      <c r="F282" s="475"/>
      <c r="G282" s="475"/>
      <c r="H282" s="475"/>
      <c r="I282" s="475"/>
      <c r="J282" s="475"/>
      <c r="K282" s="475"/>
      <c r="L282" s="475"/>
      <c r="M282" s="475"/>
      <c r="N282" s="476"/>
      <c r="O282" s="153">
        <f>SUM(M279:N281)</f>
        <v>0</v>
      </c>
      <c r="P282" s="154"/>
    </row>
    <row r="283" spans="2:16" ht="14.25" thickBot="1">
      <c r="B283" s="93"/>
      <c r="C283" s="80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2"/>
      <c r="P283" s="97"/>
    </row>
    <row r="284" spans="2:16" ht="14.25" thickBot="1">
      <c r="B284" s="93"/>
      <c r="C284" s="477" t="s">
        <v>62</v>
      </c>
      <c r="D284" s="478"/>
      <c r="E284" s="478"/>
      <c r="F284" s="478"/>
      <c r="G284" s="478"/>
      <c r="H284" s="478"/>
      <c r="I284" s="478"/>
      <c r="J284" s="478"/>
      <c r="K284" s="478"/>
      <c r="L284" s="478"/>
      <c r="M284" s="478"/>
      <c r="N284" s="479"/>
      <c r="O284" s="155">
        <f>ROUND(O276+O282,0)</f>
        <v>419447</v>
      </c>
      <c r="P284" s="154"/>
    </row>
    <row r="285" spans="2:16">
      <c r="B285" s="93"/>
      <c r="C285" s="80"/>
      <c r="D285" s="81"/>
      <c r="E285" s="81"/>
      <c r="F285" s="83" t="s">
        <v>63</v>
      </c>
      <c r="G285" s="81"/>
      <c r="H285" s="81"/>
      <c r="I285" s="81"/>
      <c r="J285" s="81"/>
      <c r="K285" s="81"/>
      <c r="L285" s="81"/>
      <c r="M285" s="81"/>
      <c r="N285" s="81"/>
      <c r="O285" s="82"/>
      <c r="P285" s="97"/>
    </row>
    <row r="286" spans="2:16">
      <c r="B286" s="93"/>
      <c r="C286" s="80"/>
      <c r="D286" s="81"/>
      <c r="E286" s="81"/>
      <c r="F286" s="83" t="s">
        <v>64</v>
      </c>
      <c r="G286" s="81"/>
      <c r="H286" s="81"/>
      <c r="I286" s="81"/>
      <c r="J286" s="81"/>
      <c r="K286" s="81"/>
      <c r="L286" s="81"/>
      <c r="M286" s="81"/>
      <c r="N286" s="81"/>
      <c r="O286" s="82"/>
      <c r="P286" s="97"/>
    </row>
    <row r="287" spans="2:16">
      <c r="B287" s="93"/>
      <c r="C287" s="84"/>
      <c r="D287" s="85"/>
      <c r="E287" s="85"/>
      <c r="F287" s="83" t="s">
        <v>65</v>
      </c>
      <c r="G287" s="85"/>
      <c r="H287" s="81"/>
      <c r="I287" s="85"/>
      <c r="J287" s="85"/>
      <c r="K287" s="85"/>
      <c r="L287" s="85"/>
      <c r="M287" s="85"/>
      <c r="N287" s="85"/>
      <c r="O287" s="86"/>
      <c r="P287" s="27"/>
    </row>
    <row r="288" spans="2:16" ht="14.25" thickBot="1">
      <c r="B288" s="93"/>
      <c r="C288" s="480"/>
      <c r="D288" s="481"/>
      <c r="E288" s="481"/>
      <c r="F288" s="73" t="s">
        <v>66</v>
      </c>
      <c r="G288" s="87"/>
      <c r="H288" s="87"/>
      <c r="I288" s="87"/>
      <c r="J288" s="87"/>
      <c r="K288" s="482"/>
      <c r="L288" s="482"/>
      <c r="M288" s="482"/>
      <c r="N288" s="482"/>
      <c r="O288" s="483"/>
      <c r="P288" s="156"/>
    </row>
    <row r="289" spans="2:16" ht="10.35" customHeight="1" thickBot="1">
      <c r="B289" s="157"/>
      <c r="C289" s="158"/>
      <c r="D289" s="158"/>
      <c r="E289" s="158"/>
      <c r="F289" s="158"/>
      <c r="G289" s="158"/>
      <c r="H289" s="158"/>
      <c r="I289" s="158"/>
      <c r="J289" s="158"/>
      <c r="K289" s="158"/>
      <c r="L289" s="158"/>
      <c r="M289" s="158"/>
      <c r="N289" s="158"/>
      <c r="O289" s="158"/>
      <c r="P289" s="159"/>
    </row>
    <row r="290" spans="2:16" ht="14.25" thickTop="1"/>
    <row r="291" spans="2:16" ht="10.35" customHeight="1" thickBot="1"/>
    <row r="292" spans="2:16" ht="5.85" customHeight="1" thickTop="1">
      <c r="B292" s="90"/>
      <c r="C292" s="91"/>
      <c r="D292" s="91"/>
      <c r="E292" s="91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2"/>
    </row>
    <row r="293" spans="2:16">
      <c r="B293" s="93"/>
      <c r="C293" s="94" t="s">
        <v>24</v>
      </c>
      <c r="D293" s="95" t="s">
        <v>25</v>
      </c>
      <c r="E293" s="94" t="s">
        <v>26</v>
      </c>
      <c r="F293" s="95">
        <v>2</v>
      </c>
      <c r="G293" s="96"/>
      <c r="H293" s="174" t="s">
        <v>74</v>
      </c>
      <c r="I293" s="96"/>
      <c r="J293" s="96"/>
      <c r="K293" s="96"/>
      <c r="L293" s="96"/>
      <c r="M293" s="96"/>
      <c r="N293" s="96"/>
      <c r="O293" s="96"/>
      <c r="P293" s="97"/>
    </row>
    <row r="294" spans="2:16" ht="5.85" customHeight="1" thickBot="1">
      <c r="B294" s="93"/>
      <c r="C294" s="98"/>
      <c r="D294" s="99"/>
      <c r="E294" s="100"/>
      <c r="F294" s="99"/>
      <c r="G294" s="101"/>
      <c r="H294" s="101"/>
      <c r="I294" s="101"/>
      <c r="J294" s="101"/>
      <c r="K294" s="101"/>
      <c r="L294" s="101"/>
      <c r="M294" s="101"/>
      <c r="N294" s="101"/>
      <c r="O294" s="101"/>
      <c r="P294" s="97"/>
    </row>
    <row r="295" spans="2:16">
      <c r="B295" s="93"/>
      <c r="C295" s="352"/>
      <c r="D295" s="526"/>
      <c r="E295" s="527"/>
      <c r="F295" s="527"/>
      <c r="G295" s="527"/>
      <c r="H295" s="527"/>
      <c r="I295" s="527"/>
      <c r="J295" s="527"/>
      <c r="K295" s="528"/>
      <c r="L295" s="59" t="s">
        <v>27</v>
      </c>
      <c r="M295" s="102"/>
      <c r="N295" s="103"/>
      <c r="O295" s="104"/>
      <c r="P295" s="23"/>
    </row>
    <row r="296" spans="2:16">
      <c r="B296" s="93"/>
      <c r="C296" s="352"/>
      <c r="D296" s="529" t="s">
        <v>30</v>
      </c>
      <c r="E296" s="530"/>
      <c r="F296" s="530"/>
      <c r="G296" s="530"/>
      <c r="H296" s="530"/>
      <c r="I296" s="530"/>
      <c r="J296" s="530"/>
      <c r="K296" s="531"/>
      <c r="L296" s="58" t="s">
        <v>28</v>
      </c>
      <c r="M296" s="58">
        <v>1</v>
      </c>
      <c r="N296" s="57" t="s">
        <v>29</v>
      </c>
      <c r="O296" s="60">
        <v>1</v>
      </c>
      <c r="P296" s="23"/>
    </row>
    <row r="297" spans="2:16" ht="5.85" customHeight="1" thickBot="1">
      <c r="B297" s="93"/>
      <c r="C297" s="105"/>
      <c r="D297" s="106"/>
      <c r="E297" s="106"/>
      <c r="F297" s="106"/>
      <c r="G297" s="106"/>
      <c r="H297" s="106"/>
      <c r="I297" s="106"/>
      <c r="J297" s="106"/>
      <c r="K297" s="106"/>
      <c r="L297" s="106"/>
      <c r="M297" s="107"/>
      <c r="N297" s="107"/>
      <c r="O297" s="108"/>
      <c r="P297" s="25"/>
    </row>
    <row r="298" spans="2:16">
      <c r="B298" s="93"/>
      <c r="C298" s="109"/>
      <c r="D298" s="110"/>
      <c r="E298" s="110"/>
      <c r="F298" s="110"/>
      <c r="G298" s="110"/>
      <c r="H298" s="110"/>
      <c r="I298" s="110"/>
      <c r="J298" s="110"/>
      <c r="K298" s="110"/>
      <c r="L298" s="54" t="s">
        <v>31</v>
      </c>
      <c r="M298" s="55" t="s">
        <v>32</v>
      </c>
      <c r="N298" s="55" t="s">
        <v>33</v>
      </c>
      <c r="O298" s="56" t="s">
        <v>34</v>
      </c>
      <c r="P298" s="24"/>
    </row>
    <row r="299" spans="2:16" ht="14.25" thickBot="1">
      <c r="B299" s="93"/>
      <c r="C299" s="74" t="s">
        <v>196</v>
      </c>
      <c r="D299" s="111"/>
      <c r="E299" s="111"/>
      <c r="F299" s="111"/>
      <c r="G299" s="111"/>
      <c r="H299" s="111"/>
      <c r="I299" s="111"/>
      <c r="J299" s="111"/>
      <c r="K299" s="111"/>
      <c r="L299" s="112"/>
      <c r="M299" s="113"/>
      <c r="N299" s="113"/>
      <c r="O299" s="114"/>
      <c r="P299" s="26"/>
    </row>
    <row r="300" spans="2:16" ht="14.25" thickBot="1">
      <c r="B300" s="93"/>
      <c r="C300" s="532" t="s">
        <v>35</v>
      </c>
      <c r="D300" s="533"/>
      <c r="E300" s="533"/>
      <c r="F300" s="533"/>
      <c r="G300" s="533"/>
      <c r="H300" s="533"/>
      <c r="I300" s="533"/>
      <c r="J300" s="533"/>
      <c r="K300" s="533"/>
      <c r="L300" s="533"/>
      <c r="M300" s="533"/>
      <c r="N300" s="533"/>
      <c r="O300" s="534"/>
      <c r="P300" s="115"/>
    </row>
    <row r="301" spans="2:16">
      <c r="B301" s="93"/>
      <c r="C301" s="66" t="s">
        <v>36</v>
      </c>
      <c r="D301" s="535" t="s">
        <v>3</v>
      </c>
      <c r="E301" s="536"/>
      <c r="F301" s="536"/>
      <c r="G301" s="536"/>
      <c r="H301" s="536"/>
      <c r="I301" s="536"/>
      <c r="J301" s="536"/>
      <c r="K301" s="536"/>
      <c r="L301" s="537"/>
      <c r="M301" s="538" t="s">
        <v>37</v>
      </c>
      <c r="N301" s="539"/>
      <c r="O301" s="66" t="s">
        <v>4</v>
      </c>
      <c r="P301" s="116"/>
    </row>
    <row r="302" spans="2:16" ht="14.25" thickBot="1">
      <c r="B302" s="93"/>
      <c r="C302" s="117" t="s">
        <v>203</v>
      </c>
      <c r="D302" s="515" t="s">
        <v>206</v>
      </c>
      <c r="E302" s="516"/>
      <c r="F302" s="516"/>
      <c r="G302" s="516"/>
      <c r="H302" s="516"/>
      <c r="I302" s="516"/>
      <c r="J302" s="516"/>
      <c r="K302" s="516"/>
      <c r="L302" s="517"/>
      <c r="M302" s="515" t="s">
        <v>204</v>
      </c>
      <c r="N302" s="517"/>
      <c r="O302" s="118"/>
      <c r="P302" s="119"/>
    </row>
    <row r="303" spans="2:16" ht="14.25" thickBot="1">
      <c r="B303" s="93"/>
      <c r="C303" s="74" t="s">
        <v>38</v>
      </c>
      <c r="D303" s="75"/>
      <c r="E303" s="75"/>
      <c r="F303" s="75"/>
      <c r="G303" s="75"/>
      <c r="H303" s="75"/>
      <c r="I303" s="75"/>
      <c r="J303" s="78"/>
      <c r="K303" s="78"/>
      <c r="L303" s="75"/>
      <c r="M303" s="75"/>
      <c r="N303" s="75"/>
      <c r="O303" s="76"/>
      <c r="P303" s="121"/>
    </row>
    <row r="304" spans="2:16">
      <c r="B304" s="93"/>
      <c r="C304" s="498" t="s">
        <v>3</v>
      </c>
      <c r="D304" s="513"/>
      <c r="E304" s="513"/>
      <c r="F304" s="513"/>
      <c r="G304" s="514"/>
      <c r="H304" s="510" t="s">
        <v>39</v>
      </c>
      <c r="I304" s="513"/>
      <c r="J304" s="522" t="s">
        <v>40</v>
      </c>
      <c r="K304" s="523"/>
      <c r="L304" s="61" t="s">
        <v>51</v>
      </c>
      <c r="M304" s="510" t="s">
        <v>42</v>
      </c>
      <c r="N304" s="511"/>
      <c r="O304" s="62" t="s">
        <v>43</v>
      </c>
      <c r="P304" s="122"/>
    </row>
    <row r="305" spans="2:16">
      <c r="B305" s="93"/>
      <c r="C305" s="502" t="s">
        <v>81</v>
      </c>
      <c r="D305" s="503"/>
      <c r="E305" s="503"/>
      <c r="F305" s="503"/>
      <c r="G305" s="524"/>
      <c r="H305" s="525"/>
      <c r="I305" s="524"/>
      <c r="J305" s="525"/>
      <c r="K305" s="524"/>
      <c r="L305" s="123">
        <v>0.05</v>
      </c>
      <c r="M305" s="520"/>
      <c r="N305" s="521"/>
      <c r="O305" s="124">
        <f>L305*O332</f>
        <v>13.067148997356165</v>
      </c>
      <c r="P305" s="125"/>
    </row>
    <row r="306" spans="2:16">
      <c r="B306" s="93"/>
      <c r="C306" s="162"/>
      <c r="D306" s="163"/>
      <c r="E306" s="163"/>
      <c r="F306" s="163"/>
      <c r="G306" s="164"/>
      <c r="H306" s="171"/>
      <c r="I306" s="164"/>
      <c r="J306" s="171"/>
      <c r="K306" s="164"/>
      <c r="L306" s="123"/>
      <c r="M306" s="520"/>
      <c r="N306" s="521"/>
      <c r="O306" s="124">
        <f>L306*M306</f>
        <v>0</v>
      </c>
      <c r="P306" s="125"/>
    </row>
    <row r="307" spans="2:16">
      <c r="B307" s="93"/>
      <c r="C307" s="162"/>
      <c r="D307" s="163"/>
      <c r="E307" s="163"/>
      <c r="F307" s="163"/>
      <c r="G307" s="164"/>
      <c r="H307" s="171"/>
      <c r="I307" s="164"/>
      <c r="J307" s="171"/>
      <c r="K307" s="164"/>
      <c r="L307" s="123"/>
      <c r="M307" s="172"/>
      <c r="N307" s="173"/>
      <c r="O307" s="124"/>
      <c r="P307" s="125"/>
    </row>
    <row r="308" spans="2:16">
      <c r="B308" s="93"/>
      <c r="C308" s="70"/>
      <c r="D308" s="71"/>
      <c r="E308" s="71"/>
      <c r="F308" s="71"/>
      <c r="G308" s="126"/>
      <c r="H308" s="127"/>
      <c r="I308" s="126"/>
      <c r="J308" s="127"/>
      <c r="K308" s="126"/>
      <c r="L308" s="123"/>
      <c r="M308" s="520"/>
      <c r="N308" s="521"/>
      <c r="O308" s="124"/>
      <c r="P308" s="125"/>
    </row>
    <row r="309" spans="2:16" ht="14.25" thickBot="1">
      <c r="B309" s="93"/>
      <c r="C309" s="492"/>
      <c r="D309" s="493"/>
      <c r="E309" s="493"/>
      <c r="F309" s="493"/>
      <c r="G309" s="509"/>
      <c r="H309" s="512"/>
      <c r="I309" s="509"/>
      <c r="J309" s="512"/>
      <c r="K309" s="509"/>
      <c r="L309" s="128"/>
      <c r="M309" s="518"/>
      <c r="N309" s="519"/>
      <c r="O309" s="124"/>
      <c r="P309" s="125"/>
    </row>
    <row r="310" spans="2:16" ht="14.25" thickBot="1">
      <c r="B310" s="93"/>
      <c r="C310" s="474" t="s">
        <v>44</v>
      </c>
      <c r="D310" s="475"/>
      <c r="E310" s="475"/>
      <c r="F310" s="475"/>
      <c r="G310" s="475"/>
      <c r="H310" s="475"/>
      <c r="I310" s="475"/>
      <c r="J310" s="475"/>
      <c r="K310" s="475"/>
      <c r="L310" s="475"/>
      <c r="M310" s="475"/>
      <c r="N310" s="476"/>
      <c r="O310" s="129">
        <f>SUM(O305:O309)</f>
        <v>13.067148997356165</v>
      </c>
      <c r="P310" s="130"/>
    </row>
    <row r="311" spans="2:16" ht="14.25" thickBot="1">
      <c r="B311" s="93"/>
      <c r="C311" s="77" t="s">
        <v>45</v>
      </c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9"/>
      <c r="P311" s="121"/>
    </row>
    <row r="312" spans="2:16">
      <c r="B312" s="93"/>
      <c r="C312" s="498" t="s">
        <v>3</v>
      </c>
      <c r="D312" s="499"/>
      <c r="E312" s="499"/>
      <c r="F312" s="499"/>
      <c r="G312" s="499"/>
      <c r="H312" s="499"/>
      <c r="I312" s="499"/>
      <c r="J312" s="511"/>
      <c r="K312" s="63" t="s">
        <v>37</v>
      </c>
      <c r="L312" s="61" t="s">
        <v>4</v>
      </c>
      <c r="M312" s="510" t="s">
        <v>46</v>
      </c>
      <c r="N312" s="511"/>
      <c r="O312" s="62" t="s">
        <v>43</v>
      </c>
      <c r="P312" s="122"/>
    </row>
    <row r="313" spans="2:16">
      <c r="B313" s="93"/>
      <c r="C313" s="358" t="s">
        <v>205</v>
      </c>
      <c r="D313" s="359"/>
      <c r="E313" s="359"/>
      <c r="F313" s="359"/>
      <c r="G313" s="359"/>
      <c r="H313" s="359"/>
      <c r="I313" s="359"/>
      <c r="J313" s="360"/>
      <c r="K313" s="131" t="s">
        <v>189</v>
      </c>
      <c r="L313" s="132">
        <v>1</v>
      </c>
      <c r="M313" s="507">
        <v>3555</v>
      </c>
      <c r="N313" s="508"/>
      <c r="O313" s="124">
        <f>L313*M313</f>
        <v>3555</v>
      </c>
      <c r="P313" s="125"/>
    </row>
    <row r="314" spans="2:16">
      <c r="B314" s="93"/>
      <c r="C314" s="162" t="s">
        <v>207</v>
      </c>
      <c r="D314" s="163"/>
      <c r="E314" s="163"/>
      <c r="F314" s="163"/>
      <c r="G314" s="163"/>
      <c r="H314" s="163"/>
      <c r="I314" s="163"/>
      <c r="J314" s="164"/>
      <c r="K314" s="165" t="s">
        <v>78</v>
      </c>
      <c r="L314" s="186">
        <f>1/1000</f>
        <v>1E-3</v>
      </c>
      <c r="M314" s="507">
        <v>19080</v>
      </c>
      <c r="N314" s="508"/>
      <c r="O314" s="124">
        <f t="shared" ref="O314:O318" si="9">L314*M314</f>
        <v>19.080000000000002</v>
      </c>
      <c r="P314" s="125"/>
    </row>
    <row r="315" spans="2:16">
      <c r="B315" s="93"/>
      <c r="C315" s="162"/>
      <c r="D315" s="163"/>
      <c r="E315" s="163"/>
      <c r="F315" s="163"/>
      <c r="G315" s="163"/>
      <c r="H315" s="163"/>
      <c r="I315" s="163"/>
      <c r="J315" s="164"/>
      <c r="K315" s="165"/>
      <c r="L315" s="166"/>
      <c r="M315" s="507"/>
      <c r="N315" s="508"/>
      <c r="O315" s="124">
        <f t="shared" si="9"/>
        <v>0</v>
      </c>
      <c r="P315" s="125"/>
    </row>
    <row r="316" spans="2:16">
      <c r="B316" s="93"/>
      <c r="C316" s="162"/>
      <c r="D316" s="163"/>
      <c r="E316" s="163"/>
      <c r="F316" s="163"/>
      <c r="G316" s="163"/>
      <c r="H316" s="163"/>
      <c r="I316" s="163"/>
      <c r="J316" s="164"/>
      <c r="K316" s="165"/>
      <c r="L316" s="166"/>
      <c r="M316" s="507"/>
      <c r="N316" s="508"/>
      <c r="O316" s="124">
        <f t="shared" si="9"/>
        <v>0</v>
      </c>
      <c r="P316" s="125"/>
    </row>
    <row r="317" spans="2:16">
      <c r="B317" s="93"/>
      <c r="C317" s="162"/>
      <c r="D317" s="163"/>
      <c r="E317" s="163"/>
      <c r="F317" s="163"/>
      <c r="G317" s="163"/>
      <c r="H317" s="163"/>
      <c r="I317" s="163"/>
      <c r="J317" s="164"/>
      <c r="K317" s="165"/>
      <c r="L317" s="362"/>
      <c r="M317" s="507"/>
      <c r="N317" s="508"/>
      <c r="O317" s="124">
        <f t="shared" si="9"/>
        <v>0</v>
      </c>
      <c r="P317" s="125"/>
    </row>
    <row r="318" spans="2:16">
      <c r="B318" s="93"/>
      <c r="C318" s="162"/>
      <c r="D318" s="163"/>
      <c r="E318" s="163"/>
      <c r="F318" s="163"/>
      <c r="G318" s="163"/>
      <c r="H318" s="163"/>
      <c r="I318" s="163"/>
      <c r="J318" s="164"/>
      <c r="K318" s="165"/>
      <c r="L318" s="362"/>
      <c r="M318" s="507"/>
      <c r="N318" s="508"/>
      <c r="O318" s="124">
        <f t="shared" si="9"/>
        <v>0</v>
      </c>
      <c r="P318" s="125"/>
    </row>
    <row r="319" spans="2:16">
      <c r="B319" s="93"/>
      <c r="C319" s="162"/>
      <c r="D319" s="163"/>
      <c r="E319" s="163"/>
      <c r="F319" s="163"/>
      <c r="G319" s="163"/>
      <c r="H319" s="163"/>
      <c r="I319" s="163"/>
      <c r="J319" s="164"/>
      <c r="K319" s="165"/>
      <c r="L319" s="166"/>
      <c r="M319" s="167"/>
      <c r="N319" s="168"/>
      <c r="O319" s="169"/>
      <c r="P319" s="125"/>
    </row>
    <row r="320" spans="2:16" ht="14.25" thickBot="1">
      <c r="B320" s="93"/>
      <c r="C320" s="492" t="s">
        <v>80</v>
      </c>
      <c r="D320" s="493"/>
      <c r="E320" s="493"/>
      <c r="F320" s="493"/>
      <c r="G320" s="493"/>
      <c r="H320" s="493"/>
      <c r="I320" s="493"/>
      <c r="J320" s="509"/>
      <c r="K320" s="71"/>
      <c r="L320" s="187">
        <v>0.03</v>
      </c>
      <c r="M320" s="497"/>
      <c r="N320" s="496"/>
      <c r="O320" s="133">
        <f>SUM(O313:O319)*L320</f>
        <v>107.22239999999999</v>
      </c>
      <c r="P320" s="125"/>
    </row>
    <row r="321" spans="2:16" ht="14.25" thickBot="1">
      <c r="B321" s="93"/>
      <c r="C321" s="474" t="s">
        <v>44</v>
      </c>
      <c r="D321" s="475"/>
      <c r="E321" s="475"/>
      <c r="F321" s="475"/>
      <c r="G321" s="475"/>
      <c r="H321" s="475"/>
      <c r="I321" s="475"/>
      <c r="J321" s="475"/>
      <c r="K321" s="475"/>
      <c r="L321" s="475"/>
      <c r="M321" s="475"/>
      <c r="N321" s="476"/>
      <c r="O321" s="134">
        <f>SUM(O313:O320)</f>
        <v>3681.3024</v>
      </c>
      <c r="P321" s="125"/>
    </row>
    <row r="322" spans="2:16" ht="14.25" thickBot="1">
      <c r="B322" s="93"/>
      <c r="C322" s="77" t="s">
        <v>47</v>
      </c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9"/>
      <c r="P322" s="121"/>
    </row>
    <row r="323" spans="2:16" ht="14.25">
      <c r="B323" s="93"/>
      <c r="C323" s="498" t="s">
        <v>48</v>
      </c>
      <c r="D323" s="499"/>
      <c r="E323" s="499"/>
      <c r="F323" s="499"/>
      <c r="G323" s="499"/>
      <c r="H323" s="499"/>
      <c r="I323" s="499"/>
      <c r="J323" s="161" t="s">
        <v>49</v>
      </c>
      <c r="K323" s="160" t="s">
        <v>50</v>
      </c>
      <c r="L323" s="65" t="s">
        <v>76</v>
      </c>
      <c r="M323" s="510" t="s">
        <v>51</v>
      </c>
      <c r="N323" s="511"/>
      <c r="O323" s="62" t="s">
        <v>43</v>
      </c>
      <c r="P323" s="122"/>
    </row>
    <row r="324" spans="2:16">
      <c r="B324" s="93"/>
      <c r="C324" s="502" t="s">
        <v>208</v>
      </c>
      <c r="D324" s="503"/>
      <c r="E324" s="503"/>
      <c r="F324" s="503"/>
      <c r="G324" s="503"/>
      <c r="H324" s="503"/>
      <c r="I324" s="503"/>
      <c r="J324" s="363">
        <f>L313/1000</f>
        <v>1E-3</v>
      </c>
      <c r="K324" s="136">
        <v>6</v>
      </c>
      <c r="L324" s="363">
        <f>J324*K324</f>
        <v>6.0000000000000001E-3</v>
      </c>
      <c r="M324" s="507">
        <f>35000/(1.5*6)</f>
        <v>3888.8888888888887</v>
      </c>
      <c r="N324" s="508"/>
      <c r="O324" s="124">
        <f>L324*M324</f>
        <v>23.333333333333332</v>
      </c>
      <c r="P324" s="125"/>
    </row>
    <row r="325" spans="2:16" ht="14.25" thickBot="1">
      <c r="B325" s="93"/>
      <c r="C325" s="492"/>
      <c r="D325" s="493"/>
      <c r="E325" s="493"/>
      <c r="F325" s="493"/>
      <c r="G325" s="493"/>
      <c r="H325" s="493"/>
      <c r="I325" s="493"/>
      <c r="J325" s="361"/>
      <c r="K325" s="242"/>
      <c r="L325" s="243"/>
      <c r="M325" s="507"/>
      <c r="N325" s="508"/>
      <c r="O325" s="124">
        <f>L325*M325</f>
        <v>0</v>
      </c>
      <c r="P325" s="125"/>
    </row>
    <row r="326" spans="2:16" ht="14.25" thickBot="1">
      <c r="B326" s="93"/>
      <c r="C326" s="474" t="s">
        <v>44</v>
      </c>
      <c r="D326" s="475"/>
      <c r="E326" s="475"/>
      <c r="F326" s="475"/>
      <c r="G326" s="475"/>
      <c r="H326" s="475"/>
      <c r="I326" s="475"/>
      <c r="J326" s="475"/>
      <c r="K326" s="475"/>
      <c r="L326" s="475"/>
      <c r="M326" s="475"/>
      <c r="N326" s="476"/>
      <c r="O326" s="129">
        <f>SUM(O324:O325)</f>
        <v>23.333333333333332</v>
      </c>
      <c r="P326" s="130"/>
    </row>
    <row r="327" spans="2:16" ht="14.25" thickBot="1">
      <c r="B327" s="93"/>
      <c r="C327" s="77" t="s">
        <v>52</v>
      </c>
      <c r="D327" s="78"/>
      <c r="E327" s="78"/>
      <c r="F327" s="78"/>
      <c r="G327" s="78"/>
      <c r="H327" s="78"/>
      <c r="I327" s="78"/>
      <c r="J327" s="244"/>
      <c r="K327" s="78"/>
      <c r="L327" s="78"/>
      <c r="M327" s="78"/>
      <c r="N327" s="78"/>
      <c r="O327" s="79"/>
      <c r="P327" s="121"/>
    </row>
    <row r="328" spans="2:16">
      <c r="B328" s="93"/>
      <c r="C328" s="498" t="s">
        <v>53</v>
      </c>
      <c r="D328" s="499"/>
      <c r="E328" s="499"/>
      <c r="F328" s="499"/>
      <c r="G328" s="499"/>
      <c r="H328" s="499"/>
      <c r="I328" s="499"/>
      <c r="J328" s="246"/>
      <c r="K328" s="506" t="s">
        <v>169</v>
      </c>
      <c r="L328" s="501"/>
      <c r="M328" s="500" t="s">
        <v>42</v>
      </c>
      <c r="N328" s="501"/>
      <c r="O328" s="68" t="s">
        <v>43</v>
      </c>
      <c r="P328" s="139"/>
    </row>
    <row r="329" spans="2:16">
      <c r="B329" s="93"/>
      <c r="C329" s="540" t="str">
        <f>+'MO2021'!C72</f>
        <v xml:space="preserve">CUADRILLA "AA" (Albañileria) </v>
      </c>
      <c r="D329" s="541"/>
      <c r="E329" s="541"/>
      <c r="F329" s="541"/>
      <c r="G329" s="541"/>
      <c r="H329" s="541"/>
      <c r="I329" s="541"/>
      <c r="J329" s="542"/>
      <c r="K329" s="484">
        <f>+'MO2021'!F82</f>
        <v>26134.297994712331</v>
      </c>
      <c r="L329" s="485"/>
      <c r="M329" s="486">
        <v>0.01</v>
      </c>
      <c r="N329" s="487"/>
      <c r="O329" s="142">
        <f>K329*M329</f>
        <v>261.3429799471233</v>
      </c>
      <c r="P329" s="143"/>
    </row>
    <row r="330" spans="2:16">
      <c r="B330" s="93"/>
      <c r="C330" s="140"/>
      <c r="D330" s="141"/>
      <c r="E330" s="141"/>
      <c r="F330" s="141"/>
      <c r="G330" s="141"/>
      <c r="H330" s="141"/>
      <c r="I330" s="141"/>
      <c r="J330" s="247"/>
      <c r="K330" s="488"/>
      <c r="L330" s="489"/>
      <c r="M330" s="490"/>
      <c r="N330" s="491"/>
      <c r="O330" s="142"/>
      <c r="P330" s="143"/>
    </row>
    <row r="331" spans="2:16" ht="14.25" thickBot="1">
      <c r="B331" s="93"/>
      <c r="C331" s="492"/>
      <c r="D331" s="493"/>
      <c r="E331" s="493"/>
      <c r="F331" s="493"/>
      <c r="G331" s="493"/>
      <c r="H331" s="493"/>
      <c r="I331" s="494"/>
      <c r="J331" s="245"/>
      <c r="K331" s="495"/>
      <c r="L331" s="496"/>
      <c r="M331" s="497"/>
      <c r="N331" s="496"/>
      <c r="O331" s="138"/>
      <c r="P331" s="125"/>
    </row>
    <row r="332" spans="2:16" ht="14.25" thickBot="1">
      <c r="B332" s="93"/>
      <c r="C332" s="504" t="s">
        <v>44</v>
      </c>
      <c r="D332" s="505"/>
      <c r="E332" s="505"/>
      <c r="F332" s="505"/>
      <c r="G332" s="505"/>
      <c r="H332" s="505"/>
      <c r="I332" s="505"/>
      <c r="J332" s="505"/>
      <c r="K332" s="475"/>
      <c r="L332" s="475"/>
      <c r="M332" s="475"/>
      <c r="N332" s="476"/>
      <c r="O332" s="134">
        <f>SUM(O329:O331)</f>
        <v>261.3429799471233</v>
      </c>
      <c r="P332" s="125"/>
    </row>
    <row r="333" spans="2:16" ht="5.85" customHeight="1" thickBot="1">
      <c r="B333" s="93"/>
      <c r="C333" s="80"/>
      <c r="D333" s="81"/>
      <c r="E333" s="81"/>
      <c r="F333" s="81"/>
      <c r="G333" s="81"/>
      <c r="H333" s="81"/>
      <c r="I333" s="81"/>
      <c r="J333" s="81"/>
      <c r="K333" s="81"/>
      <c r="L333" s="81"/>
      <c r="M333" s="81"/>
      <c r="N333" s="81"/>
      <c r="O333" s="82"/>
      <c r="P333" s="97"/>
    </row>
    <row r="334" spans="2:16" ht="14.25" thickBot="1">
      <c r="B334" s="93"/>
      <c r="C334" s="477" t="s">
        <v>54</v>
      </c>
      <c r="D334" s="478"/>
      <c r="E334" s="478"/>
      <c r="F334" s="478"/>
      <c r="G334" s="478"/>
      <c r="H334" s="478"/>
      <c r="I334" s="478"/>
      <c r="J334" s="478"/>
      <c r="K334" s="478"/>
      <c r="L334" s="478"/>
      <c r="M334" s="478"/>
      <c r="N334" s="479"/>
      <c r="O334" s="144">
        <f>+O310+O321+O326+O332</f>
        <v>3979.0458622778128</v>
      </c>
      <c r="P334" s="145"/>
    </row>
    <row r="335" spans="2:16" ht="14.25" thickBot="1">
      <c r="B335" s="93"/>
      <c r="C335" s="77" t="s">
        <v>55</v>
      </c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9"/>
      <c r="P335" s="121"/>
    </row>
    <row r="336" spans="2:16" ht="24.75">
      <c r="B336" s="93"/>
      <c r="C336" s="498" t="s">
        <v>56</v>
      </c>
      <c r="D336" s="499"/>
      <c r="E336" s="499"/>
      <c r="F336" s="499"/>
      <c r="G336" s="499"/>
      <c r="H336" s="499"/>
      <c r="I336" s="499"/>
      <c r="J336" s="64"/>
      <c r="K336" s="69"/>
      <c r="L336" s="67" t="s">
        <v>57</v>
      </c>
      <c r="M336" s="500" t="s">
        <v>58</v>
      </c>
      <c r="N336" s="501"/>
      <c r="O336" s="68"/>
      <c r="P336" s="139"/>
    </row>
    <row r="337" spans="2:16">
      <c r="B337" s="93"/>
      <c r="C337" s="502" t="s">
        <v>59</v>
      </c>
      <c r="D337" s="503"/>
      <c r="E337" s="503"/>
      <c r="F337" s="503"/>
      <c r="G337" s="503"/>
      <c r="H337" s="503"/>
      <c r="I337" s="503"/>
      <c r="J337" s="146"/>
      <c r="K337" s="147"/>
      <c r="L337" s="148">
        <f>'PRESUPUESTO OFICIAL'!K315</f>
        <v>0</v>
      </c>
      <c r="M337" s="470">
        <f>O334*L337</f>
        <v>0</v>
      </c>
      <c r="N337" s="471"/>
      <c r="O337" s="149"/>
      <c r="P337" s="150"/>
    </row>
    <row r="338" spans="2:16">
      <c r="B338" s="93"/>
      <c r="C338" s="70" t="s">
        <v>60</v>
      </c>
      <c r="D338" s="71"/>
      <c r="E338" s="71"/>
      <c r="F338" s="71"/>
      <c r="G338" s="71"/>
      <c r="H338" s="71"/>
      <c r="I338" s="71"/>
      <c r="J338" s="146"/>
      <c r="K338" s="147"/>
      <c r="L338" s="148">
        <f>'PRESUPUESTO OFICIAL'!K316</f>
        <v>0</v>
      </c>
      <c r="M338" s="470">
        <f>+O334*L338</f>
        <v>0</v>
      </c>
      <c r="N338" s="471"/>
      <c r="O338" s="149"/>
      <c r="P338" s="150"/>
    </row>
    <row r="339" spans="2:16" ht="14.25" thickBot="1">
      <c r="B339" s="93"/>
      <c r="C339" s="72" t="s">
        <v>61</v>
      </c>
      <c r="D339" s="73"/>
      <c r="E339" s="73"/>
      <c r="F339" s="73"/>
      <c r="G339" s="73"/>
      <c r="H339" s="73"/>
      <c r="I339" s="73"/>
      <c r="J339" s="151"/>
      <c r="K339" s="152"/>
      <c r="L339" s="148">
        <f>'PRESUPUESTO OFICIAL'!K317</f>
        <v>0</v>
      </c>
      <c r="M339" s="472">
        <f>O334*L339</f>
        <v>0</v>
      </c>
      <c r="N339" s="473"/>
      <c r="O339" s="149"/>
      <c r="P339" s="150"/>
    </row>
    <row r="340" spans="2:16" ht="14.25" thickBot="1">
      <c r="B340" s="93"/>
      <c r="C340" s="474" t="s">
        <v>44</v>
      </c>
      <c r="D340" s="475"/>
      <c r="E340" s="475"/>
      <c r="F340" s="475"/>
      <c r="G340" s="475"/>
      <c r="H340" s="475"/>
      <c r="I340" s="475"/>
      <c r="J340" s="475"/>
      <c r="K340" s="475"/>
      <c r="L340" s="475"/>
      <c r="M340" s="475"/>
      <c r="N340" s="476"/>
      <c r="O340" s="153">
        <f>SUM(M337:N339)</f>
        <v>0</v>
      </c>
      <c r="P340" s="154"/>
    </row>
    <row r="341" spans="2:16" ht="14.25" thickBot="1">
      <c r="B341" s="93"/>
      <c r="C341" s="80"/>
      <c r="D341" s="81"/>
      <c r="E341" s="81"/>
      <c r="F341" s="81"/>
      <c r="G341" s="81"/>
      <c r="H341" s="81"/>
      <c r="I341" s="81"/>
      <c r="J341" s="81"/>
      <c r="K341" s="81"/>
      <c r="L341" s="81"/>
      <c r="M341" s="81"/>
      <c r="N341" s="81"/>
      <c r="O341" s="82"/>
      <c r="P341" s="97"/>
    </row>
    <row r="342" spans="2:16" ht="14.25" thickBot="1">
      <c r="B342" s="93"/>
      <c r="C342" s="477" t="s">
        <v>62</v>
      </c>
      <c r="D342" s="478"/>
      <c r="E342" s="478"/>
      <c r="F342" s="478"/>
      <c r="G342" s="478"/>
      <c r="H342" s="478"/>
      <c r="I342" s="478"/>
      <c r="J342" s="478"/>
      <c r="K342" s="478"/>
      <c r="L342" s="478"/>
      <c r="M342" s="478"/>
      <c r="N342" s="479"/>
      <c r="O342" s="155">
        <f>ROUND(O334+O340,0)</f>
        <v>3979</v>
      </c>
      <c r="P342" s="154"/>
    </row>
    <row r="343" spans="2:16">
      <c r="B343" s="93"/>
      <c r="C343" s="80"/>
      <c r="D343" s="81"/>
      <c r="E343" s="81"/>
      <c r="F343" s="83" t="s">
        <v>63</v>
      </c>
      <c r="G343" s="81"/>
      <c r="H343" s="81"/>
      <c r="I343" s="81"/>
      <c r="J343" s="81"/>
      <c r="K343" s="81"/>
      <c r="L343" s="81"/>
      <c r="M343" s="81"/>
      <c r="N343" s="81"/>
      <c r="O343" s="82"/>
      <c r="P343" s="97"/>
    </row>
    <row r="344" spans="2:16">
      <c r="B344" s="93"/>
      <c r="C344" s="80"/>
      <c r="D344" s="81"/>
      <c r="E344" s="81"/>
      <c r="F344" s="83" t="s">
        <v>64</v>
      </c>
      <c r="G344" s="81"/>
      <c r="H344" s="81"/>
      <c r="I344" s="81"/>
      <c r="J344" s="81"/>
      <c r="K344" s="81"/>
      <c r="L344" s="81"/>
      <c r="M344" s="81"/>
      <c r="N344" s="81"/>
      <c r="O344" s="82"/>
      <c r="P344" s="97"/>
    </row>
    <row r="345" spans="2:16">
      <c r="B345" s="93"/>
      <c r="C345" s="84"/>
      <c r="D345" s="85"/>
      <c r="E345" s="85"/>
      <c r="F345" s="83" t="s">
        <v>65</v>
      </c>
      <c r="G345" s="85"/>
      <c r="H345" s="81"/>
      <c r="I345" s="85"/>
      <c r="J345" s="85"/>
      <c r="K345" s="85"/>
      <c r="L345" s="85"/>
      <c r="M345" s="85"/>
      <c r="N345" s="85"/>
      <c r="O345" s="86"/>
      <c r="P345" s="27"/>
    </row>
    <row r="346" spans="2:16" ht="14.25" thickBot="1">
      <c r="B346" s="93"/>
      <c r="C346" s="480"/>
      <c r="D346" s="481"/>
      <c r="E346" s="481"/>
      <c r="F346" s="73" t="s">
        <v>66</v>
      </c>
      <c r="G346" s="87"/>
      <c r="H346" s="87"/>
      <c r="I346" s="87"/>
      <c r="J346" s="87"/>
      <c r="K346" s="482"/>
      <c r="L346" s="482"/>
      <c r="M346" s="482"/>
      <c r="N346" s="482"/>
      <c r="O346" s="483"/>
      <c r="P346" s="156"/>
    </row>
    <row r="347" spans="2:16" ht="10.35" customHeight="1" thickBot="1">
      <c r="B347" s="157"/>
      <c r="C347" s="158"/>
      <c r="D347" s="158"/>
      <c r="E347" s="158"/>
      <c r="F347" s="158"/>
      <c r="G347" s="158"/>
      <c r="H347" s="158"/>
      <c r="I347" s="158"/>
      <c r="J347" s="158"/>
      <c r="K347" s="158"/>
      <c r="L347" s="158"/>
      <c r="M347" s="158"/>
      <c r="N347" s="158"/>
      <c r="O347" s="158"/>
      <c r="P347" s="159"/>
    </row>
    <row r="348" spans="2:16" ht="14.25" thickTop="1"/>
    <row r="349" spans="2:16" ht="10.35" customHeight="1" thickBot="1"/>
    <row r="350" spans="2:16" ht="5.85" customHeight="1" thickTop="1">
      <c r="B350" s="90"/>
      <c r="C350" s="91"/>
      <c r="D350" s="91"/>
      <c r="E350" s="91"/>
      <c r="F350" s="91"/>
      <c r="G350" s="91"/>
      <c r="H350" s="91"/>
      <c r="I350" s="91"/>
      <c r="J350" s="91"/>
      <c r="K350" s="91"/>
      <c r="L350" s="91"/>
      <c r="M350" s="91"/>
      <c r="N350" s="91"/>
      <c r="O350" s="91"/>
      <c r="P350" s="92"/>
    </row>
    <row r="351" spans="2:16">
      <c r="B351" s="93"/>
      <c r="C351" s="94" t="s">
        <v>24</v>
      </c>
      <c r="D351" s="95" t="s">
        <v>25</v>
      </c>
      <c r="E351" s="94" t="s">
        <v>26</v>
      </c>
      <c r="F351" s="95">
        <v>2</v>
      </c>
      <c r="G351" s="96"/>
      <c r="H351" s="174" t="s">
        <v>74</v>
      </c>
      <c r="I351" s="96"/>
      <c r="J351" s="96"/>
      <c r="K351" s="96"/>
      <c r="L351" s="96"/>
      <c r="M351" s="96"/>
      <c r="N351" s="96"/>
      <c r="O351" s="96"/>
      <c r="P351" s="97"/>
    </row>
    <row r="352" spans="2:16" ht="5.85" customHeight="1" thickBot="1">
      <c r="B352" s="93"/>
      <c r="C352" s="98"/>
      <c r="D352" s="99"/>
      <c r="E352" s="100"/>
      <c r="F352" s="99"/>
      <c r="G352" s="101"/>
      <c r="H352" s="101"/>
      <c r="I352" s="101"/>
      <c r="J352" s="101"/>
      <c r="K352" s="101"/>
      <c r="L352" s="101"/>
      <c r="M352" s="101"/>
      <c r="N352" s="101"/>
      <c r="O352" s="101"/>
      <c r="P352" s="97"/>
    </row>
    <row r="353" spans="2:16">
      <c r="B353" s="93"/>
      <c r="C353" s="352"/>
      <c r="D353" s="526"/>
      <c r="E353" s="527"/>
      <c r="F353" s="527"/>
      <c r="G353" s="527"/>
      <c r="H353" s="527"/>
      <c r="I353" s="527"/>
      <c r="J353" s="527"/>
      <c r="K353" s="528"/>
      <c r="L353" s="59" t="s">
        <v>27</v>
      </c>
      <c r="M353" s="102"/>
      <c r="N353" s="103"/>
      <c r="O353" s="104"/>
      <c r="P353" s="23"/>
    </row>
    <row r="354" spans="2:16">
      <c r="B354" s="93"/>
      <c r="C354" s="352"/>
      <c r="D354" s="529" t="s">
        <v>30</v>
      </c>
      <c r="E354" s="530"/>
      <c r="F354" s="530"/>
      <c r="G354" s="530"/>
      <c r="H354" s="530"/>
      <c r="I354" s="530"/>
      <c r="J354" s="530"/>
      <c r="K354" s="531"/>
      <c r="L354" s="58" t="s">
        <v>28</v>
      </c>
      <c r="M354" s="58">
        <v>1</v>
      </c>
      <c r="N354" s="57" t="s">
        <v>29</v>
      </c>
      <c r="O354" s="60">
        <v>1</v>
      </c>
      <c r="P354" s="23"/>
    </row>
    <row r="355" spans="2:16" ht="5.85" customHeight="1" thickBot="1">
      <c r="B355" s="93"/>
      <c r="C355" s="105"/>
      <c r="D355" s="106"/>
      <c r="E355" s="106"/>
      <c r="F355" s="106"/>
      <c r="G355" s="106"/>
      <c r="H355" s="106"/>
      <c r="I355" s="106"/>
      <c r="J355" s="106"/>
      <c r="K355" s="106"/>
      <c r="L355" s="106"/>
      <c r="M355" s="107"/>
      <c r="N355" s="107"/>
      <c r="O355" s="108"/>
      <c r="P355" s="25"/>
    </row>
    <row r="356" spans="2:16">
      <c r="B356" s="93"/>
      <c r="C356" s="109"/>
      <c r="D356" s="110"/>
      <c r="E356" s="110"/>
      <c r="F356" s="110"/>
      <c r="G356" s="110"/>
      <c r="H356" s="110"/>
      <c r="I356" s="110"/>
      <c r="J356" s="110"/>
      <c r="K356" s="110"/>
      <c r="L356" s="54" t="s">
        <v>31</v>
      </c>
      <c r="M356" s="55" t="s">
        <v>32</v>
      </c>
      <c r="N356" s="55" t="s">
        <v>33</v>
      </c>
      <c r="O356" s="56" t="s">
        <v>34</v>
      </c>
      <c r="P356" s="24"/>
    </row>
    <row r="357" spans="2:16" ht="14.25" thickBot="1">
      <c r="B357" s="93"/>
      <c r="C357" s="74" t="s">
        <v>196</v>
      </c>
      <c r="D357" s="111"/>
      <c r="E357" s="111"/>
      <c r="F357" s="111"/>
      <c r="G357" s="111"/>
      <c r="H357" s="111"/>
      <c r="I357" s="111"/>
      <c r="J357" s="111"/>
      <c r="K357" s="111"/>
      <c r="L357" s="112"/>
      <c r="M357" s="113"/>
      <c r="N357" s="113"/>
      <c r="O357" s="114"/>
      <c r="P357" s="26"/>
    </row>
    <row r="358" spans="2:16" ht="14.25" thickBot="1">
      <c r="B358" s="93"/>
      <c r="C358" s="532" t="s">
        <v>35</v>
      </c>
      <c r="D358" s="533"/>
      <c r="E358" s="533"/>
      <c r="F358" s="533"/>
      <c r="G358" s="533"/>
      <c r="H358" s="533"/>
      <c r="I358" s="533"/>
      <c r="J358" s="533"/>
      <c r="K358" s="533"/>
      <c r="L358" s="533"/>
      <c r="M358" s="533"/>
      <c r="N358" s="533"/>
      <c r="O358" s="534"/>
      <c r="P358" s="115"/>
    </row>
    <row r="359" spans="2:16">
      <c r="B359" s="93"/>
      <c r="C359" s="66" t="s">
        <v>36</v>
      </c>
      <c r="D359" s="535" t="s">
        <v>3</v>
      </c>
      <c r="E359" s="536"/>
      <c r="F359" s="536"/>
      <c r="G359" s="536"/>
      <c r="H359" s="536"/>
      <c r="I359" s="536"/>
      <c r="J359" s="536"/>
      <c r="K359" s="536"/>
      <c r="L359" s="537"/>
      <c r="M359" s="538" t="s">
        <v>37</v>
      </c>
      <c r="N359" s="539"/>
      <c r="O359" s="66" t="s">
        <v>4</v>
      </c>
      <c r="P359" s="116"/>
    </row>
    <row r="360" spans="2:16" ht="14.25" thickBot="1">
      <c r="B360" s="93"/>
      <c r="C360" s="117" t="s">
        <v>209</v>
      </c>
      <c r="D360" s="515" t="s">
        <v>210</v>
      </c>
      <c r="E360" s="516"/>
      <c r="F360" s="516"/>
      <c r="G360" s="516"/>
      <c r="H360" s="516"/>
      <c r="I360" s="516"/>
      <c r="J360" s="516"/>
      <c r="K360" s="516"/>
      <c r="L360" s="517"/>
      <c r="M360" s="515" t="s">
        <v>182</v>
      </c>
      <c r="N360" s="517"/>
      <c r="O360" s="118"/>
      <c r="P360" s="119"/>
    </row>
    <row r="361" spans="2:16" ht="14.25" thickBot="1">
      <c r="B361" s="93"/>
      <c r="C361" s="74" t="s">
        <v>38</v>
      </c>
      <c r="D361" s="75"/>
      <c r="E361" s="75"/>
      <c r="F361" s="75"/>
      <c r="G361" s="75"/>
      <c r="H361" s="75"/>
      <c r="I361" s="75"/>
      <c r="J361" s="78"/>
      <c r="K361" s="78"/>
      <c r="L361" s="75"/>
      <c r="M361" s="75"/>
      <c r="N361" s="75"/>
      <c r="O361" s="76"/>
      <c r="P361" s="121"/>
    </row>
    <row r="362" spans="2:16">
      <c r="B362" s="93"/>
      <c r="C362" s="498" t="s">
        <v>3</v>
      </c>
      <c r="D362" s="513"/>
      <c r="E362" s="513"/>
      <c r="F362" s="513"/>
      <c r="G362" s="514"/>
      <c r="H362" s="510" t="s">
        <v>39</v>
      </c>
      <c r="I362" s="513"/>
      <c r="J362" s="522" t="s">
        <v>40</v>
      </c>
      <c r="K362" s="523"/>
      <c r="L362" s="61" t="s">
        <v>51</v>
      </c>
      <c r="M362" s="510" t="s">
        <v>42</v>
      </c>
      <c r="N362" s="511"/>
      <c r="O362" s="62" t="s">
        <v>43</v>
      </c>
      <c r="P362" s="122"/>
    </row>
    <row r="363" spans="2:16">
      <c r="B363" s="93"/>
      <c r="C363" s="502" t="s">
        <v>81</v>
      </c>
      <c r="D363" s="503"/>
      <c r="E363" s="503"/>
      <c r="F363" s="503"/>
      <c r="G363" s="524"/>
      <c r="H363" s="525"/>
      <c r="I363" s="524"/>
      <c r="J363" s="525"/>
      <c r="K363" s="524"/>
      <c r="L363" s="123">
        <v>0.05</v>
      </c>
      <c r="M363" s="520"/>
      <c r="N363" s="521"/>
      <c r="O363" s="124">
        <f>L363*O390</f>
        <v>1960.0723496034248</v>
      </c>
      <c r="P363" s="125"/>
    </row>
    <row r="364" spans="2:16">
      <c r="B364" s="93"/>
      <c r="C364" s="162" t="s">
        <v>191</v>
      </c>
      <c r="D364" s="163"/>
      <c r="E364" s="163"/>
      <c r="F364" s="163"/>
      <c r="G364" s="164"/>
      <c r="H364" s="171"/>
      <c r="I364" s="164"/>
      <c r="J364" s="171"/>
      <c r="K364" s="164"/>
      <c r="L364" s="123">
        <f>L16</f>
        <v>92800</v>
      </c>
      <c r="M364" s="520">
        <v>0.25</v>
      </c>
      <c r="N364" s="521"/>
      <c r="O364" s="124">
        <f>L364*M364</f>
        <v>23200</v>
      </c>
      <c r="P364" s="125"/>
    </row>
    <row r="365" spans="2:16">
      <c r="B365" s="93"/>
      <c r="C365" s="162"/>
      <c r="D365" s="163"/>
      <c r="E365" s="163"/>
      <c r="F365" s="163"/>
      <c r="G365" s="164"/>
      <c r="H365" s="171"/>
      <c r="I365" s="164"/>
      <c r="J365" s="171"/>
      <c r="K365" s="164"/>
      <c r="L365" s="123"/>
      <c r="M365" s="172"/>
      <c r="N365" s="173"/>
      <c r="O365" s="124"/>
      <c r="P365" s="125"/>
    </row>
    <row r="366" spans="2:16">
      <c r="B366" s="93"/>
      <c r="C366" s="70"/>
      <c r="D366" s="71"/>
      <c r="E366" s="71"/>
      <c r="F366" s="71"/>
      <c r="G366" s="126"/>
      <c r="H366" s="127"/>
      <c r="I366" s="126"/>
      <c r="J366" s="127"/>
      <c r="K366" s="126"/>
      <c r="L366" s="123"/>
      <c r="M366" s="520"/>
      <c r="N366" s="521"/>
      <c r="O366" s="124"/>
      <c r="P366" s="125"/>
    </row>
    <row r="367" spans="2:16" ht="14.25" thickBot="1">
      <c r="B367" s="93"/>
      <c r="C367" s="492"/>
      <c r="D367" s="493"/>
      <c r="E367" s="493"/>
      <c r="F367" s="493"/>
      <c r="G367" s="509"/>
      <c r="H367" s="512"/>
      <c r="I367" s="509"/>
      <c r="J367" s="512"/>
      <c r="K367" s="509"/>
      <c r="L367" s="128"/>
      <c r="M367" s="518"/>
      <c r="N367" s="519"/>
      <c r="O367" s="124"/>
      <c r="P367" s="125"/>
    </row>
    <row r="368" spans="2:16" ht="14.25" thickBot="1">
      <c r="B368" s="93"/>
      <c r="C368" s="474" t="s">
        <v>44</v>
      </c>
      <c r="D368" s="475"/>
      <c r="E368" s="475"/>
      <c r="F368" s="475"/>
      <c r="G368" s="475"/>
      <c r="H368" s="475"/>
      <c r="I368" s="475"/>
      <c r="J368" s="475"/>
      <c r="K368" s="475"/>
      <c r="L368" s="475"/>
      <c r="M368" s="475"/>
      <c r="N368" s="476"/>
      <c r="O368" s="129">
        <f>SUM(O363:O367)</f>
        <v>25160.072349603426</v>
      </c>
      <c r="P368" s="130"/>
    </row>
    <row r="369" spans="2:16" ht="14.25" thickBot="1">
      <c r="B369" s="93"/>
      <c r="C369" s="77" t="s">
        <v>45</v>
      </c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9"/>
      <c r="P369" s="121"/>
    </row>
    <row r="370" spans="2:16">
      <c r="B370" s="93"/>
      <c r="C370" s="498" t="s">
        <v>3</v>
      </c>
      <c r="D370" s="499"/>
      <c r="E370" s="499"/>
      <c r="F370" s="499"/>
      <c r="G370" s="499"/>
      <c r="H370" s="499"/>
      <c r="I370" s="499"/>
      <c r="J370" s="511"/>
      <c r="K370" s="63" t="s">
        <v>37</v>
      </c>
      <c r="L370" s="61" t="s">
        <v>4</v>
      </c>
      <c r="M370" s="510" t="s">
        <v>46</v>
      </c>
      <c r="N370" s="511"/>
      <c r="O370" s="62" t="s">
        <v>43</v>
      </c>
      <c r="P370" s="122"/>
    </row>
    <row r="371" spans="2:16">
      <c r="B371" s="93"/>
      <c r="C371" s="358" t="s">
        <v>183</v>
      </c>
      <c r="D371" s="359"/>
      <c r="E371" s="359"/>
      <c r="F371" s="359"/>
      <c r="G371" s="359"/>
      <c r="H371" s="359"/>
      <c r="I371" s="359"/>
      <c r="J371" s="360"/>
      <c r="K371" s="131" t="s">
        <v>79</v>
      </c>
      <c r="L371" s="132">
        <v>364</v>
      </c>
      <c r="M371" s="507">
        <f>+M23</f>
        <v>600</v>
      </c>
      <c r="N371" s="508"/>
      <c r="O371" s="124">
        <f>L371*M371</f>
        <v>218400</v>
      </c>
      <c r="P371" s="125"/>
    </row>
    <row r="372" spans="2:16">
      <c r="B372" s="93"/>
      <c r="C372" s="162" t="s">
        <v>211</v>
      </c>
      <c r="D372" s="163"/>
      <c r="E372" s="163"/>
      <c r="F372" s="163"/>
      <c r="G372" s="163"/>
      <c r="H372" s="163"/>
      <c r="I372" s="163"/>
      <c r="J372" s="164"/>
      <c r="K372" s="165" t="s">
        <v>182</v>
      </c>
      <c r="L372" s="186">
        <v>1.1599999999999999</v>
      </c>
      <c r="M372" s="507">
        <f>+M25*1.125</f>
        <v>45360</v>
      </c>
      <c r="N372" s="508"/>
      <c r="O372" s="124">
        <f t="shared" ref="O372:O376" si="10">L372*M372</f>
        <v>52617.599999999999</v>
      </c>
      <c r="P372" s="125"/>
    </row>
    <row r="373" spans="2:16">
      <c r="B373" s="93"/>
      <c r="C373" s="162" t="s">
        <v>186</v>
      </c>
      <c r="D373" s="163"/>
      <c r="E373" s="163"/>
      <c r="F373" s="163"/>
      <c r="G373" s="163"/>
      <c r="H373" s="163"/>
      <c r="I373" s="163"/>
      <c r="J373" s="164"/>
      <c r="K373" s="165" t="s">
        <v>212</v>
      </c>
      <c r="L373" s="166">
        <v>220</v>
      </c>
      <c r="M373" s="507">
        <f>+M26</f>
        <v>69</v>
      </c>
      <c r="N373" s="508"/>
      <c r="O373" s="124">
        <f t="shared" si="10"/>
        <v>15180</v>
      </c>
      <c r="P373" s="125"/>
    </row>
    <row r="374" spans="2:16">
      <c r="B374" s="93"/>
      <c r="C374" s="162"/>
      <c r="D374" s="163"/>
      <c r="E374" s="163"/>
      <c r="F374" s="163"/>
      <c r="G374" s="163"/>
      <c r="H374" s="163"/>
      <c r="I374" s="163"/>
      <c r="J374" s="164"/>
      <c r="K374" s="165"/>
      <c r="L374" s="166"/>
      <c r="M374" s="507"/>
      <c r="N374" s="508"/>
      <c r="O374" s="124">
        <f t="shared" si="10"/>
        <v>0</v>
      </c>
      <c r="P374" s="125"/>
    </row>
    <row r="375" spans="2:16">
      <c r="B375" s="93"/>
      <c r="C375" s="162"/>
      <c r="D375" s="163"/>
      <c r="E375" s="163"/>
      <c r="F375" s="163"/>
      <c r="G375" s="163"/>
      <c r="H375" s="163"/>
      <c r="I375" s="163"/>
      <c r="J375" s="164"/>
      <c r="K375" s="165"/>
      <c r="L375" s="362"/>
      <c r="M375" s="507"/>
      <c r="N375" s="508"/>
      <c r="O375" s="124">
        <f t="shared" si="10"/>
        <v>0</v>
      </c>
      <c r="P375" s="125"/>
    </row>
    <row r="376" spans="2:16">
      <c r="B376" s="93"/>
      <c r="C376" s="162"/>
      <c r="D376" s="163"/>
      <c r="E376" s="163"/>
      <c r="F376" s="163"/>
      <c r="G376" s="163"/>
      <c r="H376" s="163"/>
      <c r="I376" s="163"/>
      <c r="J376" s="164"/>
      <c r="K376" s="165"/>
      <c r="L376" s="362"/>
      <c r="M376" s="507"/>
      <c r="N376" s="508"/>
      <c r="O376" s="124">
        <f t="shared" si="10"/>
        <v>0</v>
      </c>
      <c r="P376" s="125"/>
    </row>
    <row r="377" spans="2:16">
      <c r="B377" s="93"/>
      <c r="C377" s="162"/>
      <c r="D377" s="163"/>
      <c r="E377" s="163"/>
      <c r="F377" s="163"/>
      <c r="G377" s="163"/>
      <c r="H377" s="163"/>
      <c r="I377" s="163"/>
      <c r="J377" s="164"/>
      <c r="K377" s="165"/>
      <c r="L377" s="166"/>
      <c r="M377" s="167"/>
      <c r="N377" s="168"/>
      <c r="O377" s="169"/>
      <c r="P377" s="125"/>
    </row>
    <row r="378" spans="2:16" ht="14.25" thickBot="1">
      <c r="B378" s="93"/>
      <c r="C378" s="492" t="s">
        <v>80</v>
      </c>
      <c r="D378" s="493"/>
      <c r="E378" s="493"/>
      <c r="F378" s="493"/>
      <c r="G378" s="493"/>
      <c r="H378" s="493"/>
      <c r="I378" s="493"/>
      <c r="J378" s="509"/>
      <c r="K378" s="71"/>
      <c r="L378" s="187">
        <v>0.05</v>
      </c>
      <c r="M378" s="497"/>
      <c r="N378" s="496"/>
      <c r="O378" s="133">
        <f>SUM(O371:O377)*L378</f>
        <v>14309.88</v>
      </c>
      <c r="P378" s="125"/>
    </row>
    <row r="379" spans="2:16" ht="14.25" thickBot="1">
      <c r="B379" s="93"/>
      <c r="C379" s="474" t="s">
        <v>44</v>
      </c>
      <c r="D379" s="475"/>
      <c r="E379" s="475"/>
      <c r="F379" s="475"/>
      <c r="G379" s="475"/>
      <c r="H379" s="475"/>
      <c r="I379" s="475"/>
      <c r="J379" s="475"/>
      <c r="K379" s="475"/>
      <c r="L379" s="475"/>
      <c r="M379" s="475"/>
      <c r="N379" s="476"/>
      <c r="O379" s="134">
        <f>SUM(O371:O378)</f>
        <v>300507.48</v>
      </c>
      <c r="P379" s="125"/>
    </row>
    <row r="380" spans="2:16" ht="14.25" thickBot="1">
      <c r="B380" s="93"/>
      <c r="C380" s="77" t="s">
        <v>47</v>
      </c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9"/>
      <c r="P380" s="121"/>
    </row>
    <row r="381" spans="2:16" ht="14.25">
      <c r="B381" s="93"/>
      <c r="C381" s="498" t="s">
        <v>48</v>
      </c>
      <c r="D381" s="499"/>
      <c r="E381" s="499"/>
      <c r="F381" s="499"/>
      <c r="G381" s="499"/>
      <c r="H381" s="499"/>
      <c r="I381" s="499"/>
      <c r="J381" s="161" t="s">
        <v>49</v>
      </c>
      <c r="K381" s="160" t="s">
        <v>50</v>
      </c>
      <c r="L381" s="65" t="s">
        <v>76</v>
      </c>
      <c r="M381" s="510" t="s">
        <v>51</v>
      </c>
      <c r="N381" s="511"/>
      <c r="O381" s="62" t="s">
        <v>43</v>
      </c>
      <c r="P381" s="122"/>
    </row>
    <row r="382" spans="2:16">
      <c r="B382" s="93"/>
      <c r="C382" s="502" t="s">
        <v>213</v>
      </c>
      <c r="D382" s="503"/>
      <c r="E382" s="503"/>
      <c r="F382" s="503"/>
      <c r="G382" s="503"/>
      <c r="H382" s="503"/>
      <c r="I382" s="503"/>
      <c r="J382" s="363">
        <f>+L372</f>
        <v>1.1599999999999999</v>
      </c>
      <c r="K382" s="136">
        <v>26.5</v>
      </c>
      <c r="L382" s="363">
        <f>J382*K382</f>
        <v>30.74</v>
      </c>
      <c r="M382" s="507">
        <f>M34</f>
        <v>1200</v>
      </c>
      <c r="N382" s="508"/>
      <c r="O382" s="124">
        <f>L382*M382</f>
        <v>36888</v>
      </c>
      <c r="P382" s="125"/>
    </row>
    <row r="383" spans="2:16" ht="14.25" thickBot="1">
      <c r="B383" s="93"/>
      <c r="C383" s="492"/>
      <c r="D383" s="493"/>
      <c r="E383" s="493"/>
      <c r="F383" s="493"/>
      <c r="G383" s="493"/>
      <c r="H383" s="493"/>
      <c r="I383" s="493"/>
      <c r="J383" s="361"/>
      <c r="K383" s="242"/>
      <c r="L383" s="243"/>
      <c r="M383" s="507"/>
      <c r="N383" s="508"/>
      <c r="O383" s="124">
        <f>L383*M383</f>
        <v>0</v>
      </c>
      <c r="P383" s="125"/>
    </row>
    <row r="384" spans="2:16" ht="14.25" thickBot="1">
      <c r="B384" s="93"/>
      <c r="C384" s="474" t="s">
        <v>44</v>
      </c>
      <c r="D384" s="475"/>
      <c r="E384" s="475"/>
      <c r="F384" s="475"/>
      <c r="G384" s="475"/>
      <c r="H384" s="475"/>
      <c r="I384" s="475"/>
      <c r="J384" s="475"/>
      <c r="K384" s="475"/>
      <c r="L384" s="475"/>
      <c r="M384" s="475"/>
      <c r="N384" s="476"/>
      <c r="O384" s="129">
        <f>SUM(O382:O383)</f>
        <v>36888</v>
      </c>
      <c r="P384" s="130"/>
    </row>
    <row r="385" spans="2:16" ht="14.25" thickBot="1">
      <c r="B385" s="93"/>
      <c r="C385" s="77" t="s">
        <v>52</v>
      </c>
      <c r="D385" s="78"/>
      <c r="E385" s="78"/>
      <c r="F385" s="78"/>
      <c r="G385" s="78"/>
      <c r="H385" s="78"/>
      <c r="I385" s="78"/>
      <c r="J385" s="244"/>
      <c r="K385" s="78"/>
      <c r="L385" s="78"/>
      <c r="M385" s="78"/>
      <c r="N385" s="78"/>
      <c r="O385" s="79"/>
      <c r="P385" s="121"/>
    </row>
    <row r="386" spans="2:16">
      <c r="B386" s="93"/>
      <c r="C386" s="498" t="s">
        <v>53</v>
      </c>
      <c r="D386" s="499"/>
      <c r="E386" s="499"/>
      <c r="F386" s="499"/>
      <c r="G386" s="499"/>
      <c r="H386" s="499"/>
      <c r="I386" s="499"/>
      <c r="J386" s="246"/>
      <c r="K386" s="506" t="s">
        <v>169</v>
      </c>
      <c r="L386" s="501"/>
      <c r="M386" s="500" t="s">
        <v>42</v>
      </c>
      <c r="N386" s="501"/>
      <c r="O386" s="68" t="s">
        <v>43</v>
      </c>
      <c r="P386" s="139"/>
    </row>
    <row r="387" spans="2:16">
      <c r="B387" s="93"/>
      <c r="C387" s="540" t="str">
        <f>+'MO2021'!C72</f>
        <v xml:space="preserve">CUADRILLA "AA" (Albañileria) </v>
      </c>
      <c r="D387" s="541"/>
      <c r="E387" s="541"/>
      <c r="F387" s="541"/>
      <c r="G387" s="541"/>
      <c r="H387" s="541"/>
      <c r="I387" s="541"/>
      <c r="J387" s="542"/>
      <c r="K387" s="484">
        <f>+'MO2021'!F82</f>
        <v>26134.297994712331</v>
      </c>
      <c r="L387" s="485"/>
      <c r="M387" s="486">
        <v>1.5</v>
      </c>
      <c r="N387" s="487"/>
      <c r="O387" s="142">
        <f>K387*M387</f>
        <v>39201.446992068493</v>
      </c>
      <c r="P387" s="143"/>
    </row>
    <row r="388" spans="2:16">
      <c r="B388" s="93"/>
      <c r="C388" s="140"/>
      <c r="D388" s="141"/>
      <c r="E388" s="141"/>
      <c r="F388" s="141"/>
      <c r="G388" s="141"/>
      <c r="H388" s="141"/>
      <c r="I388" s="141"/>
      <c r="J388" s="247"/>
      <c r="K388" s="488"/>
      <c r="L388" s="489"/>
      <c r="M388" s="490"/>
      <c r="N388" s="491"/>
      <c r="O388" s="142"/>
      <c r="P388" s="143"/>
    </row>
    <row r="389" spans="2:16" ht="14.25" thickBot="1">
      <c r="B389" s="93"/>
      <c r="C389" s="492"/>
      <c r="D389" s="493"/>
      <c r="E389" s="493"/>
      <c r="F389" s="493"/>
      <c r="G389" s="493"/>
      <c r="H389" s="493"/>
      <c r="I389" s="494"/>
      <c r="J389" s="245"/>
      <c r="K389" s="495"/>
      <c r="L389" s="496"/>
      <c r="M389" s="497"/>
      <c r="N389" s="496"/>
      <c r="O389" s="138"/>
      <c r="P389" s="125"/>
    </row>
    <row r="390" spans="2:16" ht="14.25" thickBot="1">
      <c r="B390" s="93"/>
      <c r="C390" s="504" t="s">
        <v>44</v>
      </c>
      <c r="D390" s="505"/>
      <c r="E390" s="505"/>
      <c r="F390" s="505"/>
      <c r="G390" s="505"/>
      <c r="H390" s="505"/>
      <c r="I390" s="505"/>
      <c r="J390" s="505"/>
      <c r="K390" s="475"/>
      <c r="L390" s="475"/>
      <c r="M390" s="475"/>
      <c r="N390" s="476"/>
      <c r="O390" s="134">
        <f>SUM(O387:O389)</f>
        <v>39201.446992068493</v>
      </c>
      <c r="P390" s="125"/>
    </row>
    <row r="391" spans="2:16" ht="5.85" customHeight="1" thickBot="1">
      <c r="B391" s="93"/>
      <c r="C391" s="80"/>
      <c r="D391" s="81"/>
      <c r="E391" s="81"/>
      <c r="F391" s="81"/>
      <c r="G391" s="81"/>
      <c r="H391" s="81"/>
      <c r="I391" s="81"/>
      <c r="J391" s="81"/>
      <c r="K391" s="81"/>
      <c r="L391" s="81"/>
      <c r="M391" s="81"/>
      <c r="N391" s="81"/>
      <c r="O391" s="82"/>
      <c r="P391" s="97"/>
    </row>
    <row r="392" spans="2:16" ht="14.25" thickBot="1">
      <c r="B392" s="93"/>
      <c r="C392" s="477" t="s">
        <v>54</v>
      </c>
      <c r="D392" s="478"/>
      <c r="E392" s="478"/>
      <c r="F392" s="478"/>
      <c r="G392" s="478"/>
      <c r="H392" s="478"/>
      <c r="I392" s="478"/>
      <c r="J392" s="478"/>
      <c r="K392" s="478"/>
      <c r="L392" s="478"/>
      <c r="M392" s="478"/>
      <c r="N392" s="479"/>
      <c r="O392" s="144">
        <f>+O368+O379+O384+O390</f>
        <v>401756.99934167188</v>
      </c>
      <c r="P392" s="145"/>
    </row>
    <row r="393" spans="2:16" ht="14.25" thickBot="1">
      <c r="B393" s="93"/>
      <c r="C393" s="77" t="s">
        <v>55</v>
      </c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9"/>
      <c r="P393" s="121"/>
    </row>
    <row r="394" spans="2:16" ht="24.75">
      <c r="B394" s="93"/>
      <c r="C394" s="498" t="s">
        <v>56</v>
      </c>
      <c r="D394" s="499"/>
      <c r="E394" s="499"/>
      <c r="F394" s="499"/>
      <c r="G394" s="499"/>
      <c r="H394" s="499"/>
      <c r="I394" s="499"/>
      <c r="J394" s="64"/>
      <c r="K394" s="69"/>
      <c r="L394" s="67" t="s">
        <v>57</v>
      </c>
      <c r="M394" s="500" t="s">
        <v>58</v>
      </c>
      <c r="N394" s="501"/>
      <c r="O394" s="68"/>
      <c r="P394" s="139"/>
    </row>
    <row r="395" spans="2:16">
      <c r="B395" s="93"/>
      <c r="C395" s="502" t="s">
        <v>59</v>
      </c>
      <c r="D395" s="503"/>
      <c r="E395" s="503"/>
      <c r="F395" s="503"/>
      <c r="G395" s="503"/>
      <c r="H395" s="503"/>
      <c r="I395" s="503"/>
      <c r="J395" s="146"/>
      <c r="K395" s="147"/>
      <c r="L395" s="148">
        <f>'PRESUPUESTO OFICIAL'!K373</f>
        <v>0</v>
      </c>
      <c r="M395" s="470">
        <f>O392*L395</f>
        <v>0</v>
      </c>
      <c r="N395" s="471"/>
      <c r="O395" s="149"/>
      <c r="P395" s="150"/>
    </row>
    <row r="396" spans="2:16">
      <c r="B396" s="93"/>
      <c r="C396" s="70" t="s">
        <v>60</v>
      </c>
      <c r="D396" s="71"/>
      <c r="E396" s="71"/>
      <c r="F396" s="71"/>
      <c r="G396" s="71"/>
      <c r="H396" s="71"/>
      <c r="I396" s="71"/>
      <c r="J396" s="146"/>
      <c r="K396" s="147"/>
      <c r="L396" s="148">
        <f>'PRESUPUESTO OFICIAL'!K374</f>
        <v>0</v>
      </c>
      <c r="M396" s="470">
        <f>+O392*L396</f>
        <v>0</v>
      </c>
      <c r="N396" s="471"/>
      <c r="O396" s="149"/>
      <c r="P396" s="150"/>
    </row>
    <row r="397" spans="2:16" ht="14.25" thickBot="1">
      <c r="B397" s="93"/>
      <c r="C397" s="72" t="s">
        <v>61</v>
      </c>
      <c r="D397" s="73"/>
      <c r="E397" s="73"/>
      <c r="F397" s="73"/>
      <c r="G397" s="73"/>
      <c r="H397" s="73"/>
      <c r="I397" s="73"/>
      <c r="J397" s="151"/>
      <c r="K397" s="152"/>
      <c r="L397" s="148">
        <f>'PRESUPUESTO OFICIAL'!K375</f>
        <v>0</v>
      </c>
      <c r="M397" s="472">
        <f>O392*L397</f>
        <v>0</v>
      </c>
      <c r="N397" s="473"/>
      <c r="O397" s="149"/>
      <c r="P397" s="150"/>
    </row>
    <row r="398" spans="2:16" ht="14.25" thickBot="1">
      <c r="B398" s="93"/>
      <c r="C398" s="474" t="s">
        <v>44</v>
      </c>
      <c r="D398" s="475"/>
      <c r="E398" s="475"/>
      <c r="F398" s="475"/>
      <c r="G398" s="475"/>
      <c r="H398" s="475"/>
      <c r="I398" s="475"/>
      <c r="J398" s="475"/>
      <c r="K398" s="475"/>
      <c r="L398" s="475"/>
      <c r="M398" s="475"/>
      <c r="N398" s="476"/>
      <c r="O398" s="153">
        <f>SUM(M395:N397)</f>
        <v>0</v>
      </c>
      <c r="P398" s="154"/>
    </row>
    <row r="399" spans="2:16" ht="14.25" thickBot="1">
      <c r="B399" s="93"/>
      <c r="C399" s="80"/>
      <c r="D399" s="81"/>
      <c r="E399" s="81"/>
      <c r="F399" s="81"/>
      <c r="G399" s="81"/>
      <c r="H399" s="81"/>
      <c r="I399" s="81"/>
      <c r="J399" s="81"/>
      <c r="K399" s="81"/>
      <c r="L399" s="81"/>
      <c r="M399" s="81"/>
      <c r="N399" s="81"/>
      <c r="O399" s="82"/>
      <c r="P399" s="97"/>
    </row>
    <row r="400" spans="2:16" ht="14.25" thickBot="1">
      <c r="B400" s="93"/>
      <c r="C400" s="477" t="s">
        <v>62</v>
      </c>
      <c r="D400" s="478"/>
      <c r="E400" s="478"/>
      <c r="F400" s="478"/>
      <c r="G400" s="478"/>
      <c r="H400" s="478"/>
      <c r="I400" s="478"/>
      <c r="J400" s="478"/>
      <c r="K400" s="478"/>
      <c r="L400" s="478"/>
      <c r="M400" s="478"/>
      <c r="N400" s="479"/>
      <c r="O400" s="155">
        <f>ROUND(O392+O398,0)</f>
        <v>401757</v>
      </c>
      <c r="P400" s="154"/>
    </row>
    <row r="401" spans="2:16">
      <c r="B401" s="93"/>
      <c r="C401" s="80"/>
      <c r="D401" s="81"/>
      <c r="E401" s="81"/>
      <c r="F401" s="83" t="s">
        <v>63</v>
      </c>
      <c r="G401" s="81"/>
      <c r="H401" s="81"/>
      <c r="I401" s="81"/>
      <c r="J401" s="81"/>
      <c r="K401" s="81"/>
      <c r="L401" s="81"/>
      <c r="M401" s="81"/>
      <c r="N401" s="81"/>
      <c r="O401" s="82"/>
      <c r="P401" s="97"/>
    </row>
    <row r="402" spans="2:16">
      <c r="B402" s="93"/>
      <c r="C402" s="80"/>
      <c r="D402" s="81"/>
      <c r="E402" s="81"/>
      <c r="F402" s="83" t="s">
        <v>64</v>
      </c>
      <c r="G402" s="81"/>
      <c r="H402" s="81"/>
      <c r="I402" s="81"/>
      <c r="J402" s="81"/>
      <c r="K402" s="81"/>
      <c r="L402" s="81"/>
      <c r="M402" s="81"/>
      <c r="N402" s="81"/>
      <c r="O402" s="82"/>
      <c r="P402" s="97"/>
    </row>
    <row r="403" spans="2:16">
      <c r="B403" s="93"/>
      <c r="C403" s="84"/>
      <c r="D403" s="85"/>
      <c r="E403" s="85"/>
      <c r="F403" s="83" t="s">
        <v>65</v>
      </c>
      <c r="G403" s="85"/>
      <c r="H403" s="81"/>
      <c r="I403" s="85"/>
      <c r="J403" s="85"/>
      <c r="K403" s="85"/>
      <c r="L403" s="85"/>
      <c r="M403" s="85"/>
      <c r="N403" s="85"/>
      <c r="O403" s="86"/>
      <c r="P403" s="27"/>
    </row>
    <row r="404" spans="2:16" ht="14.25" thickBot="1">
      <c r="B404" s="93"/>
      <c r="C404" s="480"/>
      <c r="D404" s="481"/>
      <c r="E404" s="481"/>
      <c r="F404" s="73" t="s">
        <v>66</v>
      </c>
      <c r="G404" s="87"/>
      <c r="H404" s="87"/>
      <c r="I404" s="87"/>
      <c r="J404" s="87"/>
      <c r="K404" s="482"/>
      <c r="L404" s="482"/>
      <c r="M404" s="482"/>
      <c r="N404" s="482"/>
      <c r="O404" s="483"/>
      <c r="P404" s="156"/>
    </row>
    <row r="405" spans="2:16" ht="10.35" customHeight="1" thickBot="1">
      <c r="B405" s="157"/>
      <c r="C405" s="158"/>
      <c r="D405" s="158"/>
      <c r="E405" s="158"/>
      <c r="F405" s="158"/>
      <c r="G405" s="158"/>
      <c r="H405" s="158"/>
      <c r="I405" s="158"/>
      <c r="J405" s="158"/>
      <c r="K405" s="158"/>
      <c r="L405" s="158"/>
      <c r="M405" s="158"/>
      <c r="N405" s="158"/>
      <c r="O405" s="158"/>
      <c r="P405" s="159"/>
    </row>
    <row r="406" spans="2:16" ht="14.25" thickTop="1"/>
    <row r="407" spans="2:16" ht="10.35" customHeight="1" thickBot="1"/>
    <row r="408" spans="2:16" ht="5.85" customHeight="1" thickTop="1">
      <c r="B408" s="90"/>
      <c r="C408" s="91"/>
      <c r="D408" s="91"/>
      <c r="E408" s="91"/>
      <c r="F408" s="91"/>
      <c r="G408" s="91"/>
      <c r="H408" s="91"/>
      <c r="I408" s="91"/>
      <c r="J408" s="91"/>
      <c r="K408" s="91"/>
      <c r="L408" s="91"/>
      <c r="M408" s="91"/>
      <c r="N408" s="91"/>
      <c r="O408" s="91"/>
      <c r="P408" s="92"/>
    </row>
    <row r="409" spans="2:16">
      <c r="B409" s="93"/>
      <c r="C409" s="94" t="s">
        <v>24</v>
      </c>
      <c r="D409" s="95" t="s">
        <v>25</v>
      </c>
      <c r="E409" s="94" t="s">
        <v>26</v>
      </c>
      <c r="F409" s="95">
        <v>2</v>
      </c>
      <c r="G409" s="96"/>
      <c r="H409" s="174" t="s">
        <v>74</v>
      </c>
      <c r="I409" s="96"/>
      <c r="J409" s="96"/>
      <c r="K409" s="96"/>
      <c r="L409" s="96"/>
      <c r="M409" s="96"/>
      <c r="N409" s="96"/>
      <c r="O409" s="96"/>
      <c r="P409" s="97"/>
    </row>
    <row r="410" spans="2:16" ht="5.85" customHeight="1" thickBot="1">
      <c r="B410" s="93"/>
      <c r="C410" s="98"/>
      <c r="D410" s="99"/>
      <c r="E410" s="100"/>
      <c r="F410" s="99"/>
      <c r="G410" s="101"/>
      <c r="H410" s="101"/>
      <c r="I410" s="101"/>
      <c r="J410" s="101"/>
      <c r="K410" s="101"/>
      <c r="L410" s="101"/>
      <c r="M410" s="101"/>
      <c r="N410" s="101"/>
      <c r="O410" s="101"/>
      <c r="P410" s="97"/>
    </row>
    <row r="411" spans="2:16">
      <c r="B411" s="93"/>
      <c r="C411" s="352"/>
      <c r="D411" s="526"/>
      <c r="E411" s="527"/>
      <c r="F411" s="527"/>
      <c r="G411" s="527"/>
      <c r="H411" s="527"/>
      <c r="I411" s="527"/>
      <c r="J411" s="527"/>
      <c r="K411" s="528"/>
      <c r="L411" s="59" t="s">
        <v>27</v>
      </c>
      <c r="M411" s="102"/>
      <c r="N411" s="103"/>
      <c r="O411" s="104"/>
      <c r="P411" s="23"/>
    </row>
    <row r="412" spans="2:16">
      <c r="B412" s="93"/>
      <c r="C412" s="352"/>
      <c r="D412" s="529" t="s">
        <v>30</v>
      </c>
      <c r="E412" s="530"/>
      <c r="F412" s="530"/>
      <c r="G412" s="530"/>
      <c r="H412" s="530"/>
      <c r="I412" s="530"/>
      <c r="J412" s="530"/>
      <c r="K412" s="531"/>
      <c r="L412" s="58" t="s">
        <v>28</v>
      </c>
      <c r="M412" s="58">
        <v>1</v>
      </c>
      <c r="N412" s="57" t="s">
        <v>29</v>
      </c>
      <c r="O412" s="60">
        <v>1</v>
      </c>
      <c r="P412" s="23"/>
    </row>
    <row r="413" spans="2:16" ht="5.85" customHeight="1" thickBot="1">
      <c r="B413" s="93"/>
      <c r="C413" s="105"/>
      <c r="D413" s="106"/>
      <c r="E413" s="106"/>
      <c r="F413" s="106"/>
      <c r="G413" s="106"/>
      <c r="H413" s="106"/>
      <c r="I413" s="106"/>
      <c r="J413" s="106"/>
      <c r="K413" s="106"/>
      <c r="L413" s="106"/>
      <c r="M413" s="107"/>
      <c r="N413" s="107"/>
      <c r="O413" s="108"/>
      <c r="P413" s="25"/>
    </row>
    <row r="414" spans="2:16">
      <c r="B414" s="93"/>
      <c r="C414" s="109"/>
      <c r="D414" s="110"/>
      <c r="E414" s="110"/>
      <c r="F414" s="110"/>
      <c r="G414" s="110"/>
      <c r="H414" s="110"/>
      <c r="I414" s="110"/>
      <c r="J414" s="110"/>
      <c r="K414" s="110"/>
      <c r="L414" s="54" t="s">
        <v>31</v>
      </c>
      <c r="M414" s="55" t="s">
        <v>32</v>
      </c>
      <c r="N414" s="55" t="s">
        <v>33</v>
      </c>
      <c r="O414" s="56" t="s">
        <v>34</v>
      </c>
      <c r="P414" s="24"/>
    </row>
    <row r="415" spans="2:16" ht="14.25" thickBot="1">
      <c r="B415" s="93"/>
      <c r="C415" s="74" t="s">
        <v>196</v>
      </c>
      <c r="D415" s="111"/>
      <c r="E415" s="111"/>
      <c r="F415" s="111"/>
      <c r="G415" s="111"/>
      <c r="H415" s="111"/>
      <c r="I415" s="111"/>
      <c r="J415" s="111"/>
      <c r="K415" s="111"/>
      <c r="L415" s="112"/>
      <c r="M415" s="113"/>
      <c r="N415" s="113"/>
      <c r="O415" s="114"/>
      <c r="P415" s="26"/>
    </row>
    <row r="416" spans="2:16" ht="14.25" thickBot="1">
      <c r="B416" s="93"/>
      <c r="C416" s="532" t="s">
        <v>35</v>
      </c>
      <c r="D416" s="533"/>
      <c r="E416" s="533"/>
      <c r="F416" s="533"/>
      <c r="G416" s="533"/>
      <c r="H416" s="533"/>
      <c r="I416" s="533"/>
      <c r="J416" s="533"/>
      <c r="K416" s="533"/>
      <c r="L416" s="533"/>
      <c r="M416" s="533"/>
      <c r="N416" s="533"/>
      <c r="O416" s="534"/>
      <c r="P416" s="115"/>
    </row>
    <row r="417" spans="2:16">
      <c r="B417" s="93"/>
      <c r="C417" s="66" t="s">
        <v>36</v>
      </c>
      <c r="D417" s="535" t="s">
        <v>3</v>
      </c>
      <c r="E417" s="536"/>
      <c r="F417" s="536"/>
      <c r="G417" s="536"/>
      <c r="H417" s="536"/>
      <c r="I417" s="536"/>
      <c r="J417" s="536"/>
      <c r="K417" s="536"/>
      <c r="L417" s="537"/>
      <c r="M417" s="538" t="s">
        <v>37</v>
      </c>
      <c r="N417" s="539"/>
      <c r="O417" s="66" t="s">
        <v>4</v>
      </c>
      <c r="P417" s="116"/>
    </row>
    <row r="418" spans="2:16" ht="14.25" thickBot="1">
      <c r="B418" s="93"/>
      <c r="C418" s="117" t="s">
        <v>214</v>
      </c>
      <c r="D418" s="515" t="s">
        <v>215</v>
      </c>
      <c r="E418" s="516"/>
      <c r="F418" s="516"/>
      <c r="G418" s="516"/>
      <c r="H418" s="516"/>
      <c r="I418" s="516"/>
      <c r="J418" s="516"/>
      <c r="K418" s="516"/>
      <c r="L418" s="517"/>
      <c r="M418" s="515" t="s">
        <v>182</v>
      </c>
      <c r="N418" s="517"/>
      <c r="O418" s="118"/>
      <c r="P418" s="119"/>
    </row>
    <row r="419" spans="2:16" ht="14.25" thickBot="1">
      <c r="B419" s="93"/>
      <c r="C419" s="74" t="s">
        <v>38</v>
      </c>
      <c r="D419" s="75"/>
      <c r="E419" s="75"/>
      <c r="F419" s="75"/>
      <c r="G419" s="75"/>
      <c r="H419" s="75"/>
      <c r="I419" s="75"/>
      <c r="J419" s="78"/>
      <c r="K419" s="78"/>
      <c r="L419" s="75"/>
      <c r="M419" s="75"/>
      <c r="N419" s="75"/>
      <c r="O419" s="76"/>
      <c r="P419" s="121"/>
    </row>
    <row r="420" spans="2:16">
      <c r="B420" s="93"/>
      <c r="C420" s="498" t="s">
        <v>3</v>
      </c>
      <c r="D420" s="513"/>
      <c r="E420" s="513"/>
      <c r="F420" s="513"/>
      <c r="G420" s="514"/>
      <c r="H420" s="510" t="s">
        <v>39</v>
      </c>
      <c r="I420" s="513"/>
      <c r="J420" s="522" t="s">
        <v>40</v>
      </c>
      <c r="K420" s="523"/>
      <c r="L420" s="61" t="s">
        <v>51</v>
      </c>
      <c r="M420" s="510" t="s">
        <v>42</v>
      </c>
      <c r="N420" s="511"/>
      <c r="O420" s="62" t="s">
        <v>43</v>
      </c>
      <c r="P420" s="122"/>
    </row>
    <row r="421" spans="2:16">
      <c r="B421" s="93"/>
      <c r="C421" s="502" t="s">
        <v>81</v>
      </c>
      <c r="D421" s="503"/>
      <c r="E421" s="503"/>
      <c r="F421" s="503"/>
      <c r="G421" s="524"/>
      <c r="H421" s="525"/>
      <c r="I421" s="524"/>
      <c r="J421" s="525"/>
      <c r="K421" s="524"/>
      <c r="L421" s="123">
        <v>0.05</v>
      </c>
      <c r="M421" s="520"/>
      <c r="N421" s="521"/>
      <c r="O421" s="124">
        <f>L421*O448</f>
        <v>1960.0723496034248</v>
      </c>
      <c r="P421" s="125"/>
    </row>
    <row r="422" spans="2:16">
      <c r="B422" s="93"/>
      <c r="C422" s="162" t="s">
        <v>191</v>
      </c>
      <c r="D422" s="163"/>
      <c r="E422" s="163"/>
      <c r="F422" s="163"/>
      <c r="G422" s="164"/>
      <c r="H422" s="171"/>
      <c r="I422" s="164"/>
      <c r="J422" s="171"/>
      <c r="K422" s="164"/>
      <c r="L422" s="123">
        <f>L74</f>
        <v>92800</v>
      </c>
      <c r="M422" s="520">
        <v>0.25</v>
      </c>
      <c r="N422" s="521"/>
      <c r="O422" s="124">
        <f>L422*M422</f>
        <v>23200</v>
      </c>
      <c r="P422" s="125"/>
    </row>
    <row r="423" spans="2:16">
      <c r="B423" s="93"/>
      <c r="C423" s="162"/>
      <c r="D423" s="163"/>
      <c r="E423" s="163"/>
      <c r="F423" s="163"/>
      <c r="G423" s="164"/>
      <c r="H423" s="171"/>
      <c r="I423" s="164"/>
      <c r="J423" s="171"/>
      <c r="K423" s="164"/>
      <c r="L423" s="123"/>
      <c r="M423" s="172"/>
      <c r="N423" s="173"/>
      <c r="O423" s="124"/>
      <c r="P423" s="125"/>
    </row>
    <row r="424" spans="2:16">
      <c r="B424" s="93"/>
      <c r="C424" s="70"/>
      <c r="D424" s="71"/>
      <c r="E424" s="71"/>
      <c r="F424" s="71"/>
      <c r="G424" s="126"/>
      <c r="H424" s="127"/>
      <c r="I424" s="126"/>
      <c r="J424" s="127"/>
      <c r="K424" s="126"/>
      <c r="L424" s="123"/>
      <c r="M424" s="520"/>
      <c r="N424" s="521"/>
      <c r="O424" s="124"/>
      <c r="P424" s="125"/>
    </row>
    <row r="425" spans="2:16" ht="14.25" thickBot="1">
      <c r="B425" s="93"/>
      <c r="C425" s="492"/>
      <c r="D425" s="493"/>
      <c r="E425" s="493"/>
      <c r="F425" s="493"/>
      <c r="G425" s="509"/>
      <c r="H425" s="512"/>
      <c r="I425" s="509"/>
      <c r="J425" s="512"/>
      <c r="K425" s="509"/>
      <c r="L425" s="128"/>
      <c r="M425" s="518"/>
      <c r="N425" s="519"/>
      <c r="O425" s="124"/>
      <c r="P425" s="125"/>
    </row>
    <row r="426" spans="2:16" ht="14.25" thickBot="1">
      <c r="B426" s="93"/>
      <c r="C426" s="474" t="s">
        <v>44</v>
      </c>
      <c r="D426" s="475"/>
      <c r="E426" s="475"/>
      <c r="F426" s="475"/>
      <c r="G426" s="475"/>
      <c r="H426" s="475"/>
      <c r="I426" s="475"/>
      <c r="J426" s="475"/>
      <c r="K426" s="475"/>
      <c r="L426" s="475"/>
      <c r="M426" s="475"/>
      <c r="N426" s="476"/>
      <c r="O426" s="129">
        <f>SUM(O421:O425)</f>
        <v>25160.072349603426</v>
      </c>
      <c r="P426" s="130"/>
    </row>
    <row r="427" spans="2:16" ht="14.25" thickBot="1">
      <c r="B427" s="93"/>
      <c r="C427" s="77" t="s">
        <v>45</v>
      </c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9"/>
      <c r="P427" s="121"/>
    </row>
    <row r="428" spans="2:16">
      <c r="B428" s="93"/>
      <c r="C428" s="498" t="s">
        <v>3</v>
      </c>
      <c r="D428" s="499"/>
      <c r="E428" s="499"/>
      <c r="F428" s="499"/>
      <c r="G428" s="499"/>
      <c r="H428" s="499"/>
      <c r="I428" s="499"/>
      <c r="J428" s="511"/>
      <c r="K428" s="63" t="s">
        <v>37</v>
      </c>
      <c r="L428" s="61" t="s">
        <v>4</v>
      </c>
      <c r="M428" s="510" t="s">
        <v>46</v>
      </c>
      <c r="N428" s="511"/>
      <c r="O428" s="62" t="s">
        <v>43</v>
      </c>
      <c r="P428" s="122"/>
    </row>
    <row r="429" spans="2:16">
      <c r="B429" s="93"/>
      <c r="C429" s="358" t="s">
        <v>183</v>
      </c>
      <c r="D429" s="359"/>
      <c r="E429" s="359"/>
      <c r="F429" s="359"/>
      <c r="G429" s="359"/>
      <c r="H429" s="359"/>
      <c r="I429" s="359"/>
      <c r="J429" s="360"/>
      <c r="K429" s="131" t="s">
        <v>79</v>
      </c>
      <c r="L429" s="132">
        <v>364</v>
      </c>
      <c r="M429" s="507">
        <f>+M23</f>
        <v>600</v>
      </c>
      <c r="N429" s="508"/>
      <c r="O429" s="124">
        <f>L429*M429</f>
        <v>218400</v>
      </c>
      <c r="P429" s="125"/>
    </row>
    <row r="430" spans="2:16">
      <c r="B430" s="93"/>
      <c r="C430" s="162" t="s">
        <v>211</v>
      </c>
      <c r="D430" s="163"/>
      <c r="E430" s="163"/>
      <c r="F430" s="163"/>
      <c r="G430" s="163"/>
      <c r="H430" s="163"/>
      <c r="I430" s="163"/>
      <c r="J430" s="164"/>
      <c r="K430" s="165" t="s">
        <v>182</v>
      </c>
      <c r="L430" s="186">
        <v>1.1599999999999999</v>
      </c>
      <c r="M430" s="507">
        <f>+M25*1.125</f>
        <v>45360</v>
      </c>
      <c r="N430" s="508"/>
      <c r="O430" s="124">
        <f t="shared" ref="O430:O434" si="11">L430*M430</f>
        <v>52617.599999999999</v>
      </c>
      <c r="P430" s="125"/>
    </row>
    <row r="431" spans="2:16">
      <c r="B431" s="93"/>
      <c r="C431" s="162" t="s">
        <v>186</v>
      </c>
      <c r="D431" s="163"/>
      <c r="E431" s="163"/>
      <c r="F431" s="163"/>
      <c r="G431" s="163"/>
      <c r="H431" s="163"/>
      <c r="I431" s="163"/>
      <c r="J431" s="164"/>
      <c r="K431" s="165" t="s">
        <v>212</v>
      </c>
      <c r="L431" s="166">
        <v>220</v>
      </c>
      <c r="M431" s="507">
        <f>+M26</f>
        <v>69</v>
      </c>
      <c r="N431" s="508"/>
      <c r="O431" s="124">
        <f t="shared" si="11"/>
        <v>15180</v>
      </c>
      <c r="P431" s="125"/>
    </row>
    <row r="432" spans="2:16">
      <c r="B432" s="93"/>
      <c r="C432" s="162" t="s">
        <v>216</v>
      </c>
      <c r="D432" s="163"/>
      <c r="E432" s="163"/>
      <c r="F432" s="163"/>
      <c r="G432" s="163"/>
      <c r="H432" s="163"/>
      <c r="I432" s="163"/>
      <c r="J432" s="164"/>
      <c r="K432" s="165" t="s">
        <v>79</v>
      </c>
      <c r="L432" s="166">
        <f>0.03*L429</f>
        <v>10.92</v>
      </c>
      <c r="M432" s="507">
        <v>14475</v>
      </c>
      <c r="N432" s="508"/>
      <c r="O432" s="124">
        <f t="shared" si="11"/>
        <v>158067</v>
      </c>
      <c r="P432" s="125"/>
    </row>
    <row r="433" spans="2:16">
      <c r="B433" s="93"/>
      <c r="C433" s="162"/>
      <c r="D433" s="163"/>
      <c r="E433" s="163"/>
      <c r="F433" s="163"/>
      <c r="G433" s="163"/>
      <c r="H433" s="163"/>
      <c r="I433" s="163"/>
      <c r="J433" s="164"/>
      <c r="K433" s="165"/>
      <c r="L433" s="362"/>
      <c r="M433" s="507"/>
      <c r="N433" s="508"/>
      <c r="O433" s="124">
        <f t="shared" si="11"/>
        <v>0</v>
      </c>
      <c r="P433" s="125"/>
    </row>
    <row r="434" spans="2:16">
      <c r="B434" s="93"/>
      <c r="C434" s="162"/>
      <c r="D434" s="163"/>
      <c r="E434" s="163"/>
      <c r="F434" s="163"/>
      <c r="G434" s="163"/>
      <c r="H434" s="163"/>
      <c r="I434" s="163"/>
      <c r="J434" s="164"/>
      <c r="K434" s="165"/>
      <c r="L434" s="362"/>
      <c r="M434" s="507"/>
      <c r="N434" s="508"/>
      <c r="O434" s="124">
        <f t="shared" si="11"/>
        <v>0</v>
      </c>
      <c r="P434" s="125"/>
    </row>
    <row r="435" spans="2:16">
      <c r="B435" s="93"/>
      <c r="C435" s="162"/>
      <c r="D435" s="163"/>
      <c r="E435" s="163"/>
      <c r="F435" s="163"/>
      <c r="G435" s="163"/>
      <c r="H435" s="163"/>
      <c r="I435" s="163"/>
      <c r="J435" s="164"/>
      <c r="K435" s="165"/>
      <c r="L435" s="166"/>
      <c r="M435" s="167"/>
      <c r="N435" s="168"/>
      <c r="O435" s="169"/>
      <c r="P435" s="125"/>
    </row>
    <row r="436" spans="2:16" ht="14.25" thickBot="1">
      <c r="B436" s="93"/>
      <c r="C436" s="492" t="s">
        <v>80</v>
      </c>
      <c r="D436" s="493"/>
      <c r="E436" s="493"/>
      <c r="F436" s="493"/>
      <c r="G436" s="493"/>
      <c r="H436" s="493"/>
      <c r="I436" s="493"/>
      <c r="J436" s="509"/>
      <c r="K436" s="71"/>
      <c r="L436" s="187">
        <v>0.05</v>
      </c>
      <c r="M436" s="497"/>
      <c r="N436" s="496"/>
      <c r="O436" s="133">
        <f>SUM(O429:O435)*L436</f>
        <v>22213.23</v>
      </c>
      <c r="P436" s="125"/>
    </row>
    <row r="437" spans="2:16" ht="14.25" thickBot="1">
      <c r="B437" s="93"/>
      <c r="C437" s="474" t="s">
        <v>44</v>
      </c>
      <c r="D437" s="475"/>
      <c r="E437" s="475"/>
      <c r="F437" s="475"/>
      <c r="G437" s="475"/>
      <c r="H437" s="475"/>
      <c r="I437" s="475"/>
      <c r="J437" s="475"/>
      <c r="K437" s="475"/>
      <c r="L437" s="475"/>
      <c r="M437" s="475"/>
      <c r="N437" s="476"/>
      <c r="O437" s="134">
        <f>SUM(O429:O436)</f>
        <v>466477.82999999996</v>
      </c>
      <c r="P437" s="125"/>
    </row>
    <row r="438" spans="2:16" ht="14.25" thickBot="1">
      <c r="B438" s="93"/>
      <c r="C438" s="77" t="s">
        <v>47</v>
      </c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9"/>
      <c r="P438" s="121"/>
    </row>
    <row r="439" spans="2:16" ht="14.25">
      <c r="B439" s="93"/>
      <c r="C439" s="498" t="s">
        <v>48</v>
      </c>
      <c r="D439" s="499"/>
      <c r="E439" s="499"/>
      <c r="F439" s="499"/>
      <c r="G439" s="499"/>
      <c r="H439" s="499"/>
      <c r="I439" s="499"/>
      <c r="J439" s="161" t="s">
        <v>49</v>
      </c>
      <c r="K439" s="160" t="s">
        <v>50</v>
      </c>
      <c r="L439" s="65" t="s">
        <v>76</v>
      </c>
      <c r="M439" s="510" t="s">
        <v>51</v>
      </c>
      <c r="N439" s="511"/>
      <c r="O439" s="62" t="s">
        <v>43</v>
      </c>
      <c r="P439" s="122"/>
    </row>
    <row r="440" spans="2:16">
      <c r="B440" s="93"/>
      <c r="C440" s="502" t="s">
        <v>213</v>
      </c>
      <c r="D440" s="503"/>
      <c r="E440" s="503"/>
      <c r="F440" s="503"/>
      <c r="G440" s="503"/>
      <c r="H440" s="503"/>
      <c r="I440" s="503"/>
      <c r="J440" s="363">
        <f>+L430</f>
        <v>1.1599999999999999</v>
      </c>
      <c r="K440" s="136">
        <v>26.5</v>
      </c>
      <c r="L440" s="363">
        <f>J440*K440</f>
        <v>30.74</v>
      </c>
      <c r="M440" s="507">
        <f>M92</f>
        <v>1200</v>
      </c>
      <c r="N440" s="508"/>
      <c r="O440" s="124">
        <f>L440*M440</f>
        <v>36888</v>
      </c>
      <c r="P440" s="125"/>
    </row>
    <row r="441" spans="2:16" ht="14.25" thickBot="1">
      <c r="B441" s="93"/>
      <c r="C441" s="492"/>
      <c r="D441" s="493"/>
      <c r="E441" s="493"/>
      <c r="F441" s="493"/>
      <c r="G441" s="493"/>
      <c r="H441" s="493"/>
      <c r="I441" s="493"/>
      <c r="J441" s="361"/>
      <c r="K441" s="242"/>
      <c r="L441" s="243"/>
      <c r="M441" s="507"/>
      <c r="N441" s="508"/>
      <c r="O441" s="124">
        <f>L441*M441</f>
        <v>0</v>
      </c>
      <c r="P441" s="125"/>
    </row>
    <row r="442" spans="2:16" ht="14.25" thickBot="1">
      <c r="B442" s="93"/>
      <c r="C442" s="474" t="s">
        <v>44</v>
      </c>
      <c r="D442" s="475"/>
      <c r="E442" s="475"/>
      <c r="F442" s="475"/>
      <c r="G442" s="475"/>
      <c r="H442" s="475"/>
      <c r="I442" s="475"/>
      <c r="J442" s="475"/>
      <c r="K442" s="475"/>
      <c r="L442" s="475"/>
      <c r="M442" s="475"/>
      <c r="N442" s="476"/>
      <c r="O442" s="129">
        <f>SUM(O440:O441)</f>
        <v>36888</v>
      </c>
      <c r="P442" s="130"/>
    </row>
    <row r="443" spans="2:16" ht="14.25" thickBot="1">
      <c r="B443" s="93"/>
      <c r="C443" s="77" t="s">
        <v>52</v>
      </c>
      <c r="D443" s="78"/>
      <c r="E443" s="78"/>
      <c r="F443" s="78"/>
      <c r="G443" s="78"/>
      <c r="H443" s="78"/>
      <c r="I443" s="78"/>
      <c r="J443" s="244"/>
      <c r="K443" s="78"/>
      <c r="L443" s="78"/>
      <c r="M443" s="78"/>
      <c r="N443" s="78"/>
      <c r="O443" s="79"/>
      <c r="P443" s="121"/>
    </row>
    <row r="444" spans="2:16">
      <c r="B444" s="93"/>
      <c r="C444" s="498" t="s">
        <v>53</v>
      </c>
      <c r="D444" s="499"/>
      <c r="E444" s="499"/>
      <c r="F444" s="499"/>
      <c r="G444" s="499"/>
      <c r="H444" s="499"/>
      <c r="I444" s="499"/>
      <c r="J444" s="246"/>
      <c r="K444" s="506" t="s">
        <v>169</v>
      </c>
      <c r="L444" s="501"/>
      <c r="M444" s="500" t="s">
        <v>42</v>
      </c>
      <c r="N444" s="501"/>
      <c r="O444" s="68" t="s">
        <v>43</v>
      </c>
      <c r="P444" s="139"/>
    </row>
    <row r="445" spans="2:16">
      <c r="B445" s="93"/>
      <c r="C445" s="540" t="str">
        <f>+'MO2021'!C72</f>
        <v xml:space="preserve">CUADRILLA "AA" (Albañileria) </v>
      </c>
      <c r="D445" s="541"/>
      <c r="E445" s="541"/>
      <c r="F445" s="541"/>
      <c r="G445" s="541"/>
      <c r="H445" s="541"/>
      <c r="I445" s="541"/>
      <c r="J445" s="542"/>
      <c r="K445" s="484">
        <f>+'MO2021'!F82</f>
        <v>26134.297994712331</v>
      </c>
      <c r="L445" s="485"/>
      <c r="M445" s="486">
        <v>1.5</v>
      </c>
      <c r="N445" s="487"/>
      <c r="O445" s="142">
        <f>K445*M445</f>
        <v>39201.446992068493</v>
      </c>
      <c r="P445" s="143"/>
    </row>
    <row r="446" spans="2:16">
      <c r="B446" s="93"/>
      <c r="C446" s="140"/>
      <c r="D446" s="141"/>
      <c r="E446" s="141"/>
      <c r="F446" s="141"/>
      <c r="G446" s="141"/>
      <c r="H446" s="141"/>
      <c r="I446" s="141"/>
      <c r="J446" s="247"/>
      <c r="K446" s="488"/>
      <c r="L446" s="489"/>
      <c r="M446" s="490"/>
      <c r="N446" s="491"/>
      <c r="O446" s="142"/>
      <c r="P446" s="143"/>
    </row>
    <row r="447" spans="2:16" ht="14.25" thickBot="1">
      <c r="B447" s="93"/>
      <c r="C447" s="492"/>
      <c r="D447" s="493"/>
      <c r="E447" s="493"/>
      <c r="F447" s="493"/>
      <c r="G447" s="493"/>
      <c r="H447" s="493"/>
      <c r="I447" s="494"/>
      <c r="J447" s="245"/>
      <c r="K447" s="495"/>
      <c r="L447" s="496"/>
      <c r="M447" s="497"/>
      <c r="N447" s="496"/>
      <c r="O447" s="138"/>
      <c r="P447" s="125"/>
    </row>
    <row r="448" spans="2:16" ht="14.25" thickBot="1">
      <c r="B448" s="93"/>
      <c r="C448" s="504" t="s">
        <v>44</v>
      </c>
      <c r="D448" s="505"/>
      <c r="E448" s="505"/>
      <c r="F448" s="505"/>
      <c r="G448" s="505"/>
      <c r="H448" s="505"/>
      <c r="I448" s="505"/>
      <c r="J448" s="505"/>
      <c r="K448" s="475"/>
      <c r="L448" s="475"/>
      <c r="M448" s="475"/>
      <c r="N448" s="476"/>
      <c r="O448" s="134">
        <f>SUM(O445:O447)</f>
        <v>39201.446992068493</v>
      </c>
      <c r="P448" s="125"/>
    </row>
    <row r="449" spans="2:16" ht="5.85" customHeight="1" thickBot="1">
      <c r="B449" s="93"/>
      <c r="C449" s="80"/>
      <c r="D449" s="81"/>
      <c r="E449" s="81"/>
      <c r="F449" s="81"/>
      <c r="G449" s="81"/>
      <c r="H449" s="81"/>
      <c r="I449" s="81"/>
      <c r="J449" s="81"/>
      <c r="K449" s="81"/>
      <c r="L449" s="81"/>
      <c r="M449" s="81"/>
      <c r="N449" s="81"/>
      <c r="O449" s="82"/>
      <c r="P449" s="97"/>
    </row>
    <row r="450" spans="2:16" ht="14.25" thickBot="1">
      <c r="B450" s="93"/>
      <c r="C450" s="477" t="s">
        <v>54</v>
      </c>
      <c r="D450" s="478"/>
      <c r="E450" s="478"/>
      <c r="F450" s="478"/>
      <c r="G450" s="478"/>
      <c r="H450" s="478"/>
      <c r="I450" s="478"/>
      <c r="J450" s="478"/>
      <c r="K450" s="478"/>
      <c r="L450" s="478"/>
      <c r="M450" s="478"/>
      <c r="N450" s="479"/>
      <c r="O450" s="144">
        <f>+O426+O437+O442+O448</f>
        <v>567727.34934167191</v>
      </c>
      <c r="P450" s="145"/>
    </row>
    <row r="451" spans="2:16" ht="14.25" thickBot="1">
      <c r="B451" s="93"/>
      <c r="C451" s="77" t="s">
        <v>55</v>
      </c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9"/>
      <c r="P451" s="121"/>
    </row>
    <row r="452" spans="2:16" ht="24.75">
      <c r="B452" s="93"/>
      <c r="C452" s="498" t="s">
        <v>56</v>
      </c>
      <c r="D452" s="499"/>
      <c r="E452" s="499"/>
      <c r="F452" s="499"/>
      <c r="G452" s="499"/>
      <c r="H452" s="499"/>
      <c r="I452" s="499"/>
      <c r="J452" s="64"/>
      <c r="K452" s="69"/>
      <c r="L452" s="67" t="s">
        <v>57</v>
      </c>
      <c r="M452" s="500" t="s">
        <v>58</v>
      </c>
      <c r="N452" s="501"/>
      <c r="O452" s="68"/>
      <c r="P452" s="139"/>
    </row>
    <row r="453" spans="2:16">
      <c r="B453" s="93"/>
      <c r="C453" s="502" t="s">
        <v>59</v>
      </c>
      <c r="D453" s="503"/>
      <c r="E453" s="503"/>
      <c r="F453" s="503"/>
      <c r="G453" s="503"/>
      <c r="H453" s="503"/>
      <c r="I453" s="503"/>
      <c r="J453" s="146"/>
      <c r="K453" s="147"/>
      <c r="L453" s="148">
        <f>'PRESUPUESTO OFICIAL'!K431</f>
        <v>0</v>
      </c>
      <c r="M453" s="470">
        <f>O450*L453</f>
        <v>0</v>
      </c>
      <c r="N453" s="471"/>
      <c r="O453" s="149"/>
      <c r="P453" s="150"/>
    </row>
    <row r="454" spans="2:16">
      <c r="B454" s="93"/>
      <c r="C454" s="70" t="s">
        <v>60</v>
      </c>
      <c r="D454" s="71"/>
      <c r="E454" s="71"/>
      <c r="F454" s="71"/>
      <c r="G454" s="71"/>
      <c r="H454" s="71"/>
      <c r="I454" s="71"/>
      <c r="J454" s="146"/>
      <c r="K454" s="147"/>
      <c r="L454" s="148">
        <f>'PRESUPUESTO OFICIAL'!K432</f>
        <v>0</v>
      </c>
      <c r="M454" s="470">
        <f>+O450*L454</f>
        <v>0</v>
      </c>
      <c r="N454" s="471"/>
      <c r="O454" s="149"/>
      <c r="P454" s="150"/>
    </row>
    <row r="455" spans="2:16" ht="14.25" thickBot="1">
      <c r="B455" s="93"/>
      <c r="C455" s="72" t="s">
        <v>61</v>
      </c>
      <c r="D455" s="73"/>
      <c r="E455" s="73"/>
      <c r="F455" s="73"/>
      <c r="G455" s="73"/>
      <c r="H455" s="73"/>
      <c r="I455" s="73"/>
      <c r="J455" s="151"/>
      <c r="K455" s="152"/>
      <c r="L455" s="148">
        <f>'PRESUPUESTO OFICIAL'!K433</f>
        <v>0</v>
      </c>
      <c r="M455" s="472">
        <f>O450*L455</f>
        <v>0</v>
      </c>
      <c r="N455" s="473"/>
      <c r="O455" s="149"/>
      <c r="P455" s="150"/>
    </row>
    <row r="456" spans="2:16" ht="14.25" thickBot="1">
      <c r="B456" s="93"/>
      <c r="C456" s="474" t="s">
        <v>44</v>
      </c>
      <c r="D456" s="475"/>
      <c r="E456" s="475"/>
      <c r="F456" s="475"/>
      <c r="G456" s="475"/>
      <c r="H456" s="475"/>
      <c r="I456" s="475"/>
      <c r="J456" s="475"/>
      <c r="K456" s="475"/>
      <c r="L456" s="475"/>
      <c r="M456" s="475"/>
      <c r="N456" s="476"/>
      <c r="O456" s="153">
        <f>SUM(M453:N455)</f>
        <v>0</v>
      </c>
      <c r="P456" s="154"/>
    </row>
    <row r="457" spans="2:16" ht="14.25" thickBot="1">
      <c r="B457" s="93"/>
      <c r="C457" s="80"/>
      <c r="D457" s="81"/>
      <c r="E457" s="81"/>
      <c r="F457" s="81"/>
      <c r="G457" s="81"/>
      <c r="H457" s="81"/>
      <c r="I457" s="81"/>
      <c r="J457" s="81"/>
      <c r="K457" s="81"/>
      <c r="L457" s="81"/>
      <c r="M457" s="81"/>
      <c r="N457" s="81"/>
      <c r="O457" s="82"/>
      <c r="P457" s="97"/>
    </row>
    <row r="458" spans="2:16" ht="14.25" thickBot="1">
      <c r="B458" s="93"/>
      <c r="C458" s="477" t="s">
        <v>62</v>
      </c>
      <c r="D458" s="478"/>
      <c r="E458" s="478"/>
      <c r="F458" s="478"/>
      <c r="G458" s="478"/>
      <c r="H458" s="478"/>
      <c r="I458" s="478"/>
      <c r="J458" s="478"/>
      <c r="K458" s="478"/>
      <c r="L458" s="478"/>
      <c r="M458" s="478"/>
      <c r="N458" s="479"/>
      <c r="O458" s="155">
        <f>ROUND(O450+O456,0)</f>
        <v>567727</v>
      </c>
      <c r="P458" s="154"/>
    </row>
    <row r="459" spans="2:16">
      <c r="B459" s="93"/>
      <c r="C459" s="80"/>
      <c r="D459" s="81"/>
      <c r="E459" s="81"/>
      <c r="F459" s="83" t="s">
        <v>63</v>
      </c>
      <c r="G459" s="81"/>
      <c r="H459" s="81"/>
      <c r="I459" s="81"/>
      <c r="J459" s="81"/>
      <c r="K459" s="81"/>
      <c r="L459" s="81"/>
      <c r="M459" s="81"/>
      <c r="N459" s="81"/>
      <c r="O459" s="82"/>
      <c r="P459" s="97"/>
    </row>
    <row r="460" spans="2:16">
      <c r="B460" s="93"/>
      <c r="C460" s="80"/>
      <c r="D460" s="81"/>
      <c r="E460" s="81"/>
      <c r="F460" s="83" t="s">
        <v>64</v>
      </c>
      <c r="G460" s="81"/>
      <c r="H460" s="81"/>
      <c r="I460" s="81"/>
      <c r="J460" s="81"/>
      <c r="K460" s="81"/>
      <c r="L460" s="81"/>
      <c r="M460" s="81"/>
      <c r="N460" s="81"/>
      <c r="O460" s="82"/>
      <c r="P460" s="97"/>
    </row>
    <row r="461" spans="2:16">
      <c r="B461" s="93"/>
      <c r="C461" s="84"/>
      <c r="D461" s="85"/>
      <c r="E461" s="85"/>
      <c r="F461" s="83" t="s">
        <v>65</v>
      </c>
      <c r="G461" s="85"/>
      <c r="H461" s="81"/>
      <c r="I461" s="85"/>
      <c r="J461" s="85"/>
      <c r="K461" s="85"/>
      <c r="L461" s="85"/>
      <c r="M461" s="85"/>
      <c r="N461" s="85"/>
      <c r="O461" s="86"/>
      <c r="P461" s="27"/>
    </row>
    <row r="462" spans="2:16" ht="14.25" thickBot="1">
      <c r="B462" s="93"/>
      <c r="C462" s="480"/>
      <c r="D462" s="481"/>
      <c r="E462" s="481"/>
      <c r="F462" s="73" t="s">
        <v>66</v>
      </c>
      <c r="G462" s="87"/>
      <c r="H462" s="87"/>
      <c r="I462" s="87"/>
      <c r="J462" s="87"/>
      <c r="K462" s="482"/>
      <c r="L462" s="482"/>
      <c r="M462" s="482"/>
      <c r="N462" s="482"/>
      <c r="O462" s="483"/>
      <c r="P462" s="156"/>
    </row>
    <row r="463" spans="2:16" ht="10.35" customHeight="1" thickBot="1">
      <c r="B463" s="157"/>
      <c r="C463" s="158"/>
      <c r="D463" s="158"/>
      <c r="E463" s="158"/>
      <c r="F463" s="158"/>
      <c r="G463" s="158"/>
      <c r="H463" s="158"/>
      <c r="I463" s="158"/>
      <c r="J463" s="158"/>
      <c r="K463" s="158"/>
      <c r="L463" s="158"/>
      <c r="M463" s="158"/>
      <c r="N463" s="158"/>
      <c r="O463" s="158"/>
      <c r="P463" s="159"/>
    </row>
    <row r="464" spans="2:16" ht="14.25" thickTop="1"/>
  </sheetData>
  <customSheetViews>
    <customSheetView guid="{B246B4D3-41B8-4237-8166-9970D120FD6A}" showPageBreaks="1" showGridLines="0" state="hidden" view="pageLayout" topLeftCell="A256">
      <selection activeCell="I13" sqref="I13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1"/>
      <headerFooter alignWithMargins="0"/>
    </customSheetView>
    <customSheetView guid="{E8A818AD-FA16-40A1-9379-4072C183431C}" showPageBreaks="1" showGridLines="0" state="hidden" view="pageLayout" topLeftCell="A256">
      <selection activeCell="I13" sqref="I13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2"/>
      <headerFooter alignWithMargins="0"/>
    </customSheetView>
  </customSheetViews>
  <mergeCells count="503">
    <mergeCell ref="C453:I453"/>
    <mergeCell ref="M453:N453"/>
    <mergeCell ref="M454:N454"/>
    <mergeCell ref="M455:N455"/>
    <mergeCell ref="C456:N456"/>
    <mergeCell ref="C458:N458"/>
    <mergeCell ref="C462:E462"/>
    <mergeCell ref="K462:O462"/>
    <mergeCell ref="K446:L446"/>
    <mergeCell ref="M446:N446"/>
    <mergeCell ref="C447:I447"/>
    <mergeCell ref="K447:L447"/>
    <mergeCell ref="M447:N447"/>
    <mergeCell ref="C448:N448"/>
    <mergeCell ref="C450:N450"/>
    <mergeCell ref="C452:I452"/>
    <mergeCell ref="M452:N452"/>
    <mergeCell ref="C440:I440"/>
    <mergeCell ref="M440:N440"/>
    <mergeCell ref="C441:I441"/>
    <mergeCell ref="M441:N441"/>
    <mergeCell ref="C442:N442"/>
    <mergeCell ref="C444:I444"/>
    <mergeCell ref="K444:L444"/>
    <mergeCell ref="M444:N444"/>
    <mergeCell ref="C445:J445"/>
    <mergeCell ref="K445:L445"/>
    <mergeCell ref="M445:N445"/>
    <mergeCell ref="M430:N430"/>
    <mergeCell ref="M431:N431"/>
    <mergeCell ref="M432:N432"/>
    <mergeCell ref="M433:N433"/>
    <mergeCell ref="M434:N434"/>
    <mergeCell ref="C436:J436"/>
    <mergeCell ref="M436:N436"/>
    <mergeCell ref="C437:N437"/>
    <mergeCell ref="C439:I439"/>
    <mergeCell ref="M439:N439"/>
    <mergeCell ref="M424:N424"/>
    <mergeCell ref="C425:G425"/>
    <mergeCell ref="H425:I425"/>
    <mergeCell ref="J425:K425"/>
    <mergeCell ref="M425:N425"/>
    <mergeCell ref="C426:N426"/>
    <mergeCell ref="C428:J428"/>
    <mergeCell ref="M428:N428"/>
    <mergeCell ref="M429:N429"/>
    <mergeCell ref="C420:G420"/>
    <mergeCell ref="H420:I420"/>
    <mergeCell ref="J420:K420"/>
    <mergeCell ref="M420:N420"/>
    <mergeCell ref="C421:G421"/>
    <mergeCell ref="H421:I421"/>
    <mergeCell ref="J421:K421"/>
    <mergeCell ref="M421:N421"/>
    <mergeCell ref="M422:N422"/>
    <mergeCell ref="C404:E404"/>
    <mergeCell ref="K404:O404"/>
    <mergeCell ref="D411:K411"/>
    <mergeCell ref="D412:K412"/>
    <mergeCell ref="C416:O416"/>
    <mergeCell ref="D417:L417"/>
    <mergeCell ref="M417:N417"/>
    <mergeCell ref="D418:L418"/>
    <mergeCell ref="M418:N418"/>
    <mergeCell ref="C392:N392"/>
    <mergeCell ref="C394:I394"/>
    <mergeCell ref="M394:N394"/>
    <mergeCell ref="C395:I395"/>
    <mergeCell ref="M395:N395"/>
    <mergeCell ref="M396:N396"/>
    <mergeCell ref="M397:N397"/>
    <mergeCell ref="C398:N398"/>
    <mergeCell ref="C400:N400"/>
    <mergeCell ref="C387:J387"/>
    <mergeCell ref="K387:L387"/>
    <mergeCell ref="M387:N387"/>
    <mergeCell ref="K388:L388"/>
    <mergeCell ref="M388:N388"/>
    <mergeCell ref="C389:I389"/>
    <mergeCell ref="K389:L389"/>
    <mergeCell ref="M389:N389"/>
    <mergeCell ref="C390:N390"/>
    <mergeCell ref="C381:I381"/>
    <mergeCell ref="M381:N381"/>
    <mergeCell ref="C382:I382"/>
    <mergeCell ref="M382:N382"/>
    <mergeCell ref="C383:I383"/>
    <mergeCell ref="M383:N383"/>
    <mergeCell ref="C384:N384"/>
    <mergeCell ref="C386:I386"/>
    <mergeCell ref="K386:L386"/>
    <mergeCell ref="M386:N386"/>
    <mergeCell ref="M371:N371"/>
    <mergeCell ref="M372:N372"/>
    <mergeCell ref="M373:N373"/>
    <mergeCell ref="M374:N374"/>
    <mergeCell ref="M375:N375"/>
    <mergeCell ref="M376:N376"/>
    <mergeCell ref="C378:J378"/>
    <mergeCell ref="M378:N378"/>
    <mergeCell ref="C379:N379"/>
    <mergeCell ref="M364:N364"/>
    <mergeCell ref="M366:N366"/>
    <mergeCell ref="C367:G367"/>
    <mergeCell ref="H367:I367"/>
    <mergeCell ref="J367:K367"/>
    <mergeCell ref="M367:N367"/>
    <mergeCell ref="C368:N368"/>
    <mergeCell ref="C370:J370"/>
    <mergeCell ref="M370:N370"/>
    <mergeCell ref="D359:L359"/>
    <mergeCell ref="M359:N359"/>
    <mergeCell ref="D360:L360"/>
    <mergeCell ref="M360:N360"/>
    <mergeCell ref="C362:G362"/>
    <mergeCell ref="H362:I362"/>
    <mergeCell ref="J362:K362"/>
    <mergeCell ref="M362:N362"/>
    <mergeCell ref="C363:G363"/>
    <mergeCell ref="H363:I363"/>
    <mergeCell ref="J363:K363"/>
    <mergeCell ref="M363:N363"/>
    <mergeCell ref="M338:N338"/>
    <mergeCell ref="M339:N339"/>
    <mergeCell ref="C340:N340"/>
    <mergeCell ref="C342:N342"/>
    <mergeCell ref="C346:E346"/>
    <mergeCell ref="K346:O346"/>
    <mergeCell ref="D353:K353"/>
    <mergeCell ref="D354:K354"/>
    <mergeCell ref="C358:O358"/>
    <mergeCell ref="C331:I331"/>
    <mergeCell ref="K331:L331"/>
    <mergeCell ref="M331:N331"/>
    <mergeCell ref="C332:N332"/>
    <mergeCell ref="C334:N334"/>
    <mergeCell ref="C336:I336"/>
    <mergeCell ref="M336:N336"/>
    <mergeCell ref="C337:I337"/>
    <mergeCell ref="M337:N337"/>
    <mergeCell ref="C326:N326"/>
    <mergeCell ref="C328:I328"/>
    <mergeCell ref="K328:L328"/>
    <mergeCell ref="M328:N328"/>
    <mergeCell ref="C329:J329"/>
    <mergeCell ref="K329:L329"/>
    <mergeCell ref="M329:N329"/>
    <mergeCell ref="K330:L330"/>
    <mergeCell ref="M330:N330"/>
    <mergeCell ref="C320:J320"/>
    <mergeCell ref="M320:N320"/>
    <mergeCell ref="C321:N321"/>
    <mergeCell ref="C323:I323"/>
    <mergeCell ref="M323:N323"/>
    <mergeCell ref="C324:I324"/>
    <mergeCell ref="M324:N324"/>
    <mergeCell ref="C325:I325"/>
    <mergeCell ref="M325:N325"/>
    <mergeCell ref="C310:N310"/>
    <mergeCell ref="C312:J312"/>
    <mergeCell ref="M312:N312"/>
    <mergeCell ref="M313:N313"/>
    <mergeCell ref="M314:N314"/>
    <mergeCell ref="M315:N315"/>
    <mergeCell ref="M316:N316"/>
    <mergeCell ref="M317:N317"/>
    <mergeCell ref="M318:N318"/>
    <mergeCell ref="C305:G305"/>
    <mergeCell ref="H305:I305"/>
    <mergeCell ref="J305:K305"/>
    <mergeCell ref="M305:N305"/>
    <mergeCell ref="M306:N306"/>
    <mergeCell ref="M308:N308"/>
    <mergeCell ref="C309:G309"/>
    <mergeCell ref="H309:I309"/>
    <mergeCell ref="J309:K309"/>
    <mergeCell ref="M309:N309"/>
    <mergeCell ref="D296:K296"/>
    <mergeCell ref="C300:O300"/>
    <mergeCell ref="D301:L301"/>
    <mergeCell ref="M301:N301"/>
    <mergeCell ref="D302:L302"/>
    <mergeCell ref="M302:N302"/>
    <mergeCell ref="C304:G304"/>
    <mergeCell ref="H304:I304"/>
    <mergeCell ref="J304:K304"/>
    <mergeCell ref="M304:N304"/>
    <mergeCell ref="C279:I279"/>
    <mergeCell ref="M279:N279"/>
    <mergeCell ref="M280:N280"/>
    <mergeCell ref="M281:N281"/>
    <mergeCell ref="C282:N282"/>
    <mergeCell ref="C284:N284"/>
    <mergeCell ref="C288:E288"/>
    <mergeCell ref="K288:O288"/>
    <mergeCell ref="D295:K295"/>
    <mergeCell ref="K272:L272"/>
    <mergeCell ref="M272:N272"/>
    <mergeCell ref="C273:I273"/>
    <mergeCell ref="K273:L273"/>
    <mergeCell ref="M273:N273"/>
    <mergeCell ref="C274:N274"/>
    <mergeCell ref="C276:N276"/>
    <mergeCell ref="C278:I278"/>
    <mergeCell ref="M278:N278"/>
    <mergeCell ref="C266:I266"/>
    <mergeCell ref="M266:N266"/>
    <mergeCell ref="C267:I267"/>
    <mergeCell ref="M267:N267"/>
    <mergeCell ref="C268:N268"/>
    <mergeCell ref="C270:I270"/>
    <mergeCell ref="K270:L270"/>
    <mergeCell ref="M270:N270"/>
    <mergeCell ref="C271:J271"/>
    <mergeCell ref="K271:L271"/>
    <mergeCell ref="M271:N271"/>
    <mergeCell ref="M256:N256"/>
    <mergeCell ref="M257:N257"/>
    <mergeCell ref="M258:N258"/>
    <mergeCell ref="M259:N259"/>
    <mergeCell ref="M260:N260"/>
    <mergeCell ref="C262:J262"/>
    <mergeCell ref="M262:N262"/>
    <mergeCell ref="C263:N263"/>
    <mergeCell ref="C265:I265"/>
    <mergeCell ref="M265:N265"/>
    <mergeCell ref="M250:N250"/>
    <mergeCell ref="C251:G251"/>
    <mergeCell ref="H251:I251"/>
    <mergeCell ref="J251:K251"/>
    <mergeCell ref="M251:N251"/>
    <mergeCell ref="C252:N252"/>
    <mergeCell ref="C254:J254"/>
    <mergeCell ref="M254:N254"/>
    <mergeCell ref="M255:N255"/>
    <mergeCell ref="C246:G246"/>
    <mergeCell ref="H246:I246"/>
    <mergeCell ref="J246:K246"/>
    <mergeCell ref="M246:N246"/>
    <mergeCell ref="C247:G247"/>
    <mergeCell ref="H247:I247"/>
    <mergeCell ref="J247:K247"/>
    <mergeCell ref="M247:N247"/>
    <mergeCell ref="M248:N248"/>
    <mergeCell ref="C230:E230"/>
    <mergeCell ref="K230:O230"/>
    <mergeCell ref="D237:K237"/>
    <mergeCell ref="D238:K238"/>
    <mergeCell ref="C242:O242"/>
    <mergeCell ref="D243:L243"/>
    <mergeCell ref="M243:N243"/>
    <mergeCell ref="D244:L244"/>
    <mergeCell ref="M244:N244"/>
    <mergeCell ref="C193:G193"/>
    <mergeCell ref="H193:I193"/>
    <mergeCell ref="J193:K193"/>
    <mergeCell ref="M193:N193"/>
    <mergeCell ref="D179:K179"/>
    <mergeCell ref="D180:K180"/>
    <mergeCell ref="C184:O184"/>
    <mergeCell ref="D185:L185"/>
    <mergeCell ref="M185:N185"/>
    <mergeCell ref="D186:L186"/>
    <mergeCell ref="M186:N186"/>
    <mergeCell ref="C188:G188"/>
    <mergeCell ref="H188:I188"/>
    <mergeCell ref="J188:K188"/>
    <mergeCell ref="M188:N188"/>
    <mergeCell ref="C207:I207"/>
    <mergeCell ref="M207:N207"/>
    <mergeCell ref="C208:I208"/>
    <mergeCell ref="M208:N208"/>
    <mergeCell ref="C209:I209"/>
    <mergeCell ref="M209:N209"/>
    <mergeCell ref="C210:N210"/>
    <mergeCell ref="C212:I212"/>
    <mergeCell ref="K212:L212"/>
    <mergeCell ref="M212:N212"/>
    <mergeCell ref="C226:N226"/>
    <mergeCell ref="C213:J213"/>
    <mergeCell ref="K213:L213"/>
    <mergeCell ref="M213:N213"/>
    <mergeCell ref="K214:L214"/>
    <mergeCell ref="M214:N214"/>
    <mergeCell ref="C215:I215"/>
    <mergeCell ref="K215:L215"/>
    <mergeCell ref="M215:N215"/>
    <mergeCell ref="C216:N216"/>
    <mergeCell ref="C218:N218"/>
    <mergeCell ref="C220:I220"/>
    <mergeCell ref="M220:N220"/>
    <mergeCell ref="C221:I221"/>
    <mergeCell ref="M221:N221"/>
    <mergeCell ref="M222:N222"/>
    <mergeCell ref="M223:N223"/>
    <mergeCell ref="C224:N224"/>
    <mergeCell ref="M202:N202"/>
    <mergeCell ref="C204:J204"/>
    <mergeCell ref="M204:N204"/>
    <mergeCell ref="C205:N205"/>
    <mergeCell ref="C196:J196"/>
    <mergeCell ref="M196:N196"/>
    <mergeCell ref="M164:N164"/>
    <mergeCell ref="M165:N165"/>
    <mergeCell ref="C166:N166"/>
    <mergeCell ref="C168:N168"/>
    <mergeCell ref="C172:E172"/>
    <mergeCell ref="K172:O172"/>
    <mergeCell ref="C194:N194"/>
    <mergeCell ref="M197:N197"/>
    <mergeCell ref="M198:N198"/>
    <mergeCell ref="M199:N199"/>
    <mergeCell ref="M200:N200"/>
    <mergeCell ref="M201:N201"/>
    <mergeCell ref="C189:G189"/>
    <mergeCell ref="H189:I189"/>
    <mergeCell ref="J189:K189"/>
    <mergeCell ref="M189:N189"/>
    <mergeCell ref="M190:N190"/>
    <mergeCell ref="M192:N192"/>
    <mergeCell ref="C157:I157"/>
    <mergeCell ref="K157:L157"/>
    <mergeCell ref="M157:N157"/>
    <mergeCell ref="C158:N158"/>
    <mergeCell ref="C160:N160"/>
    <mergeCell ref="C162:I162"/>
    <mergeCell ref="M162:N162"/>
    <mergeCell ref="C163:I163"/>
    <mergeCell ref="M163:N163"/>
    <mergeCell ref="C152:N152"/>
    <mergeCell ref="C154:I154"/>
    <mergeCell ref="K154:L154"/>
    <mergeCell ref="M154:N154"/>
    <mergeCell ref="C155:J155"/>
    <mergeCell ref="K155:L155"/>
    <mergeCell ref="M155:N155"/>
    <mergeCell ref="K156:L156"/>
    <mergeCell ref="M156:N156"/>
    <mergeCell ref="C146:J146"/>
    <mergeCell ref="M146:N146"/>
    <mergeCell ref="C147:N147"/>
    <mergeCell ref="C149:I149"/>
    <mergeCell ref="M149:N149"/>
    <mergeCell ref="C150:I150"/>
    <mergeCell ref="M150:N150"/>
    <mergeCell ref="C151:I151"/>
    <mergeCell ref="M151:N151"/>
    <mergeCell ref="C136:N136"/>
    <mergeCell ref="C138:J138"/>
    <mergeCell ref="M138:N138"/>
    <mergeCell ref="M139:N139"/>
    <mergeCell ref="M140:N140"/>
    <mergeCell ref="M141:N141"/>
    <mergeCell ref="M142:N142"/>
    <mergeCell ref="M143:N143"/>
    <mergeCell ref="M144:N144"/>
    <mergeCell ref="C131:G131"/>
    <mergeCell ref="H131:I131"/>
    <mergeCell ref="J131:K131"/>
    <mergeCell ref="M131:N131"/>
    <mergeCell ref="M132:N132"/>
    <mergeCell ref="M134:N134"/>
    <mergeCell ref="C135:G135"/>
    <mergeCell ref="H135:I135"/>
    <mergeCell ref="J135:K135"/>
    <mergeCell ref="M135:N135"/>
    <mergeCell ref="D122:K122"/>
    <mergeCell ref="C126:O126"/>
    <mergeCell ref="D127:L127"/>
    <mergeCell ref="M127:N127"/>
    <mergeCell ref="D128:L128"/>
    <mergeCell ref="M128:N128"/>
    <mergeCell ref="C130:G130"/>
    <mergeCell ref="H130:I130"/>
    <mergeCell ref="J130:K130"/>
    <mergeCell ref="M130:N130"/>
    <mergeCell ref="D5:K5"/>
    <mergeCell ref="D6:K6"/>
    <mergeCell ref="C10:O10"/>
    <mergeCell ref="D11:L11"/>
    <mergeCell ref="M11:N11"/>
    <mergeCell ref="D12:L12"/>
    <mergeCell ref="M12:N12"/>
    <mergeCell ref="C97:J97"/>
    <mergeCell ref="D121:K121"/>
    <mergeCell ref="M18:N18"/>
    <mergeCell ref="C19:G19"/>
    <mergeCell ref="H19:I19"/>
    <mergeCell ref="J19:K19"/>
    <mergeCell ref="M19:N19"/>
    <mergeCell ref="C20:N20"/>
    <mergeCell ref="C14:G14"/>
    <mergeCell ref="H14:I14"/>
    <mergeCell ref="J14:K14"/>
    <mergeCell ref="M14:N14"/>
    <mergeCell ref="C15:G15"/>
    <mergeCell ref="H15:I15"/>
    <mergeCell ref="J15:K15"/>
    <mergeCell ref="M15:N15"/>
    <mergeCell ref="M35:N35"/>
    <mergeCell ref="M26:N26"/>
    <mergeCell ref="M27:N27"/>
    <mergeCell ref="M28:N28"/>
    <mergeCell ref="C30:J30"/>
    <mergeCell ref="M30:N30"/>
    <mergeCell ref="C31:N31"/>
    <mergeCell ref="C22:J22"/>
    <mergeCell ref="M22:N22"/>
    <mergeCell ref="M23:N23"/>
    <mergeCell ref="M24:N24"/>
    <mergeCell ref="M25:N25"/>
    <mergeCell ref="M16:N16"/>
    <mergeCell ref="C44:N44"/>
    <mergeCell ref="C46:I46"/>
    <mergeCell ref="M46:N46"/>
    <mergeCell ref="C47:I47"/>
    <mergeCell ref="M47:N47"/>
    <mergeCell ref="M48:N48"/>
    <mergeCell ref="K40:L40"/>
    <mergeCell ref="M40:N40"/>
    <mergeCell ref="C41:I41"/>
    <mergeCell ref="K41:L41"/>
    <mergeCell ref="M41:N41"/>
    <mergeCell ref="C42:N42"/>
    <mergeCell ref="C36:N36"/>
    <mergeCell ref="C38:I38"/>
    <mergeCell ref="K38:L38"/>
    <mergeCell ref="M38:N38"/>
    <mergeCell ref="K39:L39"/>
    <mergeCell ref="M39:N39"/>
    <mergeCell ref="C33:I33"/>
    <mergeCell ref="M33:N33"/>
    <mergeCell ref="C34:I34"/>
    <mergeCell ref="M34:N34"/>
    <mergeCell ref="C35:I35"/>
    <mergeCell ref="M49:N49"/>
    <mergeCell ref="C50:N50"/>
    <mergeCell ref="C52:N52"/>
    <mergeCell ref="C56:E56"/>
    <mergeCell ref="K56:O56"/>
    <mergeCell ref="J72:K72"/>
    <mergeCell ref="M72:N72"/>
    <mergeCell ref="C73:G73"/>
    <mergeCell ref="H73:I73"/>
    <mergeCell ref="J73:K73"/>
    <mergeCell ref="M73:N73"/>
    <mergeCell ref="D63:K63"/>
    <mergeCell ref="D64:K64"/>
    <mergeCell ref="C68:O68"/>
    <mergeCell ref="D69:L69"/>
    <mergeCell ref="M69:N69"/>
    <mergeCell ref="C77:G77"/>
    <mergeCell ref="H77:I77"/>
    <mergeCell ref="C72:G72"/>
    <mergeCell ref="H72:I72"/>
    <mergeCell ref="D70:L70"/>
    <mergeCell ref="M70:N70"/>
    <mergeCell ref="J77:K77"/>
    <mergeCell ref="M77:N77"/>
    <mergeCell ref="C94:N94"/>
    <mergeCell ref="C78:N78"/>
    <mergeCell ref="C80:J80"/>
    <mergeCell ref="M80:N80"/>
    <mergeCell ref="M81:N81"/>
    <mergeCell ref="M82:N82"/>
    <mergeCell ref="M83:N83"/>
    <mergeCell ref="M74:N74"/>
    <mergeCell ref="M76:N76"/>
    <mergeCell ref="C96:I96"/>
    <mergeCell ref="K96:L96"/>
    <mergeCell ref="M96:N96"/>
    <mergeCell ref="C93:I93"/>
    <mergeCell ref="M93:N93"/>
    <mergeCell ref="M84:N84"/>
    <mergeCell ref="M85:N85"/>
    <mergeCell ref="M86:N86"/>
    <mergeCell ref="C88:J88"/>
    <mergeCell ref="M88:N88"/>
    <mergeCell ref="C89:N89"/>
    <mergeCell ref="C91:I91"/>
    <mergeCell ref="M91:N91"/>
    <mergeCell ref="C92:I92"/>
    <mergeCell ref="M92:N92"/>
    <mergeCell ref="M106:N106"/>
    <mergeCell ref="M107:N107"/>
    <mergeCell ref="C108:N108"/>
    <mergeCell ref="C110:N110"/>
    <mergeCell ref="C114:E114"/>
    <mergeCell ref="K114:O114"/>
    <mergeCell ref="K97:L97"/>
    <mergeCell ref="M97:N97"/>
    <mergeCell ref="K98:L98"/>
    <mergeCell ref="M98:N98"/>
    <mergeCell ref="C99:I99"/>
    <mergeCell ref="K99:L99"/>
    <mergeCell ref="M99:N99"/>
    <mergeCell ref="C102:N102"/>
    <mergeCell ref="C104:I104"/>
    <mergeCell ref="M104:N104"/>
    <mergeCell ref="C105:I105"/>
    <mergeCell ref="C100:N100"/>
    <mergeCell ref="M105:N105"/>
  </mergeCells>
  <printOptions horizontalCentered="1" verticalCentered="1"/>
  <pageMargins left="0.11811023622047245" right="0.11811023622047245" top="0.39370078740157483" bottom="0.15748031496062992" header="0.31496062992125984" footer="0.31496062992125984"/>
  <pageSetup orientation="portrait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/>
  <dimension ref="B1:P54"/>
  <sheetViews>
    <sheetView showGridLines="0" view="pageLayout" zoomScaleNormal="80" zoomScaleSheetLayoutView="70" workbookViewId="0">
      <selection activeCell="L13" sqref="L13"/>
    </sheetView>
  </sheetViews>
  <sheetFormatPr baseColWidth="10" defaultColWidth="11.28515625" defaultRowHeight="13.5"/>
  <cols>
    <col min="1" max="2" width="1.7109375" style="88" customWidth="1"/>
    <col min="3" max="3" width="7" style="88" customWidth="1"/>
    <col min="4" max="4" width="9.7109375" style="88" customWidth="1"/>
    <col min="5" max="10" width="6.28515625" style="88" customWidth="1"/>
    <col min="11" max="11" width="5.5703125" style="88" customWidth="1"/>
    <col min="12" max="12" width="11.7109375" style="88" customWidth="1"/>
    <col min="13" max="14" width="6.28515625" style="88" customWidth="1"/>
    <col min="15" max="15" width="12.7109375" style="88" customWidth="1"/>
    <col min="16" max="16" width="1.7109375" style="89" customWidth="1"/>
    <col min="17" max="17" width="1.7109375" style="88" customWidth="1"/>
    <col min="18" max="16384" width="11.28515625" style="88"/>
  </cols>
  <sheetData>
    <row r="1" spans="2:16" ht="14.25" thickBot="1"/>
    <row r="2" spans="2:16" ht="6.2" customHeight="1" thickTop="1"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2:16">
      <c r="B3" s="93"/>
      <c r="C3" s="422"/>
      <c r="D3" s="423"/>
      <c r="E3" s="422"/>
      <c r="F3" s="543" t="s">
        <v>245</v>
      </c>
      <c r="G3" s="543"/>
      <c r="H3" s="543"/>
      <c r="I3" s="543"/>
      <c r="J3" s="543"/>
      <c r="K3" s="543"/>
      <c r="L3" s="543"/>
      <c r="M3" s="543"/>
      <c r="N3" s="96"/>
      <c r="O3" s="96"/>
      <c r="P3" s="97"/>
    </row>
    <row r="4" spans="2:16" ht="6.2" customHeight="1" thickBot="1">
      <c r="B4" s="93"/>
      <c r="C4" s="100"/>
      <c r="D4" s="99"/>
      <c r="E4" s="100"/>
      <c r="F4" s="99"/>
      <c r="G4" s="101"/>
      <c r="H4" s="101"/>
      <c r="I4" s="101"/>
      <c r="J4" s="101"/>
      <c r="K4" s="101"/>
      <c r="L4" s="101"/>
      <c r="M4" s="101"/>
      <c r="N4" s="101"/>
      <c r="O4" s="101"/>
      <c r="P4" s="97"/>
    </row>
    <row r="5" spans="2:16">
      <c r="B5" s="93"/>
      <c r="C5" s="544" t="s">
        <v>75</v>
      </c>
      <c r="D5" s="545"/>
      <c r="E5" s="545"/>
      <c r="F5" s="545"/>
      <c r="G5" s="545"/>
      <c r="H5" s="545"/>
      <c r="I5" s="545"/>
      <c r="J5" s="545"/>
      <c r="K5" s="545"/>
      <c r="L5" s="545"/>
      <c r="M5" s="545"/>
      <c r="N5" s="545"/>
      <c r="O5" s="546"/>
      <c r="P5" s="24"/>
    </row>
    <row r="6" spans="2:16" ht="14.25" thickBot="1">
      <c r="B6" s="93"/>
      <c r="C6" s="547"/>
      <c r="D6" s="548"/>
      <c r="E6" s="548"/>
      <c r="F6" s="548"/>
      <c r="G6" s="548"/>
      <c r="H6" s="548"/>
      <c r="I6" s="548"/>
      <c r="J6" s="548"/>
      <c r="K6" s="548"/>
      <c r="L6" s="548"/>
      <c r="M6" s="548"/>
      <c r="N6" s="548"/>
      <c r="O6" s="549"/>
      <c r="P6" s="26"/>
    </row>
    <row r="7" spans="2:16" ht="14.25" thickBot="1">
      <c r="B7" s="93"/>
      <c r="C7" s="532" t="s">
        <v>35</v>
      </c>
      <c r="D7" s="533"/>
      <c r="E7" s="533"/>
      <c r="F7" s="533"/>
      <c r="G7" s="533"/>
      <c r="H7" s="533"/>
      <c r="I7" s="533"/>
      <c r="J7" s="533"/>
      <c r="K7" s="533"/>
      <c r="L7" s="533"/>
      <c r="M7" s="533"/>
      <c r="N7" s="533"/>
      <c r="O7" s="534"/>
      <c r="P7" s="115"/>
    </row>
    <row r="8" spans="2:16">
      <c r="B8" s="93"/>
      <c r="C8" s="66" t="s">
        <v>36</v>
      </c>
      <c r="D8" s="535" t="s">
        <v>3</v>
      </c>
      <c r="E8" s="536"/>
      <c r="F8" s="536"/>
      <c r="G8" s="536"/>
      <c r="H8" s="536"/>
      <c r="I8" s="536"/>
      <c r="J8" s="536"/>
      <c r="K8" s="536"/>
      <c r="L8" s="537"/>
      <c r="M8" s="538" t="s">
        <v>37</v>
      </c>
      <c r="N8" s="539"/>
      <c r="O8" s="66" t="s">
        <v>4</v>
      </c>
      <c r="P8" s="116"/>
    </row>
    <row r="9" spans="2:16" ht="28.35" customHeight="1" thickBot="1">
      <c r="B9" s="93"/>
      <c r="C9" s="385">
        <f>+'PRESUPUESTO OFICIAL'!D13</f>
        <v>1.01</v>
      </c>
      <c r="D9" s="554" t="str">
        <f>LOOKUP(C9,Item,Actividades)</f>
        <v>Conformación de calzada existente, sin adición de material - incluye rectificación de cunetas</v>
      </c>
      <c r="E9" s="555"/>
      <c r="F9" s="555"/>
      <c r="G9" s="555"/>
      <c r="H9" s="555"/>
      <c r="I9" s="555"/>
      <c r="J9" s="555"/>
      <c r="K9" s="555"/>
      <c r="L9" s="556"/>
      <c r="M9" s="552" t="str">
        <f>LOOKUP(C9,Item,Unidades)</f>
        <v>M2</v>
      </c>
      <c r="N9" s="553"/>
      <c r="O9" s="386">
        <f>LOOKUP(C9,Item,cantidades)</f>
        <v>201500</v>
      </c>
      <c r="P9" s="119"/>
    </row>
    <row r="10" spans="2:16" ht="13.5" customHeight="1" thickBot="1">
      <c r="B10" s="93"/>
      <c r="C10" s="74" t="s">
        <v>38</v>
      </c>
      <c r="D10" s="75"/>
      <c r="E10" s="75"/>
      <c r="F10" s="75"/>
      <c r="G10" s="75"/>
      <c r="H10" s="75"/>
      <c r="I10" s="75"/>
      <c r="J10" s="78"/>
      <c r="K10" s="78"/>
      <c r="L10" s="75"/>
      <c r="M10" s="75"/>
      <c r="N10" s="75"/>
      <c r="O10" s="76"/>
      <c r="P10" s="121"/>
    </row>
    <row r="11" spans="2:16">
      <c r="B11" s="93"/>
      <c r="C11" s="498" t="s">
        <v>3</v>
      </c>
      <c r="D11" s="513"/>
      <c r="E11" s="513"/>
      <c r="F11" s="513"/>
      <c r="G11" s="514"/>
      <c r="H11" s="510" t="s">
        <v>39</v>
      </c>
      <c r="I11" s="513"/>
      <c r="J11" s="522" t="s">
        <v>40</v>
      </c>
      <c r="K11" s="523"/>
      <c r="L11" s="61" t="s">
        <v>41</v>
      </c>
      <c r="M11" s="510" t="s">
        <v>42</v>
      </c>
      <c r="N11" s="511"/>
      <c r="O11" s="62" t="s">
        <v>43</v>
      </c>
      <c r="P11" s="122"/>
    </row>
    <row r="12" spans="2:16">
      <c r="B12" s="93"/>
      <c r="C12" s="502" t="s">
        <v>81</v>
      </c>
      <c r="D12" s="503"/>
      <c r="E12" s="503"/>
      <c r="F12" s="503"/>
      <c r="G12" s="524"/>
      <c r="H12" s="525"/>
      <c r="I12" s="524"/>
      <c r="J12" s="525"/>
      <c r="K12" s="524"/>
      <c r="L12" s="123">
        <v>0.05</v>
      </c>
      <c r="M12" s="520"/>
      <c r="N12" s="521"/>
      <c r="O12" s="124">
        <f>L12*O37</f>
        <v>2.1778581662260277</v>
      </c>
      <c r="P12" s="125"/>
    </row>
    <row r="13" spans="2:16">
      <c r="B13" s="93"/>
      <c r="C13" s="162" t="s">
        <v>222</v>
      </c>
      <c r="D13" s="163"/>
      <c r="E13" s="163"/>
      <c r="F13" s="163"/>
      <c r="G13" s="164"/>
      <c r="H13" s="171"/>
      <c r="I13" s="164"/>
      <c r="J13" s="171"/>
      <c r="K13" s="164"/>
      <c r="L13" s="382">
        <v>68000</v>
      </c>
      <c r="M13" s="550">
        <v>600</v>
      </c>
      <c r="N13" s="551"/>
      <c r="O13" s="124">
        <f>L13/M13</f>
        <v>113.33333333333333</v>
      </c>
      <c r="P13" s="125"/>
    </row>
    <row r="14" spans="2:16">
      <c r="B14" s="93"/>
      <c r="C14" s="70" t="s">
        <v>223</v>
      </c>
      <c r="D14" s="71"/>
      <c r="E14" s="71"/>
      <c r="F14" s="71"/>
      <c r="G14" s="126"/>
      <c r="H14" s="127"/>
      <c r="I14" s="126"/>
      <c r="J14" s="127"/>
      <c r="K14" s="126"/>
      <c r="L14" s="382">
        <v>160000</v>
      </c>
      <c r="M14" s="550">
        <v>600</v>
      </c>
      <c r="N14" s="551"/>
      <c r="O14" s="124">
        <f t="shared" ref="O14:O15" si="0">L14/M14</f>
        <v>266.66666666666669</v>
      </c>
      <c r="P14" s="125"/>
    </row>
    <row r="15" spans="2:16" ht="14.25" thickBot="1">
      <c r="B15" s="93"/>
      <c r="C15" s="492" t="s">
        <v>227</v>
      </c>
      <c r="D15" s="493"/>
      <c r="E15" s="493"/>
      <c r="F15" s="493"/>
      <c r="G15" s="509"/>
      <c r="H15" s="512"/>
      <c r="I15" s="509"/>
      <c r="J15" s="512"/>
      <c r="K15" s="509"/>
      <c r="L15" s="383">
        <v>110000</v>
      </c>
      <c r="M15" s="557">
        <v>600</v>
      </c>
      <c r="N15" s="558"/>
      <c r="O15" s="124">
        <f t="shared" si="0"/>
        <v>183.33333333333334</v>
      </c>
      <c r="P15" s="125"/>
    </row>
    <row r="16" spans="2:16" ht="14.25" thickBot="1">
      <c r="B16" s="93"/>
      <c r="C16" s="474" t="s">
        <v>44</v>
      </c>
      <c r="D16" s="475"/>
      <c r="E16" s="475"/>
      <c r="F16" s="475"/>
      <c r="G16" s="475"/>
      <c r="H16" s="475"/>
      <c r="I16" s="475"/>
      <c r="J16" s="475"/>
      <c r="K16" s="475"/>
      <c r="L16" s="475"/>
      <c r="M16" s="475"/>
      <c r="N16" s="476"/>
      <c r="O16" s="129">
        <f>SUM(O12:O15)</f>
        <v>565.51119149955935</v>
      </c>
      <c r="P16" s="130"/>
    </row>
    <row r="17" spans="2:16" ht="13.5" customHeight="1" thickBot="1">
      <c r="B17" s="93"/>
      <c r="C17" s="77" t="s">
        <v>45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  <c r="P17" s="121"/>
    </row>
    <row r="18" spans="2:16">
      <c r="B18" s="93"/>
      <c r="C18" s="498" t="s">
        <v>3</v>
      </c>
      <c r="D18" s="499"/>
      <c r="E18" s="499"/>
      <c r="F18" s="499"/>
      <c r="G18" s="499"/>
      <c r="H18" s="499"/>
      <c r="I18" s="499"/>
      <c r="J18" s="511"/>
      <c r="K18" s="63" t="s">
        <v>37</v>
      </c>
      <c r="L18" s="61" t="s">
        <v>4</v>
      </c>
      <c r="M18" s="510" t="s">
        <v>46</v>
      </c>
      <c r="N18" s="511"/>
      <c r="O18" s="62" t="s">
        <v>43</v>
      </c>
      <c r="P18" s="122"/>
    </row>
    <row r="19" spans="2:16">
      <c r="B19" s="93"/>
      <c r="C19" s="502" t="s">
        <v>186</v>
      </c>
      <c r="D19" s="503"/>
      <c r="E19" s="503"/>
      <c r="F19" s="503"/>
      <c r="G19" s="503"/>
      <c r="H19" s="503"/>
      <c r="I19" s="503"/>
      <c r="J19" s="524"/>
      <c r="K19" s="131" t="s">
        <v>212</v>
      </c>
      <c r="L19" s="132">
        <v>3</v>
      </c>
      <c r="M19" s="507">
        <v>60</v>
      </c>
      <c r="N19" s="508"/>
      <c r="O19" s="124">
        <f>L19*M19</f>
        <v>180</v>
      </c>
      <c r="P19" s="125"/>
    </row>
    <row r="20" spans="2:16">
      <c r="B20" s="93"/>
      <c r="C20" s="162"/>
      <c r="D20" s="163"/>
      <c r="E20" s="163"/>
      <c r="F20" s="163"/>
      <c r="G20" s="163"/>
      <c r="H20" s="163"/>
      <c r="I20" s="163"/>
      <c r="J20" s="164"/>
      <c r="K20" s="165"/>
      <c r="L20" s="186"/>
      <c r="M20" s="507"/>
      <c r="N20" s="508"/>
      <c r="O20" s="169">
        <f>L20*M20</f>
        <v>0</v>
      </c>
      <c r="P20" s="125"/>
    </row>
    <row r="21" spans="2:16">
      <c r="B21" s="93"/>
      <c r="C21" s="162"/>
      <c r="D21" s="163"/>
      <c r="E21" s="163"/>
      <c r="F21" s="163"/>
      <c r="G21" s="163"/>
      <c r="H21" s="163"/>
      <c r="I21" s="163"/>
      <c r="J21" s="164"/>
      <c r="K21" s="165"/>
      <c r="L21" s="166"/>
      <c r="M21" s="507"/>
      <c r="N21" s="508"/>
      <c r="O21" s="169"/>
      <c r="P21" s="125"/>
    </row>
    <row r="22" spans="2:16">
      <c r="B22" s="93"/>
      <c r="C22" s="162"/>
      <c r="D22" s="163"/>
      <c r="E22" s="163"/>
      <c r="F22" s="163"/>
      <c r="G22" s="163"/>
      <c r="H22" s="163"/>
      <c r="I22" s="163"/>
      <c r="J22" s="164"/>
      <c r="K22" s="165"/>
      <c r="L22" s="166"/>
      <c r="M22" s="507"/>
      <c r="N22" s="508"/>
      <c r="O22" s="169"/>
      <c r="P22" s="125"/>
    </row>
    <row r="23" spans="2:16">
      <c r="B23" s="93"/>
      <c r="C23" s="162"/>
      <c r="D23" s="163"/>
      <c r="E23" s="163"/>
      <c r="F23" s="163"/>
      <c r="G23" s="163"/>
      <c r="H23" s="163"/>
      <c r="I23" s="163"/>
      <c r="J23" s="164"/>
      <c r="K23" s="165"/>
      <c r="L23" s="166"/>
      <c r="M23" s="507"/>
      <c r="N23" s="508"/>
      <c r="O23" s="169"/>
      <c r="P23" s="125"/>
    </row>
    <row r="24" spans="2:16">
      <c r="B24" s="93"/>
      <c r="C24" s="162" t="s">
        <v>240</v>
      </c>
      <c r="D24" s="163"/>
      <c r="E24" s="163"/>
      <c r="F24" s="163"/>
      <c r="G24" s="163"/>
      <c r="H24" s="163"/>
      <c r="I24" s="163"/>
      <c r="J24" s="164"/>
      <c r="K24" s="165"/>
      <c r="L24" s="404">
        <v>0.03</v>
      </c>
      <c r="M24" s="507"/>
      <c r="N24" s="508"/>
      <c r="O24" s="169">
        <f>O19*L24</f>
        <v>5.3999999999999995</v>
      </c>
      <c r="P24" s="125"/>
    </row>
    <row r="25" spans="2:16" ht="14.25" thickBot="1">
      <c r="B25" s="93"/>
      <c r="C25" s="492"/>
      <c r="D25" s="493"/>
      <c r="E25" s="493"/>
      <c r="F25" s="493"/>
      <c r="G25" s="493"/>
      <c r="H25" s="493"/>
      <c r="I25" s="493"/>
      <c r="J25" s="509"/>
      <c r="K25" s="71"/>
      <c r="L25" s="187"/>
      <c r="M25" s="497"/>
      <c r="N25" s="496"/>
      <c r="O25" s="133"/>
      <c r="P25" s="125"/>
    </row>
    <row r="26" spans="2:16" ht="14.25" thickBot="1">
      <c r="B26" s="93"/>
      <c r="C26" s="474" t="s">
        <v>44</v>
      </c>
      <c r="D26" s="475"/>
      <c r="E26" s="475"/>
      <c r="F26" s="475"/>
      <c r="G26" s="475"/>
      <c r="H26" s="475"/>
      <c r="I26" s="475"/>
      <c r="J26" s="475"/>
      <c r="K26" s="475"/>
      <c r="L26" s="475"/>
      <c r="M26" s="475"/>
      <c r="N26" s="476"/>
      <c r="O26" s="134">
        <f>SUM(O19:O25)</f>
        <v>185.4</v>
      </c>
      <c r="P26" s="125"/>
    </row>
    <row r="27" spans="2:16" ht="13.5" customHeight="1" thickBot="1">
      <c r="B27" s="93"/>
      <c r="C27" s="77" t="s">
        <v>47</v>
      </c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121"/>
    </row>
    <row r="28" spans="2:16" ht="14.25">
      <c r="B28" s="93"/>
      <c r="C28" s="498" t="s">
        <v>48</v>
      </c>
      <c r="D28" s="499"/>
      <c r="E28" s="499"/>
      <c r="F28" s="499"/>
      <c r="G28" s="499"/>
      <c r="H28" s="499"/>
      <c r="I28" s="499"/>
      <c r="J28" s="161" t="s">
        <v>49</v>
      </c>
      <c r="K28" s="160" t="s">
        <v>50</v>
      </c>
      <c r="L28" s="65" t="s">
        <v>76</v>
      </c>
      <c r="M28" s="510" t="s">
        <v>51</v>
      </c>
      <c r="N28" s="511"/>
      <c r="O28" s="62" t="s">
        <v>43</v>
      </c>
      <c r="P28" s="122"/>
    </row>
    <row r="29" spans="2:16">
      <c r="B29" s="93"/>
      <c r="C29" s="502"/>
      <c r="D29" s="503"/>
      <c r="E29" s="503"/>
      <c r="F29" s="503"/>
      <c r="G29" s="503"/>
      <c r="H29" s="503"/>
      <c r="I29" s="503"/>
      <c r="J29" s="135"/>
      <c r="K29" s="136"/>
      <c r="L29" s="135"/>
      <c r="M29" s="559"/>
      <c r="N29" s="560"/>
      <c r="O29" s="124">
        <f>L29*M29</f>
        <v>0</v>
      </c>
      <c r="P29" s="125"/>
    </row>
    <row r="30" spans="2:16" ht="14.25" thickBot="1">
      <c r="B30" s="93"/>
      <c r="C30" s="492"/>
      <c r="D30" s="493"/>
      <c r="E30" s="493"/>
      <c r="F30" s="493"/>
      <c r="G30" s="493"/>
      <c r="H30" s="493"/>
      <c r="I30" s="493"/>
      <c r="J30" s="137"/>
      <c r="K30" s="87"/>
      <c r="L30" s="137"/>
      <c r="M30" s="497"/>
      <c r="N30" s="496"/>
      <c r="O30" s="138"/>
      <c r="P30" s="125"/>
    </row>
    <row r="31" spans="2:16" ht="14.25" thickBot="1">
      <c r="B31" s="93"/>
      <c r="C31" s="474" t="s">
        <v>44</v>
      </c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6"/>
      <c r="O31" s="129">
        <f>SUM(O29:O30)</f>
        <v>0</v>
      </c>
      <c r="P31" s="130"/>
    </row>
    <row r="32" spans="2:16" ht="13.5" customHeight="1" thickBot="1">
      <c r="B32" s="93"/>
      <c r="C32" s="77" t="s">
        <v>52</v>
      </c>
      <c r="D32" s="78"/>
      <c r="E32" s="78"/>
      <c r="F32" s="78"/>
      <c r="G32" s="78"/>
      <c r="H32" s="78"/>
      <c r="I32" s="78"/>
      <c r="J32" s="244"/>
      <c r="K32" s="78"/>
      <c r="L32" s="78"/>
      <c r="M32" s="78"/>
      <c r="N32" s="78"/>
      <c r="O32" s="79"/>
      <c r="P32" s="121"/>
    </row>
    <row r="33" spans="2:16">
      <c r="B33" s="93"/>
      <c r="C33" s="498" t="s">
        <v>53</v>
      </c>
      <c r="D33" s="499"/>
      <c r="E33" s="499"/>
      <c r="F33" s="499"/>
      <c r="G33" s="499"/>
      <c r="H33" s="499"/>
      <c r="I33" s="499"/>
      <c r="J33" s="246"/>
      <c r="K33" s="506" t="s">
        <v>169</v>
      </c>
      <c r="L33" s="501"/>
      <c r="M33" s="500" t="s">
        <v>42</v>
      </c>
      <c r="N33" s="501"/>
      <c r="O33" s="68" t="s">
        <v>43</v>
      </c>
      <c r="P33" s="139"/>
    </row>
    <row r="34" spans="2:16">
      <c r="B34" s="93"/>
      <c r="C34" s="140" t="str">
        <f>+'MO2021'!C72</f>
        <v xml:space="preserve">CUADRILLA "AA" (Albañileria) </v>
      </c>
      <c r="D34" s="141"/>
      <c r="E34" s="141"/>
      <c r="F34" s="141"/>
      <c r="G34" s="141"/>
      <c r="H34" s="141"/>
      <c r="I34" s="141"/>
      <c r="J34" s="247"/>
      <c r="K34" s="484">
        <f>+'MO2021'!F82</f>
        <v>26134.297994712331</v>
      </c>
      <c r="L34" s="485"/>
      <c r="M34" s="490">
        <v>600</v>
      </c>
      <c r="N34" s="491"/>
      <c r="O34" s="142">
        <f>K34/M34</f>
        <v>43.557163324520552</v>
      </c>
      <c r="P34" s="143"/>
    </row>
    <row r="35" spans="2:16">
      <c r="B35" s="93"/>
      <c r="C35" s="140"/>
      <c r="D35" s="141"/>
      <c r="E35" s="141"/>
      <c r="F35" s="141"/>
      <c r="G35" s="141"/>
      <c r="H35" s="141"/>
      <c r="I35" s="141"/>
      <c r="J35" s="247"/>
      <c r="K35" s="484"/>
      <c r="L35" s="485"/>
      <c r="M35" s="486"/>
      <c r="N35" s="487"/>
      <c r="O35" s="142">
        <f>K35*M35</f>
        <v>0</v>
      </c>
      <c r="P35" s="143"/>
    </row>
    <row r="36" spans="2:16" ht="14.25" thickBot="1">
      <c r="B36" s="93"/>
      <c r="C36" s="492"/>
      <c r="D36" s="493"/>
      <c r="E36" s="493"/>
      <c r="F36" s="493"/>
      <c r="G36" s="493"/>
      <c r="H36" s="493"/>
      <c r="I36" s="494"/>
      <c r="J36" s="245"/>
      <c r="K36" s="495"/>
      <c r="L36" s="496"/>
      <c r="M36" s="497"/>
      <c r="N36" s="496"/>
      <c r="O36" s="138"/>
      <c r="P36" s="125"/>
    </row>
    <row r="37" spans="2:16" ht="14.25" thickBot="1">
      <c r="B37" s="93"/>
      <c r="C37" s="504" t="s">
        <v>44</v>
      </c>
      <c r="D37" s="505"/>
      <c r="E37" s="505"/>
      <c r="F37" s="505"/>
      <c r="G37" s="505"/>
      <c r="H37" s="505"/>
      <c r="I37" s="505"/>
      <c r="J37" s="505"/>
      <c r="K37" s="475"/>
      <c r="L37" s="475"/>
      <c r="M37" s="475"/>
      <c r="N37" s="476"/>
      <c r="O37" s="134">
        <f>SUM(O34:O36)</f>
        <v>43.557163324520552</v>
      </c>
      <c r="P37" s="125"/>
    </row>
    <row r="38" spans="2:16" ht="14.25" thickBot="1">
      <c r="B38" s="93"/>
      <c r="C38" s="80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2"/>
      <c r="P38" s="97"/>
    </row>
    <row r="39" spans="2:16" ht="14.25" thickBot="1">
      <c r="B39" s="93"/>
      <c r="C39" s="477" t="s">
        <v>54</v>
      </c>
      <c r="D39" s="478"/>
      <c r="E39" s="478"/>
      <c r="F39" s="478"/>
      <c r="G39" s="478"/>
      <c r="H39" s="478"/>
      <c r="I39" s="478"/>
      <c r="J39" s="478"/>
      <c r="K39" s="478"/>
      <c r="L39" s="478"/>
      <c r="M39" s="478"/>
      <c r="N39" s="479"/>
      <c r="O39" s="144">
        <f>+O16+O26+O31+O37</f>
        <v>794.46835482407982</v>
      </c>
      <c r="P39" s="145"/>
    </row>
    <row r="40" spans="2:16" ht="14.25" thickBot="1">
      <c r="B40" s="93"/>
      <c r="C40" s="77" t="s">
        <v>55</v>
      </c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9"/>
      <c r="P40" s="121"/>
    </row>
    <row r="41" spans="2:16" ht="14.1" customHeight="1">
      <c r="B41" s="93"/>
      <c r="C41" s="498" t="s">
        <v>56</v>
      </c>
      <c r="D41" s="499"/>
      <c r="E41" s="499"/>
      <c r="F41" s="499"/>
      <c r="G41" s="499"/>
      <c r="H41" s="499"/>
      <c r="I41" s="499"/>
      <c r="J41" s="64"/>
      <c r="K41" s="69"/>
      <c r="L41" s="67" t="s">
        <v>57</v>
      </c>
      <c r="M41" s="500" t="s">
        <v>58</v>
      </c>
      <c r="N41" s="501"/>
      <c r="O41" s="68"/>
      <c r="P41" s="139"/>
    </row>
    <row r="42" spans="2:16">
      <c r="B42" s="93"/>
      <c r="C42" s="502" t="s">
        <v>59</v>
      </c>
      <c r="D42" s="503"/>
      <c r="E42" s="503"/>
      <c r="F42" s="503"/>
      <c r="G42" s="503"/>
      <c r="H42" s="503"/>
      <c r="I42" s="503"/>
      <c r="J42" s="146"/>
      <c r="K42" s="147"/>
      <c r="L42" s="148">
        <f>'PRESUPUESTO OFICIAL'!K25</f>
        <v>0.27</v>
      </c>
      <c r="M42" s="470">
        <f>O39*L42</f>
        <v>214.50645580250156</v>
      </c>
      <c r="N42" s="471"/>
      <c r="O42" s="149"/>
      <c r="P42" s="150"/>
    </row>
    <row r="43" spans="2:16">
      <c r="B43" s="93"/>
      <c r="C43" s="70" t="s">
        <v>60</v>
      </c>
      <c r="D43" s="71"/>
      <c r="E43" s="71"/>
      <c r="F43" s="71"/>
      <c r="G43" s="71"/>
      <c r="H43" s="71"/>
      <c r="I43" s="71"/>
      <c r="J43" s="146"/>
      <c r="K43" s="147"/>
      <c r="L43" s="148">
        <f>'PRESUPUESTO OFICIAL'!K26</f>
        <v>0</v>
      </c>
      <c r="M43" s="470">
        <f>+O39*L43</f>
        <v>0</v>
      </c>
      <c r="N43" s="471"/>
      <c r="O43" s="149"/>
      <c r="P43" s="150"/>
    </row>
    <row r="44" spans="2:16" ht="14.25" thickBot="1">
      <c r="B44" s="93"/>
      <c r="C44" s="72" t="s">
        <v>61</v>
      </c>
      <c r="D44" s="73"/>
      <c r="E44" s="73"/>
      <c r="F44" s="73"/>
      <c r="G44" s="73"/>
      <c r="H44" s="73"/>
      <c r="I44" s="73"/>
      <c r="J44" s="151"/>
      <c r="K44" s="152"/>
      <c r="L44" s="148">
        <f>'PRESUPUESTO OFICIAL'!K27</f>
        <v>0.03</v>
      </c>
      <c r="M44" s="472">
        <f>O39*L44</f>
        <v>23.834050644722392</v>
      </c>
      <c r="N44" s="473"/>
      <c r="O44" s="149"/>
      <c r="P44" s="150"/>
    </row>
    <row r="45" spans="2:16" ht="14.25" thickBot="1">
      <c r="B45" s="93"/>
      <c r="C45" s="474" t="s">
        <v>44</v>
      </c>
      <c r="D45" s="475"/>
      <c r="E45" s="475"/>
      <c r="F45" s="475"/>
      <c r="G45" s="475"/>
      <c r="H45" s="475"/>
      <c r="I45" s="475"/>
      <c r="J45" s="475"/>
      <c r="K45" s="475"/>
      <c r="L45" s="475"/>
      <c r="M45" s="475"/>
      <c r="N45" s="476"/>
      <c r="O45" s="153">
        <f>SUM(M42:N44)</f>
        <v>238.34050644722396</v>
      </c>
      <c r="P45" s="154"/>
    </row>
    <row r="46" spans="2:16" ht="6.2" customHeight="1" thickBot="1">
      <c r="B46" s="93"/>
      <c r="C46" s="80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2"/>
      <c r="P46" s="97"/>
    </row>
    <row r="47" spans="2:16" ht="14.25" thickBot="1">
      <c r="B47" s="93"/>
      <c r="C47" s="477" t="s">
        <v>62</v>
      </c>
      <c r="D47" s="478"/>
      <c r="E47" s="478"/>
      <c r="F47" s="478"/>
      <c r="G47" s="478"/>
      <c r="H47" s="478"/>
      <c r="I47" s="478"/>
      <c r="J47" s="478"/>
      <c r="K47" s="478"/>
      <c r="L47" s="478"/>
      <c r="M47" s="478"/>
      <c r="N47" s="479"/>
      <c r="O47" s="155">
        <f>ROUND(O39+O45,0)</f>
        <v>1033</v>
      </c>
      <c r="P47" s="154"/>
    </row>
    <row r="48" spans="2:16">
      <c r="B48" s="93"/>
      <c r="C48" s="412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4"/>
      <c r="P48" s="97"/>
    </row>
    <row r="49" spans="2:16" ht="16.5">
      <c r="B49" s="93"/>
      <c r="C49" s="415"/>
      <c r="D49" s="411"/>
      <c r="E49" s="410"/>
      <c r="F49" s="410"/>
      <c r="G49" s="81"/>
      <c r="H49" s="81"/>
      <c r="I49" s="81"/>
      <c r="J49" s="81"/>
      <c r="K49" s="81"/>
      <c r="L49" s="81"/>
      <c r="M49" s="81"/>
      <c r="N49" s="81"/>
      <c r="O49" s="82"/>
      <c r="P49" s="97"/>
    </row>
    <row r="50" spans="2:16" ht="16.5">
      <c r="B50" s="93"/>
      <c r="C50" s="416" t="s">
        <v>242</v>
      </c>
      <c r="D50" s="417"/>
      <c r="E50" s="418"/>
      <c r="F50" s="418"/>
      <c r="G50" s="85"/>
      <c r="H50" s="81"/>
      <c r="I50" s="85"/>
      <c r="J50" s="85"/>
      <c r="K50" s="85"/>
      <c r="L50" s="85"/>
      <c r="M50" s="85"/>
      <c r="N50" s="85"/>
      <c r="O50" s="86"/>
      <c r="P50" s="27"/>
    </row>
    <row r="51" spans="2:16" ht="16.5">
      <c r="B51" s="93"/>
      <c r="C51" s="424" t="s">
        <v>243</v>
      </c>
      <c r="D51" s="417"/>
      <c r="E51" s="418"/>
      <c r="F51" s="418"/>
      <c r="G51" s="85"/>
      <c r="H51" s="81"/>
      <c r="I51" s="85"/>
      <c r="J51" s="85"/>
      <c r="K51" s="85"/>
      <c r="L51" s="85"/>
      <c r="M51" s="85"/>
      <c r="N51" s="85"/>
      <c r="O51" s="86"/>
      <c r="P51" s="27"/>
    </row>
    <row r="52" spans="2:16" ht="18" customHeight="1" thickBot="1">
      <c r="B52" s="93"/>
      <c r="C52" s="419" t="s">
        <v>246</v>
      </c>
      <c r="D52" s="420"/>
      <c r="E52" s="421"/>
      <c r="F52" s="421"/>
      <c r="G52" s="87"/>
      <c r="H52" s="87"/>
      <c r="I52" s="87"/>
      <c r="J52" s="87"/>
      <c r="K52" s="482"/>
      <c r="L52" s="482"/>
      <c r="M52" s="482"/>
      <c r="N52" s="482"/>
      <c r="O52" s="483"/>
      <c r="P52" s="156"/>
    </row>
    <row r="53" spans="2:16" ht="10.3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9"/>
    </row>
    <row r="54" spans="2:16" ht="10.35" customHeight="1" thickTop="1"/>
  </sheetData>
  <customSheetViews>
    <customSheetView guid="{B246B4D3-41B8-4237-8166-9970D120FD6A}" showPageBreaks="1" showGridLines="0" state="hidden" view="pageLayout" topLeftCell="A25">
      <selection activeCell="F53" sqref="F53:F54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1"/>
      <headerFooter alignWithMargins="0"/>
    </customSheetView>
    <customSheetView guid="{E8A818AD-FA16-40A1-9379-4072C183431C}" showPageBreaks="1" showGridLines="0" view="pageLayout" topLeftCell="A25">
      <selection activeCell="F53" sqref="F53:F54"/>
      <pageMargins left="0.11811023622047245" right="0.11811023622047245" top="0.39370078740157483" bottom="0.15748031496062992" header="0.31496062992125984" footer="0.31496062992125984"/>
      <printOptions horizontalCentered="1" verticalCentered="1"/>
      <pageSetup orientation="portrait" r:id="rId2"/>
      <headerFooter alignWithMargins="0"/>
    </customSheetView>
  </customSheetViews>
  <mergeCells count="62">
    <mergeCell ref="M13:N13"/>
    <mergeCell ref="C37:N37"/>
    <mergeCell ref="K52:O52"/>
    <mergeCell ref="C42:I42"/>
    <mergeCell ref="M42:N42"/>
    <mergeCell ref="M43:N43"/>
    <mergeCell ref="M44:N44"/>
    <mergeCell ref="C45:N45"/>
    <mergeCell ref="C47:N47"/>
    <mergeCell ref="C39:N39"/>
    <mergeCell ref="C41:I41"/>
    <mergeCell ref="M41:N41"/>
    <mergeCell ref="M35:N35"/>
    <mergeCell ref="C28:I28"/>
    <mergeCell ref="M28:N28"/>
    <mergeCell ref="C29:I29"/>
    <mergeCell ref="M29:N29"/>
    <mergeCell ref="C30:I30"/>
    <mergeCell ref="M30:N30"/>
    <mergeCell ref="K35:L35"/>
    <mergeCell ref="C33:I33"/>
    <mergeCell ref="M33:N33"/>
    <mergeCell ref="M34:N34"/>
    <mergeCell ref="K34:L34"/>
    <mergeCell ref="K33:L33"/>
    <mergeCell ref="M23:N23"/>
    <mergeCell ref="M24:N24"/>
    <mergeCell ref="C19:J19"/>
    <mergeCell ref="M19:N19"/>
    <mergeCell ref="M21:N21"/>
    <mergeCell ref="M36:N36"/>
    <mergeCell ref="M9:N9"/>
    <mergeCell ref="C31:N31"/>
    <mergeCell ref="D8:L8"/>
    <mergeCell ref="C18:J18"/>
    <mergeCell ref="J11:K11"/>
    <mergeCell ref="M11:N11"/>
    <mergeCell ref="D9:L9"/>
    <mergeCell ref="C15:G15"/>
    <mergeCell ref="H15:I15"/>
    <mergeCell ref="J15:K15"/>
    <mergeCell ref="M15:N15"/>
    <mergeCell ref="C16:N16"/>
    <mergeCell ref="M22:N22"/>
    <mergeCell ref="C11:G11"/>
    <mergeCell ref="H11:I11"/>
    <mergeCell ref="F3:M3"/>
    <mergeCell ref="C5:O6"/>
    <mergeCell ref="K36:L36"/>
    <mergeCell ref="C26:N26"/>
    <mergeCell ref="M18:N18"/>
    <mergeCell ref="M8:N8"/>
    <mergeCell ref="C7:O7"/>
    <mergeCell ref="C12:G12"/>
    <mergeCell ref="H12:I12"/>
    <mergeCell ref="J12:K12"/>
    <mergeCell ref="M12:N12"/>
    <mergeCell ref="M14:N14"/>
    <mergeCell ref="C25:J25"/>
    <mergeCell ref="M25:N25"/>
    <mergeCell ref="M20:N20"/>
    <mergeCell ref="C36:I36"/>
  </mergeCells>
  <printOptions horizontalCentered="1" verticalCentered="1"/>
  <pageMargins left="0.11811023622047245" right="0.11811023622047245" top="0.39370078740157483" bottom="0.15748031496062992" header="0.31496062992125984" footer="0.31496062992125984"/>
  <pageSetup orientation="portrait" r:id="rId3"/>
  <headerFooter alignWithMargins="0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5"/>
  <sheetViews>
    <sheetView showGridLines="0" view="pageLayout" topLeftCell="A31" zoomScale="85" zoomScaleNormal="100" zoomScalePageLayoutView="85" workbookViewId="0">
      <selection activeCell="M41" sqref="M41"/>
    </sheetView>
  </sheetViews>
  <sheetFormatPr baseColWidth="10" defaultColWidth="11.28515625" defaultRowHeight="13.5"/>
  <cols>
    <col min="1" max="2" width="1.7109375" style="88" customWidth="1"/>
    <col min="3" max="3" width="5.42578125" style="88" customWidth="1"/>
    <col min="4" max="4" width="6.42578125" style="88" customWidth="1"/>
    <col min="5" max="6" width="6.28515625" style="88" customWidth="1"/>
    <col min="7" max="7" width="4.5703125" style="88" customWidth="1"/>
    <col min="8" max="8" width="4.85546875" style="88" customWidth="1"/>
    <col min="9" max="9" width="3.7109375" style="88" customWidth="1"/>
    <col min="10" max="10" width="5.42578125" style="88" customWidth="1"/>
    <col min="11" max="11" width="5.5703125" style="88" customWidth="1"/>
    <col min="12" max="12" width="11.7109375" style="88" customWidth="1"/>
    <col min="13" max="13" width="6.28515625" style="88" customWidth="1"/>
    <col min="14" max="14" width="5.28515625" style="88" customWidth="1"/>
    <col min="15" max="15" width="11.140625" style="88" customWidth="1"/>
    <col min="16" max="16" width="1.7109375" style="89" customWidth="1"/>
    <col min="17" max="17" width="1.7109375" style="88" customWidth="1"/>
    <col min="18" max="16384" width="11.28515625" style="88"/>
  </cols>
  <sheetData>
    <row r="1" spans="2:16" ht="3" customHeight="1" thickBot="1"/>
    <row r="2" spans="2:16" ht="6.2" customHeight="1" thickTop="1"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2:16">
      <c r="B3" s="93"/>
      <c r="C3" s="422"/>
      <c r="D3" s="423"/>
      <c r="E3" s="422"/>
      <c r="F3" s="543" t="s">
        <v>245</v>
      </c>
      <c r="G3" s="543"/>
      <c r="H3" s="543"/>
      <c r="I3" s="543"/>
      <c r="J3" s="543"/>
      <c r="K3" s="543"/>
      <c r="L3" s="543"/>
      <c r="M3" s="543"/>
      <c r="N3" s="96"/>
      <c r="O3" s="96"/>
      <c r="P3" s="97"/>
    </row>
    <row r="4" spans="2:16" ht="6.2" customHeight="1" thickBot="1">
      <c r="B4" s="93"/>
      <c r="C4" s="100"/>
      <c r="D4" s="99"/>
      <c r="E4" s="100"/>
      <c r="F4" s="99"/>
      <c r="G4" s="101"/>
      <c r="H4" s="101"/>
      <c r="I4" s="101"/>
      <c r="J4" s="101"/>
      <c r="K4" s="101"/>
      <c r="L4" s="101"/>
      <c r="M4" s="101"/>
      <c r="N4" s="101"/>
      <c r="O4" s="101"/>
      <c r="P4" s="97"/>
    </row>
    <row r="5" spans="2:16" ht="6.2" customHeight="1" thickBot="1">
      <c r="B5" s="93"/>
      <c r="C5" s="105"/>
      <c r="D5" s="106"/>
      <c r="E5" s="106"/>
      <c r="F5" s="106"/>
      <c r="G5" s="106"/>
      <c r="H5" s="106"/>
      <c r="I5" s="106"/>
      <c r="J5" s="106"/>
      <c r="K5" s="106"/>
      <c r="L5" s="106"/>
      <c r="M5" s="107"/>
      <c r="N5" s="107"/>
      <c r="O5" s="108"/>
      <c r="P5" s="25"/>
    </row>
    <row r="6" spans="2:16">
      <c r="B6" s="93"/>
      <c r="C6" s="544" t="s">
        <v>75</v>
      </c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  <c r="O6" s="546"/>
      <c r="P6" s="24"/>
    </row>
    <row r="7" spans="2:16" ht="14.25" thickBot="1">
      <c r="B7" s="93"/>
      <c r="C7" s="547"/>
      <c r="D7" s="548"/>
      <c r="E7" s="548"/>
      <c r="F7" s="548"/>
      <c r="G7" s="548"/>
      <c r="H7" s="548"/>
      <c r="I7" s="548"/>
      <c r="J7" s="548"/>
      <c r="K7" s="548"/>
      <c r="L7" s="548"/>
      <c r="M7" s="548"/>
      <c r="N7" s="548"/>
      <c r="O7" s="549"/>
      <c r="P7" s="26"/>
    </row>
    <row r="8" spans="2:16" ht="14.25" thickBot="1">
      <c r="B8" s="93"/>
      <c r="C8" s="532" t="s">
        <v>35</v>
      </c>
      <c r="D8" s="533"/>
      <c r="E8" s="533"/>
      <c r="F8" s="533"/>
      <c r="G8" s="533"/>
      <c r="H8" s="533"/>
      <c r="I8" s="533"/>
      <c r="J8" s="533"/>
      <c r="K8" s="533"/>
      <c r="L8" s="533"/>
      <c r="M8" s="533"/>
      <c r="N8" s="533"/>
      <c r="O8" s="534"/>
      <c r="P8" s="115"/>
    </row>
    <row r="9" spans="2:16">
      <c r="B9" s="93"/>
      <c r="C9" s="66" t="s">
        <v>36</v>
      </c>
      <c r="D9" s="535" t="s">
        <v>3</v>
      </c>
      <c r="E9" s="536"/>
      <c r="F9" s="536"/>
      <c r="G9" s="536"/>
      <c r="H9" s="536"/>
      <c r="I9" s="536"/>
      <c r="J9" s="536"/>
      <c r="K9" s="536"/>
      <c r="L9" s="537"/>
      <c r="M9" s="538" t="s">
        <v>37</v>
      </c>
      <c r="N9" s="539"/>
      <c r="O9" s="66" t="s">
        <v>4</v>
      </c>
      <c r="P9" s="116"/>
    </row>
    <row r="10" spans="2:16" ht="28.35" customHeight="1" thickBot="1">
      <c r="B10" s="93"/>
      <c r="C10" s="385">
        <f>'PRESUPUESTO OFICIAL'!D14</f>
        <v>1.02</v>
      </c>
      <c r="D10" s="554" t="str">
        <f>'PRESUPUESTO OFICIAL'!G14</f>
        <v>Mejoramiento de la sub-rasante con adicion de materiales</v>
      </c>
      <c r="E10" s="555"/>
      <c r="F10" s="555"/>
      <c r="G10" s="555"/>
      <c r="H10" s="555"/>
      <c r="I10" s="555"/>
      <c r="J10" s="555"/>
      <c r="K10" s="555"/>
      <c r="L10" s="556"/>
      <c r="M10" s="552" t="str">
        <f>LOOKUP(C10,Item,Unidades)</f>
        <v>M2</v>
      </c>
      <c r="N10" s="553"/>
      <c r="O10" s="386">
        <f>LOOKUP(C10,Item,cantidades)</f>
        <v>52571.668013588227</v>
      </c>
      <c r="P10" s="119"/>
    </row>
    <row r="11" spans="2:16" ht="13.5" customHeight="1" thickBot="1">
      <c r="B11" s="93"/>
      <c r="C11" s="74" t="s">
        <v>38</v>
      </c>
      <c r="D11" s="75"/>
      <c r="E11" s="75"/>
      <c r="F11" s="75"/>
      <c r="G11" s="75"/>
      <c r="H11" s="75"/>
      <c r="I11" s="75"/>
      <c r="J11" s="78"/>
      <c r="K11" s="78"/>
      <c r="L11" s="75"/>
      <c r="M11" s="75"/>
      <c r="N11" s="75"/>
      <c r="O11" s="76"/>
      <c r="P11" s="121"/>
    </row>
    <row r="12" spans="2:16">
      <c r="B12" s="93"/>
      <c r="C12" s="498" t="s">
        <v>3</v>
      </c>
      <c r="D12" s="513"/>
      <c r="E12" s="513"/>
      <c r="F12" s="513"/>
      <c r="G12" s="514"/>
      <c r="H12" s="510" t="s">
        <v>39</v>
      </c>
      <c r="I12" s="513"/>
      <c r="J12" s="522" t="s">
        <v>40</v>
      </c>
      <c r="K12" s="523"/>
      <c r="L12" s="61" t="s">
        <v>41</v>
      </c>
      <c r="M12" s="510" t="s">
        <v>42</v>
      </c>
      <c r="N12" s="511"/>
      <c r="O12" s="62" t="s">
        <v>43</v>
      </c>
      <c r="P12" s="122"/>
    </row>
    <row r="13" spans="2:16">
      <c r="B13" s="93"/>
      <c r="C13" s="502" t="s">
        <v>81</v>
      </c>
      <c r="D13" s="503"/>
      <c r="E13" s="503"/>
      <c r="F13" s="503"/>
      <c r="G13" s="524"/>
      <c r="H13" s="525"/>
      <c r="I13" s="524"/>
      <c r="J13" s="525"/>
      <c r="K13" s="524"/>
      <c r="L13" s="123">
        <v>0.05</v>
      </c>
      <c r="M13" s="520"/>
      <c r="N13" s="521"/>
      <c r="O13" s="124">
        <f>L13*O38</f>
        <v>2.1778581662260277</v>
      </c>
      <c r="P13" s="125"/>
    </row>
    <row r="14" spans="2:16">
      <c r="B14" s="93"/>
      <c r="C14" s="162" t="s">
        <v>222</v>
      </c>
      <c r="D14" s="163"/>
      <c r="E14" s="163"/>
      <c r="F14" s="163"/>
      <c r="G14" s="164"/>
      <c r="H14" s="171"/>
      <c r="I14" s="164"/>
      <c r="J14" s="171"/>
      <c r="K14" s="164"/>
      <c r="L14" s="382">
        <v>68000</v>
      </c>
      <c r="M14" s="550">
        <v>600</v>
      </c>
      <c r="N14" s="551"/>
      <c r="O14" s="124">
        <f>L14/M14</f>
        <v>113.33333333333333</v>
      </c>
      <c r="P14" s="125"/>
    </row>
    <row r="15" spans="2:16">
      <c r="B15" s="93"/>
      <c r="C15" s="70" t="s">
        <v>223</v>
      </c>
      <c r="D15" s="71"/>
      <c r="E15" s="71"/>
      <c r="F15" s="71"/>
      <c r="G15" s="126"/>
      <c r="H15" s="127"/>
      <c r="I15" s="126"/>
      <c r="J15" s="127"/>
      <c r="K15" s="126"/>
      <c r="L15" s="382">
        <f>+'1.01'!L14</f>
        <v>160000</v>
      </c>
      <c r="M15" s="550">
        <v>600</v>
      </c>
      <c r="N15" s="551"/>
      <c r="O15" s="124">
        <f t="shared" ref="O15:O16" si="0">L15/M15</f>
        <v>266.66666666666669</v>
      </c>
      <c r="P15" s="125"/>
    </row>
    <row r="16" spans="2:16" ht="14.25" thickBot="1">
      <c r="B16" s="93"/>
      <c r="C16" s="492" t="s">
        <v>227</v>
      </c>
      <c r="D16" s="493"/>
      <c r="E16" s="493"/>
      <c r="F16" s="493"/>
      <c r="G16" s="509"/>
      <c r="H16" s="512"/>
      <c r="I16" s="509"/>
      <c r="J16" s="512"/>
      <c r="K16" s="509"/>
      <c r="L16" s="383">
        <f>+'1.01'!L15</f>
        <v>110000</v>
      </c>
      <c r="M16" s="550">
        <v>600</v>
      </c>
      <c r="N16" s="551"/>
      <c r="O16" s="124">
        <f t="shared" si="0"/>
        <v>183.33333333333334</v>
      </c>
      <c r="P16" s="125"/>
    </row>
    <row r="17" spans="2:16" ht="14.25" thickBot="1">
      <c r="B17" s="93"/>
      <c r="C17" s="474" t="s">
        <v>44</v>
      </c>
      <c r="D17" s="475"/>
      <c r="E17" s="475"/>
      <c r="F17" s="475"/>
      <c r="G17" s="475"/>
      <c r="H17" s="475"/>
      <c r="I17" s="475"/>
      <c r="J17" s="475"/>
      <c r="K17" s="475"/>
      <c r="L17" s="475"/>
      <c r="M17" s="475"/>
      <c r="N17" s="476"/>
      <c r="O17" s="129">
        <f>SUM(O13:O16)</f>
        <v>565.51119149955935</v>
      </c>
      <c r="P17" s="130"/>
    </row>
    <row r="18" spans="2:16" ht="13.5" customHeight="1" thickBot="1">
      <c r="B18" s="93"/>
      <c r="C18" s="77" t="s">
        <v>45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121"/>
    </row>
    <row r="19" spans="2:16">
      <c r="B19" s="93"/>
      <c r="C19" s="498" t="s">
        <v>3</v>
      </c>
      <c r="D19" s="499"/>
      <c r="E19" s="499"/>
      <c r="F19" s="499"/>
      <c r="G19" s="499"/>
      <c r="H19" s="499"/>
      <c r="I19" s="499"/>
      <c r="J19" s="511"/>
      <c r="K19" s="395" t="s">
        <v>37</v>
      </c>
      <c r="L19" s="61" t="s">
        <v>4</v>
      </c>
      <c r="M19" s="510" t="s">
        <v>46</v>
      </c>
      <c r="N19" s="511"/>
      <c r="O19" s="62" t="s">
        <v>43</v>
      </c>
      <c r="P19" s="122"/>
    </row>
    <row r="20" spans="2:16">
      <c r="B20" s="93"/>
      <c r="C20" s="502" t="s">
        <v>186</v>
      </c>
      <c r="D20" s="503"/>
      <c r="E20" s="503"/>
      <c r="F20" s="503"/>
      <c r="G20" s="503"/>
      <c r="H20" s="503"/>
      <c r="I20" s="503"/>
      <c r="J20" s="524"/>
      <c r="K20" s="131" t="s">
        <v>212</v>
      </c>
      <c r="L20" s="132">
        <v>3</v>
      </c>
      <c r="M20" s="507">
        <f>+'1.01'!M19:N19</f>
        <v>60</v>
      </c>
      <c r="N20" s="508"/>
      <c r="O20" s="124">
        <f>L20*M20</f>
        <v>180</v>
      </c>
      <c r="P20" s="125"/>
    </row>
    <row r="21" spans="2:16">
      <c r="B21" s="93"/>
      <c r="C21" s="162"/>
      <c r="D21" s="163"/>
      <c r="E21" s="163"/>
      <c r="F21" s="163"/>
      <c r="G21" s="163"/>
      <c r="H21" s="163"/>
      <c r="I21" s="163"/>
      <c r="J21" s="164"/>
      <c r="K21" s="165"/>
      <c r="L21" s="186"/>
      <c r="M21" s="507"/>
      <c r="N21" s="508"/>
      <c r="O21" s="169">
        <f>L21*M21</f>
        <v>0</v>
      </c>
      <c r="P21" s="125"/>
    </row>
    <row r="22" spans="2:16">
      <c r="B22" s="93"/>
      <c r="C22" s="162"/>
      <c r="D22" s="163"/>
      <c r="E22" s="163"/>
      <c r="F22" s="163"/>
      <c r="G22" s="163"/>
      <c r="H22" s="163"/>
      <c r="I22" s="163"/>
      <c r="J22" s="164"/>
      <c r="K22" s="165"/>
      <c r="L22" s="166"/>
      <c r="M22" s="507"/>
      <c r="N22" s="508"/>
      <c r="O22" s="169"/>
      <c r="P22" s="125"/>
    </row>
    <row r="23" spans="2:16">
      <c r="B23" s="93"/>
      <c r="C23" s="162"/>
      <c r="D23" s="163"/>
      <c r="E23" s="163"/>
      <c r="F23" s="163"/>
      <c r="G23" s="163"/>
      <c r="H23" s="163"/>
      <c r="I23" s="163"/>
      <c r="J23" s="164"/>
      <c r="K23" s="165"/>
      <c r="L23" s="166"/>
      <c r="M23" s="507"/>
      <c r="N23" s="508"/>
      <c r="O23" s="169"/>
      <c r="P23" s="125"/>
    </row>
    <row r="24" spans="2:16">
      <c r="B24" s="93"/>
      <c r="C24" s="162"/>
      <c r="D24" s="163"/>
      <c r="E24" s="163"/>
      <c r="F24" s="163"/>
      <c r="G24" s="163"/>
      <c r="H24" s="163"/>
      <c r="I24" s="163"/>
      <c r="J24" s="164"/>
      <c r="K24" s="165"/>
      <c r="L24" s="166"/>
      <c r="M24" s="507"/>
      <c r="N24" s="508"/>
      <c r="O24" s="169"/>
      <c r="P24" s="125"/>
    </row>
    <row r="25" spans="2:16">
      <c r="B25" s="93"/>
      <c r="C25" s="162" t="s">
        <v>240</v>
      </c>
      <c r="D25" s="163"/>
      <c r="E25" s="163"/>
      <c r="F25" s="163"/>
      <c r="G25" s="163"/>
      <c r="H25" s="163"/>
      <c r="I25" s="163"/>
      <c r="J25" s="164"/>
      <c r="K25" s="165"/>
      <c r="L25" s="404">
        <v>0.03</v>
      </c>
      <c r="M25" s="507"/>
      <c r="N25" s="508"/>
      <c r="O25" s="169">
        <f>O20*L25</f>
        <v>5.3999999999999995</v>
      </c>
      <c r="P25" s="125"/>
    </row>
    <row r="26" spans="2:16" ht="14.25" thickBot="1">
      <c r="B26" s="93"/>
      <c r="C26" s="492"/>
      <c r="D26" s="493"/>
      <c r="E26" s="493"/>
      <c r="F26" s="493"/>
      <c r="G26" s="493"/>
      <c r="H26" s="493"/>
      <c r="I26" s="493"/>
      <c r="J26" s="509"/>
      <c r="K26" s="71"/>
      <c r="L26" s="187"/>
      <c r="M26" s="497"/>
      <c r="N26" s="496"/>
      <c r="O26" s="133"/>
      <c r="P26" s="125"/>
    </row>
    <row r="27" spans="2:16" ht="14.25" thickBot="1">
      <c r="B27" s="93"/>
      <c r="C27" s="474" t="s">
        <v>44</v>
      </c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6"/>
      <c r="O27" s="134">
        <f>SUM(O20:O26)</f>
        <v>185.4</v>
      </c>
      <c r="P27" s="125"/>
    </row>
    <row r="28" spans="2:16" ht="13.5" customHeight="1" thickBot="1">
      <c r="B28" s="93"/>
      <c r="C28" s="77" t="s">
        <v>47</v>
      </c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9"/>
      <c r="P28" s="121"/>
    </row>
    <row r="29" spans="2:16" ht="14.25">
      <c r="B29" s="93"/>
      <c r="C29" s="498" t="s">
        <v>48</v>
      </c>
      <c r="D29" s="499"/>
      <c r="E29" s="499"/>
      <c r="F29" s="499"/>
      <c r="G29" s="499"/>
      <c r="H29" s="499"/>
      <c r="I29" s="499"/>
      <c r="J29" s="161" t="s">
        <v>49</v>
      </c>
      <c r="K29" s="160" t="s">
        <v>50</v>
      </c>
      <c r="L29" s="65" t="s">
        <v>76</v>
      </c>
      <c r="M29" s="510" t="s">
        <v>51</v>
      </c>
      <c r="N29" s="511"/>
      <c r="O29" s="62" t="s">
        <v>43</v>
      </c>
      <c r="P29" s="122"/>
    </row>
    <row r="30" spans="2:16">
      <c r="B30" s="93"/>
      <c r="C30" s="502" t="s">
        <v>238</v>
      </c>
      <c r="D30" s="503"/>
      <c r="E30" s="503"/>
      <c r="F30" s="503"/>
      <c r="G30" s="503"/>
      <c r="H30" s="503"/>
      <c r="I30" s="503"/>
      <c r="J30" s="135"/>
      <c r="K30" s="136">
        <v>20</v>
      </c>
      <c r="L30" s="135">
        <v>7</v>
      </c>
      <c r="M30" s="559">
        <v>1050</v>
      </c>
      <c r="N30" s="560"/>
      <c r="O30" s="124">
        <f>L30*M30*K30/140</f>
        <v>1050</v>
      </c>
      <c r="P30" s="125"/>
    </row>
    <row r="31" spans="2:16" ht="14.25" thickBot="1">
      <c r="B31" s="93"/>
      <c r="C31" s="492"/>
      <c r="D31" s="493"/>
      <c r="E31" s="493"/>
      <c r="F31" s="493"/>
      <c r="G31" s="493"/>
      <c r="H31" s="493"/>
      <c r="I31" s="493"/>
      <c r="J31" s="137"/>
      <c r="K31" s="87"/>
      <c r="L31" s="137"/>
      <c r="M31" s="497"/>
      <c r="N31" s="496"/>
      <c r="O31" s="138"/>
      <c r="P31" s="125"/>
    </row>
    <row r="32" spans="2:16" ht="14.25" thickBot="1">
      <c r="B32" s="93"/>
      <c r="C32" s="474" t="s">
        <v>44</v>
      </c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6"/>
      <c r="O32" s="129">
        <f>SUM(O30:O31)</f>
        <v>1050</v>
      </c>
      <c r="P32" s="130"/>
    </row>
    <row r="33" spans="2:16" ht="13.5" customHeight="1" thickBot="1">
      <c r="B33" s="93"/>
      <c r="C33" s="77" t="s">
        <v>52</v>
      </c>
      <c r="D33" s="78"/>
      <c r="E33" s="78"/>
      <c r="F33" s="78"/>
      <c r="G33" s="78"/>
      <c r="H33" s="78"/>
      <c r="I33" s="78"/>
      <c r="J33" s="244"/>
      <c r="K33" s="78"/>
      <c r="L33" s="78"/>
      <c r="M33" s="78"/>
      <c r="N33" s="78"/>
      <c r="O33" s="79"/>
      <c r="P33" s="121"/>
    </row>
    <row r="34" spans="2:16" ht="24.75">
      <c r="B34" s="93"/>
      <c r="C34" s="498" t="s">
        <v>53</v>
      </c>
      <c r="D34" s="499"/>
      <c r="E34" s="499"/>
      <c r="F34" s="499"/>
      <c r="G34" s="499"/>
      <c r="H34" s="499"/>
      <c r="I34" s="499"/>
      <c r="J34" s="396"/>
      <c r="K34" s="506" t="s">
        <v>169</v>
      </c>
      <c r="L34" s="501"/>
      <c r="M34" s="500" t="s">
        <v>42</v>
      </c>
      <c r="N34" s="501"/>
      <c r="O34" s="68" t="s">
        <v>43</v>
      </c>
      <c r="P34" s="139"/>
    </row>
    <row r="35" spans="2:16">
      <c r="B35" s="93"/>
      <c r="C35" s="397" t="str">
        <f>+'MO2021'!C72</f>
        <v xml:space="preserve">CUADRILLA "AA" (Albañileria) </v>
      </c>
      <c r="D35" s="398"/>
      <c r="E35" s="398"/>
      <c r="F35" s="398"/>
      <c r="G35" s="398"/>
      <c r="H35" s="398"/>
      <c r="I35" s="398"/>
      <c r="J35" s="394"/>
      <c r="K35" s="484">
        <f>+'MO2021'!F82</f>
        <v>26134.297994712331</v>
      </c>
      <c r="L35" s="485"/>
      <c r="M35" s="490">
        <v>600</v>
      </c>
      <c r="N35" s="491"/>
      <c r="O35" s="142">
        <f>K35/M35</f>
        <v>43.557163324520552</v>
      </c>
      <c r="P35" s="143"/>
    </row>
    <row r="36" spans="2:16">
      <c r="B36" s="93"/>
      <c r="C36" s="397"/>
      <c r="D36" s="398"/>
      <c r="E36" s="398"/>
      <c r="F36" s="398"/>
      <c r="G36" s="398"/>
      <c r="H36" s="398"/>
      <c r="I36" s="398"/>
      <c r="J36" s="394"/>
      <c r="K36" s="484"/>
      <c r="L36" s="485"/>
      <c r="M36" s="486"/>
      <c r="N36" s="487"/>
      <c r="O36" s="142">
        <f>K36*M36</f>
        <v>0</v>
      </c>
      <c r="P36" s="143"/>
    </row>
    <row r="37" spans="2:16" ht="14.25" thickBot="1">
      <c r="B37" s="93"/>
      <c r="C37" s="492"/>
      <c r="D37" s="493"/>
      <c r="E37" s="493"/>
      <c r="F37" s="493"/>
      <c r="G37" s="493"/>
      <c r="H37" s="493"/>
      <c r="I37" s="494"/>
      <c r="J37" s="245"/>
      <c r="K37" s="495"/>
      <c r="L37" s="496"/>
      <c r="M37" s="497"/>
      <c r="N37" s="496"/>
      <c r="O37" s="138"/>
      <c r="P37" s="125"/>
    </row>
    <row r="38" spans="2:16" ht="14.25" thickBot="1">
      <c r="B38" s="93"/>
      <c r="C38" s="504" t="s">
        <v>44</v>
      </c>
      <c r="D38" s="505"/>
      <c r="E38" s="505"/>
      <c r="F38" s="505"/>
      <c r="G38" s="505"/>
      <c r="H38" s="505"/>
      <c r="I38" s="505"/>
      <c r="J38" s="505"/>
      <c r="K38" s="475"/>
      <c r="L38" s="475"/>
      <c r="M38" s="475"/>
      <c r="N38" s="476"/>
      <c r="O38" s="134">
        <f>SUM(O35:O37)</f>
        <v>43.557163324520552</v>
      </c>
      <c r="P38" s="125"/>
    </row>
    <row r="39" spans="2:16" ht="14.25" thickBot="1">
      <c r="B39" s="93"/>
      <c r="C39" s="80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2"/>
      <c r="P39" s="97"/>
    </row>
    <row r="40" spans="2:16" ht="14.25" thickBot="1">
      <c r="B40" s="93"/>
      <c r="C40" s="477" t="s">
        <v>54</v>
      </c>
      <c r="D40" s="478"/>
      <c r="E40" s="478"/>
      <c r="F40" s="478"/>
      <c r="G40" s="478"/>
      <c r="H40" s="478"/>
      <c r="I40" s="478"/>
      <c r="J40" s="478"/>
      <c r="K40" s="478"/>
      <c r="L40" s="478"/>
      <c r="M40" s="478"/>
      <c r="N40" s="479"/>
      <c r="O40" s="144">
        <f>+O17+O27+O32+O38</f>
        <v>1844.4683548240798</v>
      </c>
      <c r="P40" s="145"/>
    </row>
    <row r="41" spans="2:16" ht="14.25" thickBot="1">
      <c r="B41" s="93"/>
      <c r="C41" s="77" t="s">
        <v>55</v>
      </c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9"/>
      <c r="P41" s="121"/>
    </row>
    <row r="42" spans="2:16" ht="14.1" customHeight="1">
      <c r="B42" s="93"/>
      <c r="C42" s="498" t="s">
        <v>56</v>
      </c>
      <c r="D42" s="499"/>
      <c r="E42" s="499"/>
      <c r="F42" s="499"/>
      <c r="G42" s="499"/>
      <c r="H42" s="499"/>
      <c r="I42" s="499"/>
      <c r="J42" s="392"/>
      <c r="K42" s="393"/>
      <c r="L42" s="67" t="s">
        <v>57</v>
      </c>
      <c r="M42" s="500" t="s">
        <v>58</v>
      </c>
      <c r="N42" s="501"/>
      <c r="O42" s="68"/>
      <c r="P42" s="139"/>
    </row>
    <row r="43" spans="2:16">
      <c r="B43" s="93"/>
      <c r="C43" s="502" t="s">
        <v>59</v>
      </c>
      <c r="D43" s="503"/>
      <c r="E43" s="503"/>
      <c r="F43" s="503"/>
      <c r="G43" s="503"/>
      <c r="H43" s="503"/>
      <c r="I43" s="503"/>
      <c r="J43" s="146"/>
      <c r="K43" s="147"/>
      <c r="L43" s="148">
        <f>'PRESUPUESTO OFICIAL'!K25</f>
        <v>0.27</v>
      </c>
      <c r="M43" s="470">
        <f>O40*L43</f>
        <v>498.00645580250159</v>
      </c>
      <c r="N43" s="471"/>
      <c r="O43" s="149"/>
      <c r="P43" s="150"/>
    </row>
    <row r="44" spans="2:16">
      <c r="B44" s="93"/>
      <c r="C44" s="70" t="s">
        <v>60</v>
      </c>
      <c r="D44" s="71"/>
      <c r="E44" s="71"/>
      <c r="F44" s="71"/>
      <c r="G44" s="71"/>
      <c r="H44" s="71"/>
      <c r="I44" s="71"/>
      <c r="J44" s="146"/>
      <c r="K44" s="147"/>
      <c r="L44" s="148">
        <f>'PRESUPUESTO OFICIAL'!K26</f>
        <v>0</v>
      </c>
      <c r="M44" s="470">
        <f>+O40*L44</f>
        <v>0</v>
      </c>
      <c r="N44" s="471"/>
      <c r="O44" s="149"/>
      <c r="P44" s="150"/>
    </row>
    <row r="45" spans="2:16" ht="14.25" thickBot="1">
      <c r="B45" s="93"/>
      <c r="C45" s="72" t="s">
        <v>61</v>
      </c>
      <c r="D45" s="73"/>
      <c r="E45" s="73"/>
      <c r="F45" s="73"/>
      <c r="G45" s="73"/>
      <c r="H45" s="73"/>
      <c r="I45" s="73"/>
      <c r="J45" s="151"/>
      <c r="K45" s="152"/>
      <c r="L45" s="148">
        <f>'PRESUPUESTO OFICIAL'!K27</f>
        <v>0.03</v>
      </c>
      <c r="M45" s="472">
        <f>O40*L45</f>
        <v>55.334050644722396</v>
      </c>
      <c r="N45" s="473"/>
      <c r="O45" s="149"/>
      <c r="P45" s="150"/>
    </row>
    <row r="46" spans="2:16" ht="14.25" thickBot="1">
      <c r="B46" s="93"/>
      <c r="C46" s="474" t="s">
        <v>44</v>
      </c>
      <c r="D46" s="475"/>
      <c r="E46" s="475"/>
      <c r="F46" s="475"/>
      <c r="G46" s="475"/>
      <c r="H46" s="475"/>
      <c r="I46" s="475"/>
      <c r="J46" s="475"/>
      <c r="K46" s="475"/>
      <c r="L46" s="475"/>
      <c r="M46" s="475"/>
      <c r="N46" s="476"/>
      <c r="O46" s="153">
        <f>SUM(M43:N45)</f>
        <v>553.34050644722402</v>
      </c>
      <c r="P46" s="154"/>
    </row>
    <row r="47" spans="2:16" ht="6.2" customHeight="1" thickBot="1">
      <c r="B47" s="93"/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2"/>
      <c r="P47" s="97"/>
    </row>
    <row r="48" spans="2:16" ht="14.25" thickBot="1">
      <c r="B48" s="93"/>
      <c r="C48" s="477" t="s">
        <v>62</v>
      </c>
      <c r="D48" s="478"/>
      <c r="E48" s="478"/>
      <c r="F48" s="478"/>
      <c r="G48" s="478"/>
      <c r="H48" s="478"/>
      <c r="I48" s="478"/>
      <c r="J48" s="478"/>
      <c r="K48" s="478"/>
      <c r="L48" s="478"/>
      <c r="M48" s="478"/>
      <c r="N48" s="479"/>
      <c r="O48" s="155">
        <f>ROUND(O40+O46,0)</f>
        <v>2398</v>
      </c>
      <c r="P48" s="154"/>
    </row>
    <row r="49" spans="2:16" ht="5.25" customHeight="1">
      <c r="B49" s="93"/>
      <c r="C49" s="412"/>
      <c r="D49" s="413"/>
      <c r="E49" s="413"/>
      <c r="F49" s="413"/>
      <c r="G49" s="413"/>
      <c r="H49" s="413"/>
      <c r="I49" s="413"/>
      <c r="J49" s="413"/>
      <c r="K49" s="413"/>
      <c r="L49" s="413"/>
      <c r="M49" s="413"/>
      <c r="N49" s="413"/>
      <c r="O49" s="414"/>
      <c r="P49" s="97"/>
    </row>
    <row r="50" spans="2:16" ht="16.5">
      <c r="B50" s="93"/>
      <c r="C50" s="415"/>
      <c r="D50" s="411"/>
      <c r="E50" s="410"/>
      <c r="F50" s="410"/>
      <c r="G50" s="81"/>
      <c r="H50" s="81"/>
      <c r="I50" s="81"/>
      <c r="J50" s="81"/>
      <c r="K50" s="81"/>
      <c r="L50" s="81"/>
      <c r="M50" s="81"/>
      <c r="N50" s="81"/>
      <c r="O50" s="82"/>
      <c r="P50" s="97"/>
    </row>
    <row r="51" spans="2:16" ht="12.75" customHeight="1">
      <c r="B51" s="93"/>
      <c r="C51" s="416" t="s">
        <v>242</v>
      </c>
      <c r="D51" s="417"/>
      <c r="E51" s="418"/>
      <c r="F51" s="418"/>
      <c r="G51" s="85"/>
      <c r="H51" s="81"/>
      <c r="I51" s="85"/>
      <c r="J51" s="85"/>
      <c r="K51" s="85"/>
      <c r="L51" s="85"/>
      <c r="M51" s="85"/>
      <c r="N51" s="85"/>
      <c r="O51" s="86"/>
      <c r="P51" s="27"/>
    </row>
    <row r="52" spans="2:16" ht="15" customHeight="1">
      <c r="B52" s="93"/>
      <c r="C52" s="424" t="s">
        <v>243</v>
      </c>
      <c r="D52" s="417"/>
      <c r="E52" s="418"/>
      <c r="F52" s="418"/>
      <c r="G52" s="85"/>
      <c r="H52" s="81"/>
      <c r="I52" s="85"/>
      <c r="J52" s="85"/>
      <c r="K52" s="85"/>
      <c r="L52" s="85"/>
      <c r="M52" s="85"/>
      <c r="N52" s="85"/>
      <c r="O52" s="86"/>
      <c r="P52" s="27"/>
    </row>
    <row r="53" spans="2:16" ht="15" customHeight="1" thickBot="1">
      <c r="B53" s="93"/>
      <c r="C53" s="419" t="s">
        <v>246</v>
      </c>
      <c r="D53" s="420"/>
      <c r="E53" s="421"/>
      <c r="F53" s="421"/>
      <c r="G53" s="87"/>
      <c r="H53" s="87"/>
      <c r="I53" s="87"/>
      <c r="J53" s="87"/>
      <c r="K53" s="482"/>
      <c r="L53" s="482"/>
      <c r="M53" s="482"/>
      <c r="N53" s="482"/>
      <c r="O53" s="483"/>
      <c r="P53" s="156"/>
    </row>
    <row r="54" spans="2:16" ht="10.35" customHeight="1" thickBot="1">
      <c r="B54" s="157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9"/>
    </row>
    <row r="55" spans="2:16" ht="10.35" customHeight="1" thickTop="1"/>
  </sheetData>
  <mergeCells count="62">
    <mergeCell ref="D10:L10"/>
    <mergeCell ref="M10:N10"/>
    <mergeCell ref="C8:O8"/>
    <mergeCell ref="D9:L9"/>
    <mergeCell ref="M9:N9"/>
    <mergeCell ref="C12:G12"/>
    <mergeCell ref="H12:I12"/>
    <mergeCell ref="J12:K12"/>
    <mergeCell ref="M12:N12"/>
    <mergeCell ref="C13:G13"/>
    <mergeCell ref="H13:I13"/>
    <mergeCell ref="J13:K13"/>
    <mergeCell ref="M13:N13"/>
    <mergeCell ref="M21:N21"/>
    <mergeCell ref="M14:N14"/>
    <mergeCell ref="M15:N15"/>
    <mergeCell ref="C16:G16"/>
    <mergeCell ref="H16:I16"/>
    <mergeCell ref="J16:K16"/>
    <mergeCell ref="M16:N16"/>
    <mergeCell ref="C17:N17"/>
    <mergeCell ref="C19:J19"/>
    <mergeCell ref="M19:N19"/>
    <mergeCell ref="C20:J20"/>
    <mergeCell ref="M20:N20"/>
    <mergeCell ref="C31:I31"/>
    <mergeCell ref="M31:N31"/>
    <mergeCell ref="M22:N22"/>
    <mergeCell ref="M23:N23"/>
    <mergeCell ref="M24:N24"/>
    <mergeCell ref="M25:N25"/>
    <mergeCell ref="C26:J26"/>
    <mergeCell ref="M26:N26"/>
    <mergeCell ref="C27:N27"/>
    <mergeCell ref="C29:I29"/>
    <mergeCell ref="M29:N29"/>
    <mergeCell ref="C30:I30"/>
    <mergeCell ref="M30:N30"/>
    <mergeCell ref="C43:I43"/>
    <mergeCell ref="M43:N43"/>
    <mergeCell ref="C32:N32"/>
    <mergeCell ref="C34:I34"/>
    <mergeCell ref="K34:L34"/>
    <mergeCell ref="M34:N34"/>
    <mergeCell ref="K35:L35"/>
    <mergeCell ref="M35:N35"/>
    <mergeCell ref="M45:N45"/>
    <mergeCell ref="C46:N46"/>
    <mergeCell ref="C48:N48"/>
    <mergeCell ref="K53:O53"/>
    <mergeCell ref="F3:M3"/>
    <mergeCell ref="C6:O7"/>
    <mergeCell ref="M44:N44"/>
    <mergeCell ref="K36:L36"/>
    <mergeCell ref="M36:N36"/>
    <mergeCell ref="C37:I37"/>
    <mergeCell ref="K37:L37"/>
    <mergeCell ref="M37:N37"/>
    <mergeCell ref="C38:N38"/>
    <mergeCell ref="C40:N40"/>
    <mergeCell ref="C42:I42"/>
    <mergeCell ref="M42:N4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R29"/>
  <sheetViews>
    <sheetView showGridLines="0" view="pageLayout" topLeftCell="A14" zoomScaleNormal="100" zoomScaleSheetLayoutView="110" workbookViewId="0">
      <selection activeCell="G20" sqref="G20"/>
    </sheetView>
  </sheetViews>
  <sheetFormatPr baseColWidth="10" defaultColWidth="1.5703125" defaultRowHeight="15"/>
  <cols>
    <col min="1" max="1" width="2.140625" style="252" customWidth="1"/>
    <col min="2" max="2" width="1.7109375" style="252" customWidth="1"/>
    <col min="3" max="3" width="2.42578125" style="252" customWidth="1"/>
    <col min="4" max="4" width="18" style="252" customWidth="1"/>
    <col min="5" max="5" width="10.140625" style="252" customWidth="1"/>
    <col min="6" max="6" width="15.7109375" style="252" customWidth="1"/>
    <col min="7" max="7" width="9.7109375" style="252" customWidth="1"/>
    <col min="8" max="8" width="9.28515625" style="252" customWidth="1"/>
    <col min="9" max="9" width="10.140625" style="252" customWidth="1"/>
    <col min="10" max="10" width="10.7109375" style="253" customWidth="1"/>
    <col min="11" max="11" width="10.140625" style="252" customWidth="1"/>
    <col min="12" max="12" width="6.85546875" style="252" customWidth="1"/>
    <col min="13" max="13" width="10.140625" style="252" customWidth="1"/>
    <col min="14" max="14" width="7.7109375" style="252" customWidth="1"/>
    <col min="15" max="15" width="2.42578125" style="252" customWidth="1"/>
    <col min="16" max="17" width="1.7109375" style="252" customWidth="1"/>
    <col min="18" max="18" width="8.85546875" style="252" customWidth="1"/>
    <col min="19" max="19" width="10.5703125" style="252" customWidth="1"/>
    <col min="20" max="16384" width="1.5703125" style="252"/>
  </cols>
  <sheetData>
    <row r="1" spans="1:18" ht="5.85" customHeight="1" thickBot="1">
      <c r="A1" s="277"/>
      <c r="B1" s="278"/>
      <c r="C1" s="278"/>
      <c r="D1" s="278"/>
      <c r="E1" s="278"/>
      <c r="F1" s="278"/>
      <c r="G1" s="278"/>
      <c r="H1" s="278"/>
      <c r="I1" s="278"/>
      <c r="J1" s="287"/>
      <c r="K1" s="278"/>
      <c r="L1" s="278"/>
      <c r="M1" s="278"/>
      <c r="N1" s="278"/>
      <c r="O1" s="278"/>
      <c r="P1" s="278"/>
      <c r="Q1" s="279"/>
    </row>
    <row r="2" spans="1:18" ht="10.35" customHeight="1" thickTop="1">
      <c r="A2" s="280"/>
      <c r="B2" s="306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288"/>
      <c r="O2" s="288"/>
      <c r="P2" s="289"/>
      <c r="Q2" s="281"/>
    </row>
    <row r="3" spans="1:18" ht="14.1" customHeight="1">
      <c r="A3" s="280"/>
      <c r="B3" s="309"/>
      <c r="C3" s="94" t="s">
        <v>178</v>
      </c>
      <c r="D3" s="95"/>
      <c r="E3" s="95"/>
      <c r="F3" s="310"/>
      <c r="G3" s="310"/>
      <c r="H3" s="310"/>
      <c r="I3" s="310"/>
      <c r="J3" s="310"/>
      <c r="K3" s="310"/>
      <c r="L3" s="310"/>
      <c r="M3" s="310"/>
      <c r="N3" s="269"/>
      <c r="O3" s="269"/>
      <c r="P3" s="291"/>
      <c r="Q3" s="281"/>
    </row>
    <row r="4" spans="1:18" ht="5.85" customHeight="1" thickBot="1">
      <c r="A4" s="280"/>
      <c r="B4" s="309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269"/>
      <c r="O4" s="269"/>
      <c r="P4" s="291"/>
      <c r="Q4" s="281"/>
    </row>
    <row r="5" spans="1:18" ht="10.35" customHeight="1">
      <c r="A5" s="280"/>
      <c r="B5" s="309"/>
      <c r="C5" s="312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4"/>
      <c r="O5" s="315"/>
      <c r="P5" s="291"/>
      <c r="Q5" s="281"/>
    </row>
    <row r="6" spans="1:18" ht="14.1" customHeight="1">
      <c r="A6" s="280"/>
      <c r="B6" s="305"/>
      <c r="C6" s="316"/>
      <c r="D6" s="563" t="s">
        <v>177</v>
      </c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337"/>
      <c r="P6" s="291"/>
      <c r="Q6" s="281"/>
    </row>
    <row r="7" spans="1:18" ht="14.1" customHeight="1">
      <c r="A7" s="280"/>
      <c r="B7" s="290"/>
      <c r="C7" s="317"/>
      <c r="D7" s="268"/>
      <c r="E7" s="268"/>
      <c r="F7" s="268"/>
      <c r="G7" s="268"/>
      <c r="H7" s="268"/>
      <c r="I7" s="268"/>
      <c r="J7" s="255"/>
      <c r="K7" s="276" t="s">
        <v>179</v>
      </c>
      <c r="L7" s="267" t="s">
        <v>226</v>
      </c>
      <c r="M7" s="268"/>
      <c r="N7" s="269"/>
      <c r="O7" s="318"/>
      <c r="P7" s="291"/>
      <c r="Q7" s="281"/>
    </row>
    <row r="8" spans="1:18" ht="15" customHeight="1">
      <c r="A8" s="280"/>
      <c r="B8" s="308"/>
      <c r="C8" s="319"/>
      <c r="D8" s="342" t="s">
        <v>36</v>
      </c>
      <c r="E8" s="567" t="s">
        <v>3</v>
      </c>
      <c r="F8" s="567"/>
      <c r="G8" s="567"/>
      <c r="H8" s="567"/>
      <c r="I8" s="567"/>
      <c r="J8" s="567"/>
      <c r="K8" s="567"/>
      <c r="L8" s="567" t="s">
        <v>37</v>
      </c>
      <c r="M8" s="567"/>
      <c r="N8" s="567"/>
      <c r="O8" s="318"/>
      <c r="P8" s="291"/>
      <c r="Q8" s="281"/>
    </row>
    <row r="9" spans="1:18" ht="18.75" customHeight="1">
      <c r="A9" s="280"/>
      <c r="B9" s="308"/>
      <c r="C9" s="319"/>
      <c r="D9" s="341">
        <f>+'PRESUPUESTO OFICIAL'!D13</f>
        <v>1.01</v>
      </c>
      <c r="E9" s="561" t="str">
        <f>LOOKUP(D9,Item,Actividades)</f>
        <v>Conformación de calzada existente, sin adición de material - incluye rectificación de cunetas</v>
      </c>
      <c r="F9" s="561"/>
      <c r="G9" s="561"/>
      <c r="H9" s="561"/>
      <c r="I9" s="561"/>
      <c r="J9" s="561"/>
      <c r="K9" s="561"/>
      <c r="L9" s="562" t="str">
        <f>LOOKUP(D9,Item,Unidades)</f>
        <v>M2</v>
      </c>
      <c r="M9" s="562"/>
      <c r="N9" s="562"/>
      <c r="O9" s="320"/>
      <c r="P9" s="292"/>
      <c r="Q9" s="282"/>
    </row>
    <row r="10" spans="1:18" ht="6.95" customHeight="1">
      <c r="A10" s="280"/>
      <c r="B10" s="290"/>
      <c r="C10" s="317"/>
      <c r="D10" s="268"/>
      <c r="E10" s="268"/>
      <c r="F10" s="268"/>
      <c r="G10" s="268"/>
      <c r="H10" s="268"/>
      <c r="I10" s="268"/>
      <c r="J10" s="255"/>
      <c r="K10" s="268"/>
      <c r="L10" s="268"/>
      <c r="M10" s="268"/>
      <c r="N10" s="269"/>
      <c r="O10" s="318"/>
      <c r="P10" s="291"/>
      <c r="Q10" s="281"/>
    </row>
    <row r="11" spans="1:18" ht="24.75" customHeight="1">
      <c r="A11" s="280"/>
      <c r="B11" s="334"/>
      <c r="C11" s="271"/>
      <c r="D11" s="390" t="s">
        <v>170</v>
      </c>
      <c r="E11" s="391"/>
      <c r="F11" s="389"/>
      <c r="G11" s="389" t="s">
        <v>171</v>
      </c>
      <c r="H11" s="338" t="s">
        <v>172</v>
      </c>
      <c r="I11" s="261" t="s">
        <v>236</v>
      </c>
      <c r="J11" s="333" t="s">
        <v>173</v>
      </c>
      <c r="K11" s="564" t="s">
        <v>174</v>
      </c>
      <c r="L11" s="565"/>
      <c r="M11" s="565"/>
      <c r="N11" s="566"/>
      <c r="O11" s="321"/>
      <c r="P11" s="299"/>
      <c r="Q11" s="298"/>
    </row>
    <row r="12" spans="1:18" ht="14.1" customHeight="1">
      <c r="A12" s="280"/>
      <c r="B12" s="335"/>
      <c r="C12" s="273"/>
      <c r="D12" s="568" t="s">
        <v>229</v>
      </c>
      <c r="E12" s="569"/>
      <c r="F12" s="570"/>
      <c r="G12" s="387">
        <v>4800</v>
      </c>
      <c r="H12" s="340">
        <v>5</v>
      </c>
      <c r="I12" s="340">
        <f>G12*H12</f>
        <v>24000</v>
      </c>
      <c r="J12" s="339">
        <f>I12</f>
        <v>24000</v>
      </c>
      <c r="K12" s="344"/>
      <c r="L12" s="345"/>
      <c r="M12" s="345"/>
      <c r="N12" s="262"/>
      <c r="O12" s="318"/>
      <c r="P12" s="291"/>
      <c r="Q12" s="281"/>
    </row>
    <row r="13" spans="1:18" ht="28.35" customHeight="1">
      <c r="A13" s="280"/>
      <c r="B13" s="335"/>
      <c r="C13" s="273"/>
      <c r="D13" s="568" t="s">
        <v>237</v>
      </c>
      <c r="E13" s="569"/>
      <c r="F13" s="570"/>
      <c r="G13" s="387">
        <v>5700</v>
      </c>
      <c r="H13" s="340">
        <v>5</v>
      </c>
      <c r="I13" s="340">
        <f t="shared" ref="I13:I19" si="0">G13*H13</f>
        <v>28500</v>
      </c>
      <c r="J13" s="339">
        <f t="shared" ref="J13:J19" si="1">I13</f>
        <v>28500</v>
      </c>
      <c r="K13" s="346"/>
      <c r="L13" s="268"/>
      <c r="M13" s="268"/>
      <c r="N13" s="264"/>
      <c r="O13" s="318"/>
      <c r="P13" s="291"/>
      <c r="Q13" s="281"/>
      <c r="R13" s="256"/>
    </row>
    <row r="14" spans="1:18" ht="28.35" customHeight="1">
      <c r="A14" s="280"/>
      <c r="B14" s="335"/>
      <c r="C14" s="273"/>
      <c r="D14" s="568" t="s">
        <v>230</v>
      </c>
      <c r="E14" s="569"/>
      <c r="F14" s="570"/>
      <c r="G14" s="387">
        <v>6200</v>
      </c>
      <c r="H14" s="340">
        <v>5</v>
      </c>
      <c r="I14" s="340">
        <f t="shared" si="0"/>
        <v>31000</v>
      </c>
      <c r="J14" s="339">
        <f t="shared" si="1"/>
        <v>31000</v>
      </c>
      <c r="K14" s="346"/>
      <c r="L14" s="268"/>
      <c r="M14" s="268"/>
      <c r="N14" s="264"/>
      <c r="O14" s="318"/>
      <c r="P14" s="291"/>
      <c r="Q14" s="281"/>
      <c r="R14" s="256"/>
    </row>
    <row r="15" spans="1:18" ht="28.35" customHeight="1">
      <c r="A15" s="280"/>
      <c r="B15" s="336"/>
      <c r="C15" s="275"/>
      <c r="D15" s="568" t="s">
        <v>231</v>
      </c>
      <c r="E15" s="569"/>
      <c r="F15" s="570"/>
      <c r="G15" s="387">
        <v>2200</v>
      </c>
      <c r="H15" s="340">
        <v>5</v>
      </c>
      <c r="I15" s="340">
        <f t="shared" si="0"/>
        <v>11000</v>
      </c>
      <c r="J15" s="339">
        <f t="shared" si="1"/>
        <v>11000</v>
      </c>
      <c r="K15" s="346"/>
      <c r="L15" s="268"/>
      <c r="M15" s="268"/>
      <c r="N15" s="264"/>
      <c r="O15" s="318"/>
      <c r="P15" s="291"/>
      <c r="Q15" s="281"/>
      <c r="R15" s="258"/>
    </row>
    <row r="16" spans="1:18" ht="28.35" customHeight="1">
      <c r="A16" s="280"/>
      <c r="B16" s="336"/>
      <c r="C16" s="275"/>
      <c r="D16" s="568" t="s">
        <v>232</v>
      </c>
      <c r="E16" s="569"/>
      <c r="F16" s="570"/>
      <c r="G16" s="387">
        <v>5000</v>
      </c>
      <c r="H16" s="340">
        <v>5</v>
      </c>
      <c r="I16" s="340">
        <f t="shared" si="0"/>
        <v>25000</v>
      </c>
      <c r="J16" s="339">
        <f t="shared" si="1"/>
        <v>25000</v>
      </c>
      <c r="K16" s="346"/>
      <c r="L16" s="268"/>
      <c r="M16" s="268"/>
      <c r="N16" s="264"/>
      <c r="O16" s="318"/>
      <c r="P16" s="291"/>
      <c r="Q16" s="281"/>
      <c r="R16" s="254"/>
    </row>
    <row r="17" spans="1:18" ht="28.35" customHeight="1">
      <c r="A17" s="280"/>
      <c r="B17" s="336"/>
      <c r="C17" s="274"/>
      <c r="D17" s="568" t="s">
        <v>233</v>
      </c>
      <c r="E17" s="569"/>
      <c r="F17" s="570"/>
      <c r="G17" s="387">
        <v>500</v>
      </c>
      <c r="H17" s="340">
        <v>5</v>
      </c>
      <c r="I17" s="340">
        <f t="shared" si="0"/>
        <v>2500</v>
      </c>
      <c r="J17" s="339">
        <f t="shared" si="1"/>
        <v>2500</v>
      </c>
      <c r="K17" s="346"/>
      <c r="L17" s="268"/>
      <c r="M17" s="268"/>
      <c r="N17" s="264"/>
      <c r="O17" s="318"/>
      <c r="P17" s="291"/>
      <c r="Q17" s="281"/>
      <c r="R17" s="254"/>
    </row>
    <row r="18" spans="1:18" ht="28.35" customHeight="1">
      <c r="A18" s="280"/>
      <c r="B18" s="293"/>
      <c r="C18" s="322"/>
      <c r="D18" s="568" t="s">
        <v>234</v>
      </c>
      <c r="E18" s="569"/>
      <c r="F18" s="570"/>
      <c r="G18" s="387">
        <v>500</v>
      </c>
      <c r="H18" s="339">
        <v>5</v>
      </c>
      <c r="I18" s="340">
        <f t="shared" si="0"/>
        <v>2500</v>
      </c>
      <c r="J18" s="339">
        <f t="shared" si="1"/>
        <v>2500</v>
      </c>
      <c r="K18" s="346"/>
      <c r="L18" s="268"/>
      <c r="M18" s="268"/>
      <c r="N18" s="264"/>
      <c r="O18" s="318"/>
      <c r="P18" s="291"/>
      <c r="Q18" s="281"/>
      <c r="R18" s="259"/>
    </row>
    <row r="19" spans="1:18" ht="28.35" customHeight="1">
      <c r="A19" s="280"/>
      <c r="B19" s="293"/>
      <c r="C19" s="322"/>
      <c r="D19" s="568" t="s">
        <v>235</v>
      </c>
      <c r="E19" s="569"/>
      <c r="F19" s="570"/>
      <c r="G19" s="400">
        <v>15400</v>
      </c>
      <c r="H19" s="401">
        <v>5</v>
      </c>
      <c r="I19" s="402">
        <f t="shared" si="0"/>
        <v>77000</v>
      </c>
      <c r="J19" s="339">
        <f t="shared" si="1"/>
        <v>77000</v>
      </c>
      <c r="K19" s="346"/>
      <c r="L19" s="268"/>
      <c r="M19" s="268"/>
      <c r="N19" s="264"/>
      <c r="O19" s="318"/>
      <c r="P19" s="291"/>
      <c r="Q19" s="281"/>
      <c r="R19" s="259"/>
    </row>
    <row r="20" spans="1:18">
      <c r="A20" s="280"/>
      <c r="B20" s="311"/>
      <c r="C20" s="317"/>
      <c r="D20" s="388"/>
      <c r="E20" s="388"/>
      <c r="F20" s="388"/>
      <c r="G20" s="384">
        <f>SUM(G12:G19)</f>
        <v>40300</v>
      </c>
      <c r="H20" s="349"/>
      <c r="I20" s="349"/>
      <c r="J20" s="343"/>
      <c r="K20" s="346"/>
      <c r="L20" s="268"/>
      <c r="M20" s="268"/>
      <c r="N20" s="264"/>
      <c r="O20" s="318"/>
      <c r="P20" s="291"/>
      <c r="Q20" s="281"/>
      <c r="R20" s="254"/>
    </row>
    <row r="21" spans="1:18">
      <c r="A21" s="280"/>
      <c r="B21" s="290"/>
      <c r="C21" s="317"/>
      <c r="D21" s="350"/>
      <c r="E21" s="257"/>
      <c r="F21" s="257"/>
      <c r="G21" s="257"/>
      <c r="H21" s="257"/>
      <c r="I21" s="257"/>
      <c r="J21" s="348">
        <f>SUM(J12:J20)</f>
        <v>201500</v>
      </c>
      <c r="K21" s="347"/>
      <c r="L21" s="265"/>
      <c r="M21" s="265"/>
      <c r="N21" s="266"/>
      <c r="O21" s="318"/>
      <c r="P21" s="291"/>
      <c r="Q21" s="281"/>
      <c r="R21" s="254"/>
    </row>
    <row r="22" spans="1:18" ht="15" customHeight="1">
      <c r="A22" s="280"/>
      <c r="B22" s="300"/>
      <c r="C22" s="323"/>
      <c r="D22" s="390" t="s">
        <v>175</v>
      </c>
      <c r="E22" s="351"/>
      <c r="F22" s="351"/>
      <c r="G22" s="351"/>
      <c r="H22" s="351"/>
      <c r="I22" s="351"/>
      <c r="J22" s="351"/>
      <c r="K22" s="351"/>
      <c r="L22" s="351"/>
      <c r="M22" s="351"/>
      <c r="N22" s="266"/>
      <c r="O22" s="318"/>
      <c r="P22" s="291"/>
      <c r="Q22" s="281"/>
      <c r="R22" s="254"/>
    </row>
    <row r="23" spans="1:18">
      <c r="A23" s="280"/>
      <c r="B23" s="301"/>
      <c r="C23" s="319"/>
      <c r="D23" s="272"/>
      <c r="E23" s="272"/>
      <c r="F23" s="272"/>
      <c r="G23" s="272"/>
      <c r="H23" s="272"/>
      <c r="I23" s="272"/>
      <c r="J23" s="260"/>
      <c r="K23" s="272"/>
      <c r="L23" s="272"/>
      <c r="M23" s="270"/>
      <c r="N23" s="269"/>
      <c r="O23" s="318"/>
      <c r="P23" s="291"/>
      <c r="Q23" s="281"/>
      <c r="R23" s="254"/>
    </row>
    <row r="24" spans="1:18">
      <c r="A24" s="280"/>
      <c r="B24" s="301"/>
      <c r="C24" s="319"/>
      <c r="D24" s="381" t="s">
        <v>225</v>
      </c>
      <c r="E24" s="272"/>
      <c r="F24" s="272"/>
      <c r="G24" s="272"/>
      <c r="H24" s="272"/>
      <c r="I24" s="272"/>
      <c r="J24" s="260"/>
      <c r="K24" s="272"/>
      <c r="L24" s="272"/>
      <c r="M24" s="270"/>
      <c r="N24" s="269"/>
      <c r="O24" s="318"/>
      <c r="P24" s="291"/>
      <c r="Q24" s="281"/>
      <c r="R24" s="254"/>
    </row>
    <row r="25" spans="1:18">
      <c r="A25" s="280"/>
      <c r="B25" s="301"/>
      <c r="C25" s="319"/>
      <c r="D25" s="380" t="s">
        <v>220</v>
      </c>
      <c r="E25" s="272"/>
      <c r="F25" s="272"/>
      <c r="G25" s="272"/>
      <c r="H25" s="272"/>
      <c r="I25" s="272"/>
      <c r="J25" s="260"/>
      <c r="K25" s="272"/>
      <c r="L25" s="272"/>
      <c r="M25" s="270"/>
      <c r="N25" s="269"/>
      <c r="O25" s="318"/>
      <c r="P25" s="291"/>
      <c r="Q25" s="281"/>
      <c r="R25" s="254"/>
    </row>
    <row r="26" spans="1:18" ht="10.35" customHeight="1" thickBot="1">
      <c r="A26" s="280"/>
      <c r="B26" s="290"/>
      <c r="C26" s="324"/>
      <c r="D26" s="325"/>
      <c r="E26" s="326"/>
      <c r="F26" s="327"/>
      <c r="G26" s="328"/>
      <c r="H26" s="325"/>
      <c r="I26" s="325"/>
      <c r="J26" s="330"/>
      <c r="K26" s="325"/>
      <c r="L26" s="325"/>
      <c r="M26" s="329"/>
      <c r="N26" s="331"/>
      <c r="O26" s="332"/>
      <c r="P26" s="291"/>
      <c r="Q26" s="281"/>
      <c r="R26" s="254"/>
    </row>
    <row r="27" spans="1:18" ht="6.95" customHeight="1" thickBot="1">
      <c r="A27" s="280"/>
      <c r="B27" s="296"/>
      <c r="C27" s="297"/>
      <c r="D27" s="302"/>
      <c r="E27" s="302"/>
      <c r="F27" s="302"/>
      <c r="G27" s="302"/>
      <c r="H27" s="303"/>
      <c r="I27" s="297"/>
      <c r="J27" s="304"/>
      <c r="K27" s="303"/>
      <c r="L27" s="297"/>
      <c r="M27" s="297"/>
      <c r="N27" s="294"/>
      <c r="O27" s="294"/>
      <c r="P27" s="295"/>
      <c r="Q27" s="281"/>
      <c r="R27" s="254"/>
    </row>
    <row r="28" spans="1:18" ht="5.85" customHeight="1" thickTop="1">
      <c r="A28" s="283"/>
      <c r="B28" s="284"/>
      <c r="C28" s="284"/>
      <c r="D28" s="284"/>
      <c r="E28" s="284"/>
      <c r="F28" s="284"/>
      <c r="G28" s="284"/>
      <c r="H28" s="284"/>
      <c r="I28" s="284"/>
      <c r="J28" s="286"/>
      <c r="K28" s="284"/>
      <c r="L28" s="284"/>
      <c r="M28" s="284"/>
      <c r="N28" s="284"/>
      <c r="O28" s="284"/>
      <c r="P28" s="284"/>
      <c r="Q28" s="285"/>
      <c r="R28" s="254"/>
    </row>
    <row r="29" spans="1:18">
      <c r="A29" s="269"/>
      <c r="B29" s="269"/>
      <c r="C29" s="269"/>
      <c r="D29" s="269"/>
      <c r="E29" s="269"/>
      <c r="F29" s="269"/>
      <c r="G29" s="269"/>
      <c r="H29" s="269"/>
      <c r="I29" s="269"/>
      <c r="J29" s="263"/>
      <c r="K29" s="269"/>
      <c r="L29" s="269"/>
      <c r="M29" s="269"/>
      <c r="N29" s="269"/>
      <c r="O29" s="269"/>
      <c r="P29" s="269"/>
      <c r="Q29" s="269"/>
      <c r="R29" s="258"/>
    </row>
  </sheetData>
  <customSheetViews>
    <customSheetView guid="{B246B4D3-41B8-4237-8166-9970D120FD6A}" showPageBreaks="1" showGridLines="0" view="pageLayout">
      <selection activeCell="D12" sqref="D12:D17"/>
      <pageMargins left="0.31496062992125984" right="0.31496062992125984" top="1.1811023622047245" bottom="0.55118110236220474" header="0.11811023622047245" footer="0.31496062992125984"/>
      <printOptions horizontalCentered="1"/>
      <pageSetup fitToHeight="20" orientation="landscape" r:id="rId1"/>
      <headerFooter>
        <oddHeader>&amp;C&amp;G</oddHeader>
        <oddFooter>&amp;RPágina &amp;P</oddFooter>
      </headerFooter>
    </customSheetView>
    <customSheetView guid="{E8A818AD-FA16-40A1-9379-4072C183431C}" showPageBreaks="1" showGridLines="0" state="hidden" view="pageLayout">
      <selection activeCell="D12" sqref="D12:D17"/>
      <pageMargins left="0.31496062992125984" right="0.31496062992125984" top="1.1811023622047245" bottom="0.55118110236220474" header="0.11811023622047245" footer="0.31496062992125984"/>
      <printOptions horizontalCentered="1"/>
      <pageSetup fitToHeight="20" orientation="landscape" r:id="rId2"/>
      <headerFooter>
        <oddHeader>&amp;C&amp;G</oddHeader>
        <oddFooter>&amp;RPágina &amp;P</oddFooter>
      </headerFooter>
    </customSheetView>
  </customSheetViews>
  <mergeCells count="14">
    <mergeCell ref="D17:F17"/>
    <mergeCell ref="D18:F18"/>
    <mergeCell ref="D19:F19"/>
    <mergeCell ref="D12:F12"/>
    <mergeCell ref="D13:F13"/>
    <mergeCell ref="D14:F14"/>
    <mergeCell ref="D15:F15"/>
    <mergeCell ref="D16:F16"/>
    <mergeCell ref="E9:K9"/>
    <mergeCell ref="L9:N9"/>
    <mergeCell ref="D6:N6"/>
    <mergeCell ref="K11:N11"/>
    <mergeCell ref="L8:N8"/>
    <mergeCell ref="E8:K8"/>
  </mergeCells>
  <printOptions horizontalCentered="1"/>
  <pageMargins left="0.31496062992125984" right="0.31496062992125984" top="1.1811023622047245" bottom="0.55118110236220474" header="0.11811023622047245" footer="0.31496062992125984"/>
  <pageSetup fitToHeight="20" orientation="landscape" r:id="rId3"/>
  <headerFooter>
    <oddHeader>&amp;C&amp;G</oddHeader>
    <oddFooter>&amp;RPágina &amp;P</oddFooter>
  </headerFooter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view="pageLayout" zoomScaleNormal="100" zoomScaleSheetLayoutView="110" workbookViewId="0">
      <selection activeCell="R17" sqref="R17"/>
    </sheetView>
  </sheetViews>
  <sheetFormatPr baseColWidth="10" defaultColWidth="1.5703125" defaultRowHeight="15"/>
  <cols>
    <col min="1" max="1" width="2.140625" style="252" customWidth="1"/>
    <col min="2" max="2" width="1.7109375" style="252" customWidth="1"/>
    <col min="3" max="3" width="2.42578125" style="252" customWidth="1"/>
    <col min="4" max="4" width="18" style="252" customWidth="1"/>
    <col min="5" max="5" width="10.140625" style="252" customWidth="1"/>
    <col min="6" max="6" width="11.42578125" style="252" customWidth="1"/>
    <col min="7" max="7" width="9.7109375" style="252" customWidth="1"/>
    <col min="8" max="8" width="9.28515625" style="252" customWidth="1"/>
    <col min="9" max="9" width="10.140625" style="252" customWidth="1"/>
    <col min="10" max="10" width="10.7109375" style="253" customWidth="1"/>
    <col min="11" max="11" width="10.140625" style="252" customWidth="1"/>
    <col min="12" max="12" width="6.85546875" style="252" customWidth="1"/>
    <col min="13" max="13" width="10.140625" style="252" customWidth="1"/>
    <col min="14" max="14" width="7.7109375" style="252" customWidth="1"/>
    <col min="15" max="15" width="2.42578125" style="252" customWidth="1"/>
    <col min="16" max="17" width="1.7109375" style="252" customWidth="1"/>
    <col min="18" max="18" width="8.85546875" style="252" customWidth="1"/>
    <col min="19" max="19" width="10.5703125" style="252" customWidth="1"/>
    <col min="20" max="16384" width="1.5703125" style="252"/>
  </cols>
  <sheetData>
    <row r="1" spans="1:18" ht="5.85" customHeight="1" thickBot="1">
      <c r="A1" s="277"/>
      <c r="B1" s="278"/>
      <c r="C1" s="278"/>
      <c r="D1" s="278"/>
      <c r="E1" s="278"/>
      <c r="F1" s="278"/>
      <c r="G1" s="278"/>
      <c r="H1" s="278"/>
      <c r="I1" s="278"/>
      <c r="J1" s="287"/>
      <c r="K1" s="278"/>
      <c r="L1" s="278"/>
      <c r="M1" s="278"/>
      <c r="N1" s="278"/>
      <c r="O1" s="278"/>
      <c r="P1" s="278"/>
      <c r="Q1" s="279"/>
    </row>
    <row r="2" spans="1:18" ht="10.35" customHeight="1" thickTop="1">
      <c r="A2" s="280"/>
      <c r="B2" s="306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288"/>
      <c r="O2" s="288"/>
      <c r="P2" s="289"/>
      <c r="Q2" s="281"/>
    </row>
    <row r="3" spans="1:18" ht="14.1" customHeight="1">
      <c r="A3" s="280"/>
      <c r="B3" s="309"/>
      <c r="C3" s="94" t="s">
        <v>178</v>
      </c>
      <c r="D3" s="95"/>
      <c r="E3" s="95"/>
      <c r="F3" s="310"/>
      <c r="G3" s="310"/>
      <c r="H3" s="310"/>
      <c r="I3" s="310"/>
      <c r="J3" s="310"/>
      <c r="K3" s="310"/>
      <c r="L3" s="310"/>
      <c r="M3" s="310"/>
      <c r="N3" s="269"/>
      <c r="O3" s="269"/>
      <c r="P3" s="291"/>
      <c r="Q3" s="281"/>
    </row>
    <row r="4" spans="1:18" ht="5.85" customHeight="1" thickBot="1">
      <c r="A4" s="280"/>
      <c r="B4" s="309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269"/>
      <c r="O4" s="269"/>
      <c r="P4" s="291"/>
      <c r="Q4" s="281"/>
    </row>
    <row r="5" spans="1:18" ht="10.35" customHeight="1">
      <c r="A5" s="280"/>
      <c r="B5" s="309"/>
      <c r="C5" s="312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4"/>
      <c r="O5" s="315"/>
      <c r="P5" s="291"/>
      <c r="Q5" s="281"/>
    </row>
    <row r="6" spans="1:18" ht="14.1" customHeight="1">
      <c r="A6" s="280"/>
      <c r="B6" s="305"/>
      <c r="C6" s="316"/>
      <c r="D6" s="563" t="s">
        <v>177</v>
      </c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337"/>
      <c r="P6" s="291"/>
      <c r="Q6" s="281"/>
    </row>
    <row r="7" spans="1:18" ht="14.1" customHeight="1">
      <c r="A7" s="280"/>
      <c r="B7" s="290"/>
      <c r="C7" s="317"/>
      <c r="D7" s="268"/>
      <c r="E7" s="268"/>
      <c r="F7" s="268"/>
      <c r="G7" s="268"/>
      <c r="H7" s="268"/>
      <c r="I7" s="268"/>
      <c r="J7" s="255"/>
      <c r="K7" s="276" t="s">
        <v>179</v>
      </c>
      <c r="L7" s="267" t="s">
        <v>226</v>
      </c>
      <c r="M7" s="268"/>
      <c r="N7" s="269"/>
      <c r="O7" s="318"/>
      <c r="P7" s="291"/>
      <c r="Q7" s="281"/>
    </row>
    <row r="8" spans="1:18" ht="15" customHeight="1">
      <c r="A8" s="280"/>
      <c r="B8" s="308"/>
      <c r="C8" s="319"/>
      <c r="D8" s="342" t="s">
        <v>36</v>
      </c>
      <c r="E8" s="567" t="s">
        <v>3</v>
      </c>
      <c r="F8" s="567"/>
      <c r="G8" s="567"/>
      <c r="H8" s="567"/>
      <c r="I8" s="567"/>
      <c r="J8" s="567"/>
      <c r="K8" s="567"/>
      <c r="L8" s="567" t="s">
        <v>37</v>
      </c>
      <c r="M8" s="567"/>
      <c r="N8" s="567"/>
      <c r="O8" s="318"/>
      <c r="P8" s="291"/>
      <c r="Q8" s="281"/>
    </row>
    <row r="9" spans="1:18" ht="18.75" customHeight="1">
      <c r="A9" s="280"/>
      <c r="B9" s="308"/>
      <c r="C9" s="319"/>
      <c r="D9" s="341">
        <f>'PRESUPUESTO OFICIAL'!D14</f>
        <v>1.02</v>
      </c>
      <c r="E9" s="561" t="str">
        <f>'PRESUPUESTO OFICIAL'!G14</f>
        <v>Mejoramiento de la sub-rasante con adicion de materiales</v>
      </c>
      <c r="F9" s="561"/>
      <c r="G9" s="561"/>
      <c r="H9" s="561"/>
      <c r="I9" s="561"/>
      <c r="J9" s="561"/>
      <c r="K9" s="561"/>
      <c r="L9" s="562" t="str">
        <f>LOOKUP(D9,Item,Unidades)</f>
        <v>M2</v>
      </c>
      <c r="M9" s="562"/>
      <c r="N9" s="562"/>
      <c r="O9" s="320"/>
      <c r="P9" s="292"/>
      <c r="Q9" s="282"/>
    </row>
    <row r="10" spans="1:18" ht="6.95" customHeight="1">
      <c r="A10" s="280"/>
      <c r="B10" s="290"/>
      <c r="C10" s="317"/>
      <c r="D10" s="268"/>
      <c r="E10" s="268"/>
      <c r="F10" s="268"/>
      <c r="G10" s="268"/>
      <c r="H10" s="268"/>
      <c r="I10" s="268"/>
      <c r="J10" s="255"/>
      <c r="K10" s="268"/>
      <c r="L10" s="268"/>
      <c r="M10" s="268"/>
      <c r="N10" s="269"/>
      <c r="O10" s="318"/>
      <c r="P10" s="291"/>
      <c r="Q10" s="281"/>
    </row>
    <row r="11" spans="1:18" ht="24.75" customHeight="1">
      <c r="A11" s="280"/>
      <c r="B11" s="334"/>
      <c r="C11" s="271"/>
      <c r="D11" s="390" t="s">
        <v>170</v>
      </c>
      <c r="E11" s="391"/>
      <c r="F11" s="389"/>
      <c r="G11" s="389" t="s">
        <v>171</v>
      </c>
      <c r="H11" s="338" t="s">
        <v>172</v>
      </c>
      <c r="I11" s="399" t="s">
        <v>236</v>
      </c>
      <c r="J11" s="333" t="s">
        <v>173</v>
      </c>
      <c r="K11" s="564" t="s">
        <v>174</v>
      </c>
      <c r="L11" s="565"/>
      <c r="M11" s="565"/>
      <c r="N11" s="566"/>
      <c r="O11" s="321"/>
      <c r="P11" s="299"/>
      <c r="Q11" s="298"/>
    </row>
    <row r="12" spans="1:18" ht="14.1" customHeight="1">
      <c r="A12" s="280"/>
      <c r="B12" s="335"/>
      <c r="C12" s="273"/>
      <c r="D12" s="574" t="s">
        <v>239</v>
      </c>
      <c r="E12" s="574"/>
      <c r="F12" s="574"/>
      <c r="G12" s="387">
        <v>7326.7</v>
      </c>
      <c r="H12" s="340">
        <v>5</v>
      </c>
      <c r="I12" s="340">
        <f>G12*H12</f>
        <v>36633.5</v>
      </c>
      <c r="J12" s="339">
        <f>I12</f>
        <v>36633.5</v>
      </c>
      <c r="K12" s="344"/>
      <c r="L12" s="345"/>
      <c r="M12" s="345"/>
      <c r="N12" s="262"/>
      <c r="O12" s="318"/>
      <c r="P12" s="291"/>
      <c r="Q12" s="281"/>
    </row>
    <row r="13" spans="1:18">
      <c r="A13" s="280"/>
      <c r="B13" s="311"/>
      <c r="C13" s="317"/>
      <c r="D13" s="571" t="s">
        <v>241</v>
      </c>
      <c r="E13" s="572"/>
      <c r="F13" s="573"/>
      <c r="G13" s="403">
        <v>3187.6336027176453</v>
      </c>
      <c r="H13" s="340">
        <v>5</v>
      </c>
      <c r="I13" s="340">
        <f>G13*H13</f>
        <v>15938.168013588227</v>
      </c>
      <c r="J13" s="339">
        <f>I13</f>
        <v>15938.168013588227</v>
      </c>
      <c r="K13" s="346"/>
      <c r="L13" s="268"/>
      <c r="M13" s="268"/>
      <c r="N13" s="264"/>
      <c r="O13" s="318"/>
      <c r="P13" s="291"/>
      <c r="Q13" s="281"/>
      <c r="R13" s="254"/>
    </row>
    <row r="14" spans="1:18">
      <c r="A14" s="280"/>
      <c r="B14" s="290"/>
      <c r="C14" s="317"/>
      <c r="D14" s="347"/>
      <c r="E14" s="265"/>
      <c r="F14" s="265"/>
      <c r="G14" s="257"/>
      <c r="H14" s="257"/>
      <c r="I14" s="257"/>
      <c r="J14" s="348">
        <f>SUM(J12:J13)</f>
        <v>52571.668013588227</v>
      </c>
      <c r="K14" s="347"/>
      <c r="L14" s="265"/>
      <c r="M14" s="265"/>
      <c r="N14" s="266"/>
      <c r="O14" s="318"/>
      <c r="P14" s="291"/>
      <c r="Q14" s="281"/>
      <c r="R14" s="254"/>
    </row>
    <row r="15" spans="1:18" ht="15" customHeight="1">
      <c r="A15" s="280"/>
      <c r="B15" s="300"/>
      <c r="C15" s="323"/>
      <c r="D15" s="390" t="s">
        <v>175</v>
      </c>
      <c r="E15" s="351"/>
      <c r="F15" s="351"/>
      <c r="G15" s="351"/>
      <c r="H15" s="351"/>
      <c r="I15" s="351"/>
      <c r="J15" s="351"/>
      <c r="K15" s="351"/>
      <c r="L15" s="351"/>
      <c r="M15" s="351"/>
      <c r="N15" s="266"/>
      <c r="O15" s="318"/>
      <c r="P15" s="291"/>
      <c r="Q15" s="281"/>
      <c r="R15" s="254"/>
    </row>
    <row r="16" spans="1:18">
      <c r="A16" s="280"/>
      <c r="B16" s="301"/>
      <c r="C16" s="319"/>
      <c r="D16" s="272"/>
      <c r="E16" s="272"/>
      <c r="F16" s="272"/>
      <c r="G16" s="272"/>
      <c r="H16" s="272"/>
      <c r="I16" s="272"/>
      <c r="J16" s="260"/>
      <c r="K16" s="272"/>
      <c r="L16" s="272"/>
      <c r="M16" s="270"/>
      <c r="N16" s="269"/>
      <c r="O16" s="318"/>
      <c r="P16" s="291"/>
      <c r="Q16" s="281"/>
      <c r="R16" s="254"/>
    </row>
    <row r="17" spans="1:18">
      <c r="A17" s="280"/>
      <c r="B17" s="301"/>
      <c r="C17" s="319"/>
      <c r="D17" s="381" t="s">
        <v>225</v>
      </c>
      <c r="E17" s="272"/>
      <c r="F17" s="272"/>
      <c r="G17" s="272"/>
      <c r="H17" s="272"/>
      <c r="I17" s="272"/>
      <c r="J17" s="260"/>
      <c r="K17" s="272"/>
      <c r="L17" s="272"/>
      <c r="M17" s="270"/>
      <c r="N17" s="269"/>
      <c r="O17" s="318"/>
      <c r="P17" s="291"/>
      <c r="Q17" s="281"/>
      <c r="R17" s="254"/>
    </row>
    <row r="18" spans="1:18">
      <c r="A18" s="280"/>
      <c r="B18" s="301"/>
      <c r="C18" s="319"/>
      <c r="D18" s="380" t="s">
        <v>220</v>
      </c>
      <c r="E18" s="272"/>
      <c r="F18" s="272"/>
      <c r="G18" s="272"/>
      <c r="H18" s="272"/>
      <c r="I18" s="272"/>
      <c r="J18" s="260"/>
      <c r="K18" s="272"/>
      <c r="L18" s="272"/>
      <c r="M18" s="270"/>
      <c r="N18" s="269"/>
      <c r="O18" s="318"/>
      <c r="P18" s="291"/>
      <c r="Q18" s="281"/>
      <c r="R18" s="254"/>
    </row>
    <row r="19" spans="1:18" ht="10.35" customHeight="1" thickBot="1">
      <c r="A19" s="280"/>
      <c r="B19" s="290"/>
      <c r="C19" s="324"/>
      <c r="D19" s="325"/>
      <c r="E19" s="326"/>
      <c r="F19" s="327"/>
      <c r="G19" s="328"/>
      <c r="H19" s="325"/>
      <c r="I19" s="325"/>
      <c r="J19" s="330"/>
      <c r="K19" s="325"/>
      <c r="L19" s="325"/>
      <c r="M19" s="329"/>
      <c r="N19" s="331"/>
      <c r="O19" s="332"/>
      <c r="P19" s="291"/>
      <c r="Q19" s="281"/>
      <c r="R19" s="254"/>
    </row>
    <row r="20" spans="1:18" ht="6.95" customHeight="1" thickBot="1">
      <c r="A20" s="280"/>
      <c r="B20" s="296"/>
      <c r="C20" s="297"/>
      <c r="D20" s="302"/>
      <c r="E20" s="302"/>
      <c r="F20" s="302"/>
      <c r="G20" s="302"/>
      <c r="H20" s="303"/>
      <c r="I20" s="297"/>
      <c r="J20" s="304"/>
      <c r="K20" s="303"/>
      <c r="L20" s="297"/>
      <c r="M20" s="297"/>
      <c r="N20" s="294"/>
      <c r="O20" s="294"/>
      <c r="P20" s="295"/>
      <c r="Q20" s="281"/>
      <c r="R20" s="254"/>
    </row>
    <row r="21" spans="1:18" ht="5.85" customHeight="1" thickTop="1">
      <c r="A21" s="283"/>
      <c r="B21" s="284"/>
      <c r="C21" s="284"/>
      <c r="D21" s="284"/>
      <c r="E21" s="284"/>
      <c r="F21" s="284"/>
      <c r="G21" s="284"/>
      <c r="H21" s="284"/>
      <c r="I21" s="284"/>
      <c r="J21" s="286"/>
      <c r="K21" s="284"/>
      <c r="L21" s="284"/>
      <c r="M21" s="284"/>
      <c r="N21" s="284"/>
      <c r="O21" s="284"/>
      <c r="P21" s="284"/>
      <c r="Q21" s="285"/>
      <c r="R21" s="254"/>
    </row>
    <row r="22" spans="1:18">
      <c r="A22" s="269"/>
      <c r="B22" s="269"/>
      <c r="C22" s="269"/>
      <c r="D22" s="269"/>
      <c r="E22" s="269"/>
      <c r="F22" s="269"/>
      <c r="G22" s="269"/>
      <c r="H22" s="269"/>
      <c r="I22" s="269"/>
      <c r="J22" s="263"/>
      <c r="K22" s="269"/>
      <c r="L22" s="269"/>
      <c r="M22" s="269"/>
      <c r="N22" s="269"/>
      <c r="O22" s="269"/>
      <c r="P22" s="269"/>
      <c r="Q22" s="269"/>
      <c r="R22" s="258"/>
    </row>
  </sheetData>
  <mergeCells count="8">
    <mergeCell ref="D13:F13"/>
    <mergeCell ref="D12:F12"/>
    <mergeCell ref="D6:N6"/>
    <mergeCell ref="E8:K8"/>
    <mergeCell ref="L8:N8"/>
    <mergeCell ref="E9:K9"/>
    <mergeCell ref="L9:N9"/>
    <mergeCell ref="K11:N11"/>
  </mergeCells>
  <printOptions horizontalCentered="1"/>
  <pageMargins left="0.31496062992125984" right="0.31496062992125984" top="1.1811023622047245" bottom="0.55118110236220474" header="0.11811023622047245" footer="0.31496062992125984"/>
  <pageSetup fitToHeight="20" orientation="landscape" r:id="rId1"/>
  <headerFooter>
    <oddHeader>&amp;C&amp;G</oddHeader>
    <oddFooter>&amp;RPágina &amp;P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9d85dbaf-23eb-4e57-a637-93dcacc8b1a1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32977B-EBE5-4DBC-87D0-C52254B3C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PRESUPUESTO OFICIAL</vt:lpstr>
      <vt:lpstr>MO2021</vt:lpstr>
      <vt:lpstr>Básicos</vt:lpstr>
      <vt:lpstr>1.01</vt:lpstr>
      <vt:lpstr>1.02</vt:lpstr>
      <vt:lpstr>M1.01</vt:lpstr>
      <vt:lpstr>Hoja1</vt:lpstr>
      <vt:lpstr>M1.02</vt:lpstr>
      <vt:lpstr>Actividades</vt:lpstr>
      <vt:lpstr>'PRESUPUESTO OFICIAL'!Área_de_impresión</vt:lpstr>
      <vt:lpstr>cantidades</vt:lpstr>
      <vt:lpstr>Item</vt:lpstr>
      <vt:lpstr>Unidades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MEMORIAS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2021-05-13T21:35:13Z</cp:lastPrinted>
  <dcterms:created xsi:type="dcterms:W3CDTF">2006-06-27T16:47:25Z</dcterms:created>
  <dcterms:modified xsi:type="dcterms:W3CDTF">2021-05-14T17:49:18Z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