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ROSA ELISA GOMEZ TORO\ROSA ELISA GOMEZ TORO\d\CONTRATOS VIGENCIA 2018 SECOP II\18001064_H4_Manto Obras Complementarias Cimitarra\"/>
    </mc:Choice>
  </mc:AlternateContent>
  <bookViews>
    <workbookView xWindow="0" yWindow="0" windowWidth="20730" windowHeight="8145" tabRatio="896" firstSheet="10" activeTab="10"/>
  </bookViews>
  <sheets>
    <sheet name="Estudiodemercado DEF" sheetId="41" state="hidden" r:id="rId1"/>
    <sheet name="EstudiodemercadoTotaldef" sheetId="45" state="hidden" r:id="rId2"/>
    <sheet name="Estudiodemercado Roceria" sheetId="42" state="hidden" r:id="rId3"/>
    <sheet name="EstudiodemercadoRoceria1ronda" sheetId="43" state="hidden" r:id="rId4"/>
    <sheet name="EstudiodemercadoRoceria1rondef" sheetId="44" state="hidden" r:id="rId5"/>
    <sheet name="Estudiodemercadodef" sheetId="46" state="hidden" r:id="rId6"/>
    <sheet name="Estudiodemercadodef (2)" sheetId="48" state="hidden" r:id="rId7"/>
    <sheet name="AM,OT,BE,CI,RG" sheetId="49" state="hidden" r:id="rId8"/>
    <sheet name="PPTO AM,OT,BE,CI,RG" sheetId="51" state="hidden" r:id="rId9"/>
    <sheet name="CN,ML,CO,NU,UR" sheetId="50" state="hidden" r:id="rId10"/>
    <sheet name="APU 1 " sheetId="55" r:id="rId11"/>
    <sheet name="FORMATO 7 CN,ML,CO,NU,UR (2)" sheetId="53" state="hidden" r:id="rId12"/>
    <sheet name="FORMATO 7 AM,OT,BE,CI,RG (2)" sheetId="54" state="hidden" r:id="rId13"/>
  </sheets>
  <definedNames>
    <definedName name="_xlnm.Print_Area" localSheetId="7">'AM,OT,BE,CI,RG'!$A$1:$M$24</definedName>
    <definedName name="_xlnm.Print_Area" localSheetId="10">'APU 1 '!$C$1:$J$50</definedName>
    <definedName name="_xlnm.Print_Area" localSheetId="9">'CN,ML,CO,NU,UR'!$A$1:$M$6</definedName>
    <definedName name="_xlnm.Print_Area" localSheetId="0">'Estudiodemercado DEF'!$A$1:$AS$155</definedName>
    <definedName name="_xlnm.Print_Area" localSheetId="2">'Estudiodemercado Roceria'!$A$1:$AM$22</definedName>
    <definedName name="_xlnm.Print_Area" localSheetId="5">Estudiodemercadodef!$A$1:$M$25</definedName>
    <definedName name="_xlnm.Print_Area" localSheetId="6">'Estudiodemercadodef (2)'!$A$1:$M$25</definedName>
    <definedName name="_xlnm.Print_Area" localSheetId="3">EstudiodemercadoRoceria1ronda!$A$1:$M$9</definedName>
    <definedName name="_xlnm.Print_Area" localSheetId="4">EstudiodemercadoRoceria1rondef!$A$1:$M$9</definedName>
    <definedName name="_xlnm.Print_Area" localSheetId="1">EstudiodemercadoTotaldef!$A$1:$M$25</definedName>
    <definedName name="_xlnm.Print_Area" localSheetId="12">'FORMATO 7 AM,OT,BE,CI,RG (2)'!$A$1:$G$59</definedName>
    <definedName name="_xlnm.Print_Area" localSheetId="11">'FORMATO 7 CN,ML,CO,NU,UR (2)'!$A$1:$G$66</definedName>
    <definedName name="_xlnm.Print_Area" localSheetId="8">'PPTO AM,OT,BE,CI,RG'!$A$1:$G$59</definedName>
    <definedName name="_xlnm.Print_Area">#N/A</definedName>
    <definedName name="inf" localSheetId="7">#REF!</definedName>
    <definedName name="inf" localSheetId="9">#REF!</definedName>
    <definedName name="inf" localSheetId="0">#REF!</definedName>
    <definedName name="inf" localSheetId="2">#REF!</definedName>
    <definedName name="inf" localSheetId="5">#REF!</definedName>
    <definedName name="inf" localSheetId="6">#REF!</definedName>
    <definedName name="inf" localSheetId="3">#REF!</definedName>
    <definedName name="inf" localSheetId="4">#REF!</definedName>
    <definedName name="inf" localSheetId="1">#REF!</definedName>
    <definedName name="inf" localSheetId="12">#REF!</definedName>
    <definedName name="inf" localSheetId="11">#REF!</definedName>
    <definedName name="inf" localSheetId="8">#REF!</definedName>
    <definedName name="inf">#REF!</definedName>
    <definedName name="Print_Area_MI" localSheetId="7">#REF!</definedName>
    <definedName name="Print_Area_MI" localSheetId="9">#REF!</definedName>
    <definedName name="Print_Area_MI" localSheetId="0">#REF!</definedName>
    <definedName name="Print_Area_MI" localSheetId="2">#REF!</definedName>
    <definedName name="Print_Area_MI" localSheetId="5">#REF!</definedName>
    <definedName name="Print_Area_MI" localSheetId="6">#REF!</definedName>
    <definedName name="Print_Area_MI" localSheetId="3">#REF!</definedName>
    <definedName name="Print_Area_MI" localSheetId="4">#REF!</definedName>
    <definedName name="Print_Area_MI" localSheetId="1">#REF!</definedName>
    <definedName name="Print_Area_MI" localSheetId="12">#REF!</definedName>
    <definedName name="Print_Area_MI" localSheetId="11">#REF!</definedName>
    <definedName name="Print_Area_MI" localSheetId="8">#REF!</definedName>
    <definedName name="Print_Area_MI">#REF!</definedName>
    <definedName name="Print_Titles_MI" localSheetId="7">#REF!</definedName>
    <definedName name="Print_Titles_MI" localSheetId="9">#REF!</definedName>
    <definedName name="Print_Titles_MI" localSheetId="0">#REF!</definedName>
    <definedName name="Print_Titles_MI" localSheetId="2">#REF!</definedName>
    <definedName name="Print_Titles_MI" localSheetId="5">#REF!</definedName>
    <definedName name="Print_Titles_MI" localSheetId="6">#REF!</definedName>
    <definedName name="Print_Titles_MI" localSheetId="3">#REF!</definedName>
    <definedName name="Print_Titles_MI" localSheetId="4">#REF!</definedName>
    <definedName name="Print_Titles_MI" localSheetId="1">#REF!</definedName>
    <definedName name="Print_Titles_MI" localSheetId="12">#REF!</definedName>
    <definedName name="Print_Titles_MI" localSheetId="11">#REF!</definedName>
    <definedName name="Print_Titles_MI" localSheetId="8">#REF!</definedName>
    <definedName name="Print_Titles_MI">#REF!</definedName>
    <definedName name="_xlnm.Print_Titles" localSheetId="7">'AM,OT,BE,CI,RG'!$1:$4</definedName>
    <definedName name="_xlnm.Print_Titles" localSheetId="9">'CN,ML,CO,NU,UR'!$1:$4</definedName>
    <definedName name="_xlnm.Print_Titles" localSheetId="0">'Estudiodemercado DEF'!$A:$E</definedName>
    <definedName name="_xlnm.Print_Titles" localSheetId="2">'Estudiodemercado Roceria'!$1:$4</definedName>
    <definedName name="_xlnm.Print_Titles" localSheetId="5">Estudiodemercadodef!$1:$4</definedName>
    <definedName name="_xlnm.Print_Titles" localSheetId="6">'Estudiodemercadodef (2)'!$1:$4</definedName>
    <definedName name="_xlnm.Print_Titles" localSheetId="3">EstudiodemercadoRoceria1ronda!$1:$4</definedName>
    <definedName name="_xlnm.Print_Titles" localSheetId="4">EstudiodemercadoRoceria1rondef!$1:$4</definedName>
    <definedName name="_xlnm.Print_Titles" localSheetId="1">EstudiodemercadoTotaldef!$1:$4</definedName>
    <definedName name="_xlnm.Print_Titles" localSheetId="8">'PPTO AM,OT,BE,CI,RG'!$1:$4</definedName>
  </definedNames>
  <calcPr calcId="152511"/>
</workbook>
</file>

<file path=xl/calcChain.xml><?xml version="1.0" encoding="utf-8"?>
<calcChain xmlns="http://schemas.openxmlformats.org/spreadsheetml/2006/main">
  <c r="I32" i="55" l="1"/>
  <c r="G46" i="54"/>
  <c r="G45" i="54"/>
  <c r="G44" i="54"/>
  <c r="G43" i="54"/>
  <c r="G38" i="54"/>
  <c r="G37" i="54"/>
  <c r="G36" i="54"/>
  <c r="G35" i="54"/>
  <c r="G34" i="54"/>
  <c r="B34" i="54"/>
  <c r="G29" i="54"/>
  <c r="G28" i="54"/>
  <c r="G27" i="54"/>
  <c r="G26" i="54"/>
  <c r="G25" i="54"/>
  <c r="B25" i="54"/>
  <c r="G20" i="54"/>
  <c r="D19" i="54"/>
  <c r="G19" i="54" s="1"/>
  <c r="G18" i="54"/>
  <c r="G17" i="54"/>
  <c r="G16" i="54"/>
  <c r="G15" i="54"/>
  <c r="G14" i="54"/>
  <c r="G9" i="54"/>
  <c r="G8" i="54"/>
  <c r="G7" i="54"/>
  <c r="G6" i="54"/>
  <c r="F68" i="53"/>
  <c r="G52" i="53"/>
  <c r="D51" i="53"/>
  <c r="G51" i="53" s="1"/>
  <c r="G50" i="53"/>
  <c r="G49" i="53"/>
  <c r="G48" i="53"/>
  <c r="G47" i="53"/>
  <c r="G42" i="53"/>
  <c r="D41" i="53"/>
  <c r="G41" i="53"/>
  <c r="G40" i="53"/>
  <c r="G39" i="53"/>
  <c r="G38" i="53"/>
  <c r="G37" i="53"/>
  <c r="G36" i="53"/>
  <c r="B36" i="53"/>
  <c r="G31" i="53"/>
  <c r="D30" i="53"/>
  <c r="G30" i="53" s="1"/>
  <c r="G29" i="53"/>
  <c r="G28" i="53"/>
  <c r="G27" i="53"/>
  <c r="G26" i="53"/>
  <c r="G25" i="53"/>
  <c r="G24" i="53"/>
  <c r="B24" i="53"/>
  <c r="D19" i="53"/>
  <c r="G19" i="53" s="1"/>
  <c r="G18" i="53"/>
  <c r="G17" i="53"/>
  <c r="G16" i="53"/>
  <c r="G15" i="53"/>
  <c r="B15" i="53"/>
  <c r="G11" i="53"/>
  <c r="G6" i="53"/>
  <c r="B6" i="53"/>
  <c r="D19" i="50"/>
  <c r="D19" i="51"/>
  <c r="G19" i="51" s="1"/>
  <c r="G18" i="51"/>
  <c r="G6" i="51"/>
  <c r="D19" i="49"/>
  <c r="H67" i="49"/>
  <c r="J67" i="49"/>
  <c r="D51" i="50"/>
  <c r="O60" i="50"/>
  <c r="B25" i="45"/>
  <c r="B34" i="45"/>
  <c r="B43" i="45"/>
  <c r="B52" i="45"/>
  <c r="B61" i="45"/>
  <c r="B81" i="45"/>
  <c r="AL133" i="41"/>
  <c r="AL117" i="41"/>
  <c r="AJ104" i="41"/>
  <c r="AL87" i="41"/>
  <c r="AJ73" i="41"/>
  <c r="AJ60" i="41"/>
  <c r="AJ45" i="41"/>
  <c r="AL31" i="41"/>
  <c r="G7" i="51"/>
  <c r="G8" i="51"/>
  <c r="G9" i="51"/>
  <c r="G15" i="51"/>
  <c r="G16" i="51"/>
  <c r="G17" i="51"/>
  <c r="G20" i="51"/>
  <c r="D30" i="50"/>
  <c r="D41" i="50"/>
  <c r="G43" i="51"/>
  <c r="G34" i="51"/>
  <c r="B34" i="51"/>
  <c r="G25" i="51"/>
  <c r="B25" i="51"/>
  <c r="G14" i="51"/>
  <c r="AC19" i="41"/>
  <c r="H69" i="50"/>
  <c r="J69" i="50"/>
  <c r="L69" i="50"/>
  <c r="U126" i="41"/>
  <c r="S126" i="41"/>
  <c r="S97" i="41"/>
  <c r="U5" i="41"/>
  <c r="U8" i="41"/>
  <c r="Q126" i="41"/>
  <c r="K137" i="41"/>
  <c r="K138" i="41"/>
  <c r="K139" i="41"/>
  <c r="K141" i="41"/>
  <c r="K122" i="41"/>
  <c r="K123" i="41"/>
  <c r="K124" i="41"/>
  <c r="K126" i="41"/>
  <c r="K121" i="41"/>
  <c r="K110" i="41"/>
  <c r="K91" i="41"/>
  <c r="K92" i="41"/>
  <c r="K93" i="41"/>
  <c r="K94" i="41"/>
  <c r="K95" i="41"/>
  <c r="K97" i="41"/>
  <c r="K78" i="41"/>
  <c r="K79" i="41"/>
  <c r="K80" i="41"/>
  <c r="K77" i="41"/>
  <c r="K82" i="41" s="1"/>
  <c r="K83" i="41" s="1"/>
  <c r="K65" i="41"/>
  <c r="K66" i="41"/>
  <c r="K67" i="41"/>
  <c r="K64" i="41"/>
  <c r="K69" i="41" s="1"/>
  <c r="K51" i="41"/>
  <c r="K50" i="41"/>
  <c r="K49" i="41"/>
  <c r="K35" i="41"/>
  <c r="K40" i="41" s="1"/>
  <c r="K36" i="41"/>
  <c r="K37" i="41"/>
  <c r="K38" i="41"/>
  <c r="K22" i="41"/>
  <c r="K20" i="41"/>
  <c r="K19" i="41"/>
  <c r="K18" i="41"/>
  <c r="K17" i="41"/>
  <c r="K6" i="41"/>
  <c r="K7" i="41"/>
  <c r="K8" i="41"/>
  <c r="K5" i="41"/>
  <c r="K10" i="41" s="1"/>
  <c r="I141" i="41"/>
  <c r="D140" i="41"/>
  <c r="U140" i="41" s="1"/>
  <c r="I139" i="41"/>
  <c r="I138" i="41"/>
  <c r="I137" i="41"/>
  <c r="I121" i="41"/>
  <c r="I122" i="41"/>
  <c r="I123" i="41"/>
  <c r="I124" i="41"/>
  <c r="D125" i="41"/>
  <c r="U125" i="41"/>
  <c r="I126" i="41"/>
  <c r="I91" i="41"/>
  <c r="I92" i="41"/>
  <c r="I93" i="41"/>
  <c r="I94" i="41"/>
  <c r="I95" i="41"/>
  <c r="D96" i="41"/>
  <c r="O96" i="41"/>
  <c r="I97" i="41"/>
  <c r="D108" i="41"/>
  <c r="K108" i="41" s="1"/>
  <c r="D109" i="41"/>
  <c r="U109" i="41" s="1"/>
  <c r="I110" i="41"/>
  <c r="I80" i="41"/>
  <c r="I82" i="41" s="1"/>
  <c r="I79" i="41"/>
  <c r="I78" i="41"/>
  <c r="I77" i="41"/>
  <c r="I67" i="41"/>
  <c r="I66" i="41"/>
  <c r="I65" i="41"/>
  <c r="I64" i="41"/>
  <c r="I49" i="41"/>
  <c r="I50" i="41"/>
  <c r="I51" i="41"/>
  <c r="D52" i="41"/>
  <c r="S52" i="41"/>
  <c r="I36" i="41"/>
  <c r="I37" i="41"/>
  <c r="I38" i="41"/>
  <c r="I35" i="41"/>
  <c r="I40" i="41" s="1"/>
  <c r="I20" i="41"/>
  <c r="I17" i="41"/>
  <c r="I18" i="41"/>
  <c r="I19" i="41"/>
  <c r="D21" i="41"/>
  <c r="U21" i="41" s="1"/>
  <c r="I22" i="41"/>
  <c r="I6" i="41"/>
  <c r="I7" i="41"/>
  <c r="I8" i="41"/>
  <c r="I5" i="41"/>
  <c r="G137" i="41"/>
  <c r="G138" i="41"/>
  <c r="G139" i="41"/>
  <c r="G141" i="41"/>
  <c r="G121" i="41"/>
  <c r="G122" i="41"/>
  <c r="G123" i="41"/>
  <c r="G124" i="41"/>
  <c r="G126" i="41"/>
  <c r="G110" i="41"/>
  <c r="G91" i="41"/>
  <c r="G92" i="41"/>
  <c r="G93" i="41"/>
  <c r="G94" i="41"/>
  <c r="G95" i="41"/>
  <c r="G97" i="41"/>
  <c r="G77" i="41"/>
  <c r="G78" i="41"/>
  <c r="G79" i="41"/>
  <c r="G80" i="41"/>
  <c r="G64" i="41"/>
  <c r="G65" i="41"/>
  <c r="G66" i="41"/>
  <c r="G67" i="41"/>
  <c r="G49" i="41"/>
  <c r="G50" i="41"/>
  <c r="G51" i="41"/>
  <c r="G17" i="41"/>
  <c r="G18" i="41"/>
  <c r="G19" i="41"/>
  <c r="G20" i="41"/>
  <c r="G22" i="41"/>
  <c r="G35" i="41"/>
  <c r="G36" i="41"/>
  <c r="G37" i="41"/>
  <c r="G38" i="41"/>
  <c r="G5" i="41"/>
  <c r="G6" i="41"/>
  <c r="G10" i="41" s="1"/>
  <c r="G7" i="41"/>
  <c r="G8" i="41"/>
  <c r="S5" i="41"/>
  <c r="AJ137" i="41"/>
  <c r="AK137" i="41" s="1"/>
  <c r="L60" i="49"/>
  <c r="L62" i="49" s="1"/>
  <c r="L67" i="49" s="1"/>
  <c r="AD109" i="41"/>
  <c r="AF109" i="41"/>
  <c r="AH109" i="41"/>
  <c r="AD110" i="41"/>
  <c r="AE110" i="41" s="1"/>
  <c r="AF110" i="41"/>
  <c r="AG110" i="41" s="1"/>
  <c r="AH110" i="41"/>
  <c r="AI110" i="41" s="1"/>
  <c r="AD108" i="41"/>
  <c r="AF108" i="41"/>
  <c r="AH108" i="41"/>
  <c r="M44" i="49"/>
  <c r="K44" i="49"/>
  <c r="I44" i="49"/>
  <c r="G44" i="49"/>
  <c r="I57" i="50"/>
  <c r="G57" i="50"/>
  <c r="V141" i="41"/>
  <c r="W141" i="41" s="1"/>
  <c r="X141" i="41"/>
  <c r="Y141" i="41"/>
  <c r="Z141" i="41"/>
  <c r="AA141" i="41" s="1"/>
  <c r="AB141" i="41"/>
  <c r="AC141" i="41" s="1"/>
  <c r="AD141" i="41"/>
  <c r="AE141" i="41" s="1"/>
  <c r="AF141" i="41"/>
  <c r="AG141" i="41" s="1"/>
  <c r="AH141" i="41"/>
  <c r="AI141" i="41" s="1"/>
  <c r="AJ141" i="41"/>
  <c r="AK141" i="41" s="1"/>
  <c r="AF140" i="41"/>
  <c r="AH140" i="41"/>
  <c r="AJ140" i="41"/>
  <c r="X139" i="41"/>
  <c r="Y139" i="41" s="1"/>
  <c r="AF139" i="41"/>
  <c r="AG139" i="41" s="1"/>
  <c r="AH139" i="41"/>
  <c r="AI139" i="41" s="1"/>
  <c r="AJ139" i="41"/>
  <c r="AK139" i="41"/>
  <c r="V138" i="41"/>
  <c r="W138" i="41" s="1"/>
  <c r="X138" i="41"/>
  <c r="Y138" i="41" s="1"/>
  <c r="Z138" i="41"/>
  <c r="AA138" i="41"/>
  <c r="AB138" i="41"/>
  <c r="AC138" i="41" s="1"/>
  <c r="AD138" i="41"/>
  <c r="AE138" i="41" s="1"/>
  <c r="AF138" i="41"/>
  <c r="AG138" i="41" s="1"/>
  <c r="AH138" i="41"/>
  <c r="AI138" i="41"/>
  <c r="AJ138" i="41"/>
  <c r="AK138" i="41" s="1"/>
  <c r="V137" i="41"/>
  <c r="X137" i="41"/>
  <c r="Y137" i="41" s="1"/>
  <c r="Z137" i="41"/>
  <c r="AB137" i="41"/>
  <c r="AC137" i="41" s="1"/>
  <c r="AD137" i="41"/>
  <c r="AE137" i="41"/>
  <c r="AF137" i="41"/>
  <c r="AG137" i="41" s="1"/>
  <c r="AH137" i="41"/>
  <c r="AI137" i="41" s="1"/>
  <c r="M47" i="50"/>
  <c r="K47" i="50"/>
  <c r="I47" i="50"/>
  <c r="G47" i="50"/>
  <c r="X126" i="41"/>
  <c r="Y126" i="41" s="1"/>
  <c r="AB126" i="41"/>
  <c r="AC126" i="41"/>
  <c r="AD126" i="41"/>
  <c r="AE126" i="41" s="1"/>
  <c r="AF126" i="41"/>
  <c r="AG126" i="41" s="1"/>
  <c r="AH126" i="41"/>
  <c r="AI126" i="41" s="1"/>
  <c r="AJ126" i="41"/>
  <c r="AK126" i="41" s="1"/>
  <c r="AF125" i="41"/>
  <c r="AH125" i="41"/>
  <c r="V124" i="41"/>
  <c r="W124" i="41" s="1"/>
  <c r="X124" i="41"/>
  <c r="Y124" i="41" s="1"/>
  <c r="AD124" i="41"/>
  <c r="AE124" i="41" s="1"/>
  <c r="AF124" i="41"/>
  <c r="AG124" i="41" s="1"/>
  <c r="AH124" i="41"/>
  <c r="AI124" i="41"/>
  <c r="AJ124" i="41"/>
  <c r="AK124" i="41" s="1"/>
  <c r="V123" i="41"/>
  <c r="X123" i="41"/>
  <c r="Y123" i="41" s="1"/>
  <c r="Z123" i="41"/>
  <c r="AA123" i="41"/>
  <c r="AB123" i="41"/>
  <c r="AC123" i="41" s="1"/>
  <c r="AD123" i="41"/>
  <c r="AE123" i="41" s="1"/>
  <c r="AF123" i="41"/>
  <c r="AG123" i="41" s="1"/>
  <c r="AH123" i="41"/>
  <c r="AI123" i="41"/>
  <c r="AJ123" i="41"/>
  <c r="AK123" i="41" s="1"/>
  <c r="V122" i="41"/>
  <c r="W122" i="41" s="1"/>
  <c r="X122" i="41"/>
  <c r="Y122" i="41" s="1"/>
  <c r="Z122" i="41"/>
  <c r="AA122" i="41" s="1"/>
  <c r="AB122" i="41"/>
  <c r="AC122" i="41" s="1"/>
  <c r="AD122" i="41"/>
  <c r="AE122" i="41" s="1"/>
  <c r="AF122" i="41"/>
  <c r="AG122" i="41" s="1"/>
  <c r="AH122" i="41"/>
  <c r="AI122" i="41"/>
  <c r="AJ122" i="41"/>
  <c r="AK122" i="41" s="1"/>
  <c r="V121" i="41"/>
  <c r="X121" i="41"/>
  <c r="Z121" i="41"/>
  <c r="AB121" i="41"/>
  <c r="AC121" i="41" s="1"/>
  <c r="AD121" i="41"/>
  <c r="AE121" i="41" s="1"/>
  <c r="AF121" i="41"/>
  <c r="AG121" i="41"/>
  <c r="AH121" i="41"/>
  <c r="AI121" i="41" s="1"/>
  <c r="AJ121" i="41"/>
  <c r="AK121" i="41" s="1"/>
  <c r="M36" i="50"/>
  <c r="K36" i="50"/>
  <c r="I36" i="50"/>
  <c r="G36" i="50"/>
  <c r="B36" i="50"/>
  <c r="X97" i="41"/>
  <c r="Y97" i="41" s="1"/>
  <c r="Z97" i="41"/>
  <c r="AA97" i="41" s="1"/>
  <c r="AF97" i="41"/>
  <c r="AH97" i="41"/>
  <c r="AI97" i="41" s="1"/>
  <c r="AJ97" i="41"/>
  <c r="AK97" i="41" s="1"/>
  <c r="AF96" i="41"/>
  <c r="AL96" i="41" s="1"/>
  <c r="AH96" i="41"/>
  <c r="AJ96" i="41"/>
  <c r="V95" i="41"/>
  <c r="W95" i="41"/>
  <c r="X95" i="41"/>
  <c r="Y95" i="41" s="1"/>
  <c r="Z95" i="41"/>
  <c r="AA95" i="41"/>
  <c r="AB95" i="41"/>
  <c r="AC95" i="41" s="1"/>
  <c r="AF95" i="41"/>
  <c r="AG95" i="41"/>
  <c r="AH95" i="41"/>
  <c r="AI95" i="41" s="1"/>
  <c r="AJ95" i="41"/>
  <c r="AK95" i="41"/>
  <c r="V94" i="41"/>
  <c r="W94" i="41" s="1"/>
  <c r="X94" i="41"/>
  <c r="Y94" i="41"/>
  <c r="Z94" i="41"/>
  <c r="AA94" i="41" s="1"/>
  <c r="AB94" i="41"/>
  <c r="AC94" i="41"/>
  <c r="AF94" i="41"/>
  <c r="AG94" i="41"/>
  <c r="AH94" i="41"/>
  <c r="AI94" i="41"/>
  <c r="AJ94" i="41"/>
  <c r="AK94" i="41"/>
  <c r="V93" i="41"/>
  <c r="W93" i="41"/>
  <c r="X93" i="41"/>
  <c r="Y93" i="41"/>
  <c r="Z93" i="41"/>
  <c r="AA93" i="41"/>
  <c r="AB93" i="41"/>
  <c r="AC93" i="41"/>
  <c r="AF93" i="41"/>
  <c r="AG93" i="41"/>
  <c r="AH93" i="41"/>
  <c r="AI93" i="41"/>
  <c r="AJ93" i="41"/>
  <c r="AK93" i="41"/>
  <c r="V92" i="41"/>
  <c r="W92" i="41"/>
  <c r="X92" i="41"/>
  <c r="Z92" i="41"/>
  <c r="AA92" i="41" s="1"/>
  <c r="AB92" i="41"/>
  <c r="AC92" i="41" s="1"/>
  <c r="AF92" i="41"/>
  <c r="AG92" i="41"/>
  <c r="AH92" i="41"/>
  <c r="AI92" i="41" s="1"/>
  <c r="AJ92" i="41"/>
  <c r="AK92" i="41" s="1"/>
  <c r="V91" i="41"/>
  <c r="W91" i="41" s="1"/>
  <c r="X91" i="41"/>
  <c r="Y91" i="41"/>
  <c r="Z91" i="41"/>
  <c r="AA91" i="41" s="1"/>
  <c r="AB91" i="41"/>
  <c r="AC91" i="41" s="1"/>
  <c r="AF91" i="41"/>
  <c r="AG91" i="41" s="1"/>
  <c r="AH91" i="41"/>
  <c r="AJ91" i="41"/>
  <c r="AK91" i="41" s="1"/>
  <c r="M24" i="50"/>
  <c r="K24" i="50"/>
  <c r="I24" i="50"/>
  <c r="G24" i="50"/>
  <c r="B24" i="50"/>
  <c r="AD52" i="41"/>
  <c r="AF52" i="41"/>
  <c r="AH52" i="41"/>
  <c r="AB51" i="41"/>
  <c r="AC51" i="41" s="1"/>
  <c r="AD51" i="41"/>
  <c r="AN51" i="41" s="1"/>
  <c r="AO51" i="41" s="1"/>
  <c r="AF51" i="41"/>
  <c r="AG51" i="41"/>
  <c r="AH51" i="41"/>
  <c r="AI51" i="41"/>
  <c r="AD50" i="41"/>
  <c r="AE50" i="41"/>
  <c r="AF50" i="41"/>
  <c r="AH50" i="41"/>
  <c r="AB49" i="41"/>
  <c r="AC49" i="41"/>
  <c r="AD49" i="41"/>
  <c r="AE49" i="41"/>
  <c r="AF49" i="41"/>
  <c r="AG49" i="41"/>
  <c r="AH49" i="41"/>
  <c r="AI49" i="41"/>
  <c r="M15" i="50"/>
  <c r="K15" i="50"/>
  <c r="I15" i="50"/>
  <c r="G15" i="50"/>
  <c r="B15" i="50"/>
  <c r="Z38" i="41"/>
  <c r="AA38" i="41" s="1"/>
  <c r="AB38" i="41"/>
  <c r="AC38" i="41" s="1"/>
  <c r="AD38" i="41"/>
  <c r="AE38" i="41" s="1"/>
  <c r="AF38" i="41"/>
  <c r="AG38" i="41" s="1"/>
  <c r="AH38" i="41"/>
  <c r="AI38" i="41" s="1"/>
  <c r="AJ38" i="41"/>
  <c r="AK38" i="41" s="1"/>
  <c r="AF37" i="41"/>
  <c r="AG37" i="41"/>
  <c r="AH37" i="41"/>
  <c r="AI37" i="41" s="1"/>
  <c r="AJ37" i="41"/>
  <c r="Z36" i="41"/>
  <c r="AA36" i="41" s="1"/>
  <c r="AF36" i="41"/>
  <c r="AG36" i="41"/>
  <c r="AH36" i="41"/>
  <c r="AJ36" i="41"/>
  <c r="AK36" i="41" s="1"/>
  <c r="X35" i="41"/>
  <c r="Y35" i="41" s="1"/>
  <c r="Z35" i="41"/>
  <c r="AA35" i="41"/>
  <c r="AB35" i="41"/>
  <c r="AC35" i="41" s="1"/>
  <c r="AD35" i="41"/>
  <c r="AE35" i="41" s="1"/>
  <c r="AF35" i="41"/>
  <c r="AG35" i="41" s="1"/>
  <c r="AH35" i="41"/>
  <c r="AJ35" i="41"/>
  <c r="AK35" i="41" s="1"/>
  <c r="M6" i="50"/>
  <c r="K6" i="50"/>
  <c r="I6" i="50"/>
  <c r="G6" i="50"/>
  <c r="B6" i="50"/>
  <c r="I54" i="49"/>
  <c r="G54" i="49"/>
  <c r="V80" i="41"/>
  <c r="W80" i="41"/>
  <c r="X80" i="41"/>
  <c r="Y80" i="41" s="1"/>
  <c r="Z80" i="41"/>
  <c r="AA80" i="41"/>
  <c r="AB80" i="41"/>
  <c r="AC80" i="41" s="1"/>
  <c r="AD80" i="41"/>
  <c r="AE80" i="41"/>
  <c r="AF80" i="41"/>
  <c r="AG80" i="41" s="1"/>
  <c r="AH80" i="41"/>
  <c r="AI80" i="41" s="1"/>
  <c r="V79" i="41"/>
  <c r="W79" i="41" s="1"/>
  <c r="Z79" i="41"/>
  <c r="AA79" i="41" s="1"/>
  <c r="AB79" i="41"/>
  <c r="AC79" i="41" s="1"/>
  <c r="AD79" i="41"/>
  <c r="AE79" i="41"/>
  <c r="AF79" i="41"/>
  <c r="AG79" i="41" s="1"/>
  <c r="AH79" i="41"/>
  <c r="AI79" i="41"/>
  <c r="V78" i="41"/>
  <c r="W78" i="41" s="1"/>
  <c r="X78" i="41"/>
  <c r="Y78" i="41"/>
  <c r="Z78" i="41"/>
  <c r="AA78" i="41" s="1"/>
  <c r="AB78" i="41"/>
  <c r="AC78" i="41"/>
  <c r="AD78" i="41"/>
  <c r="AE78" i="41" s="1"/>
  <c r="AE82" i="41" s="1"/>
  <c r="AE83" i="41" s="1"/>
  <c r="AF78" i="41"/>
  <c r="AG78" i="41"/>
  <c r="AH78" i="41"/>
  <c r="AI78" i="41" s="1"/>
  <c r="V77" i="41"/>
  <c r="X77" i="41"/>
  <c r="Y77" i="41" s="1"/>
  <c r="Z77" i="41"/>
  <c r="AB77" i="41"/>
  <c r="AC77" i="41" s="1"/>
  <c r="AD77" i="41"/>
  <c r="AE77" i="41" s="1"/>
  <c r="AF77" i="41"/>
  <c r="AG77" i="41" s="1"/>
  <c r="AG82" i="41" s="1"/>
  <c r="AG83" i="41" s="1"/>
  <c r="AG84" i="41" s="1"/>
  <c r="AH77" i="41"/>
  <c r="AI77" i="41" s="1"/>
  <c r="M35" i="49"/>
  <c r="K35" i="49"/>
  <c r="I35" i="49"/>
  <c r="G35" i="49"/>
  <c r="B35" i="49"/>
  <c r="V67" i="41"/>
  <c r="W67" i="41" s="1"/>
  <c r="X67" i="41"/>
  <c r="Y67" i="41" s="1"/>
  <c r="Z67" i="41"/>
  <c r="AA67" i="41" s="1"/>
  <c r="AB67" i="41"/>
  <c r="AC67" i="41" s="1"/>
  <c r="AD67" i="41"/>
  <c r="AE67" i="41" s="1"/>
  <c r="AF67" i="41"/>
  <c r="AG67" i="41" s="1"/>
  <c r="AH67" i="41"/>
  <c r="AI67" i="41" s="1"/>
  <c r="V66" i="41"/>
  <c r="W66" i="41" s="1"/>
  <c r="X66" i="41"/>
  <c r="Y66" i="41" s="1"/>
  <c r="Z66" i="41"/>
  <c r="AA66" i="41" s="1"/>
  <c r="AB66" i="41"/>
  <c r="AC66" i="41" s="1"/>
  <c r="AD66" i="41"/>
  <c r="AE66" i="41" s="1"/>
  <c r="AF66" i="41"/>
  <c r="AG66" i="41" s="1"/>
  <c r="AH66" i="41"/>
  <c r="AI66" i="41" s="1"/>
  <c r="V65" i="41"/>
  <c r="X65" i="41"/>
  <c r="Y65" i="41" s="1"/>
  <c r="Z65" i="41"/>
  <c r="AA65" i="41" s="1"/>
  <c r="AB65" i="41"/>
  <c r="AD65" i="41"/>
  <c r="AE65" i="41"/>
  <c r="AF65" i="41"/>
  <c r="AG65" i="41" s="1"/>
  <c r="AH65" i="41"/>
  <c r="AI65" i="41" s="1"/>
  <c r="V64" i="41"/>
  <c r="W64" i="41" s="1"/>
  <c r="X64" i="41"/>
  <c r="Y64" i="41" s="1"/>
  <c r="Z64" i="41"/>
  <c r="AA64" i="41" s="1"/>
  <c r="AB64" i="41"/>
  <c r="AC64" i="41" s="1"/>
  <c r="AD64" i="41"/>
  <c r="AE64" i="41" s="1"/>
  <c r="AF64" i="41"/>
  <c r="AG64" i="41"/>
  <c r="AH64" i="41"/>
  <c r="AI64" i="41" s="1"/>
  <c r="M26" i="49"/>
  <c r="K26" i="49"/>
  <c r="I26" i="49"/>
  <c r="G26" i="49"/>
  <c r="B26" i="49"/>
  <c r="Z22" i="41"/>
  <c r="AA22" i="41"/>
  <c r="AF22" i="41"/>
  <c r="AG22" i="41"/>
  <c r="AH22" i="41"/>
  <c r="AI22" i="41"/>
  <c r="AD21" i="41"/>
  <c r="AF21" i="41"/>
  <c r="AH21" i="41"/>
  <c r="V20" i="41"/>
  <c r="X20" i="41"/>
  <c r="Y20" i="41"/>
  <c r="Z20" i="41"/>
  <c r="AA20" i="41" s="1"/>
  <c r="AB20" i="41"/>
  <c r="AC20" i="41" s="1"/>
  <c r="AD20" i="41"/>
  <c r="AE20" i="41" s="1"/>
  <c r="AF20" i="41"/>
  <c r="AG20" i="41" s="1"/>
  <c r="AH20" i="41"/>
  <c r="AI20" i="41" s="1"/>
  <c r="V19" i="41"/>
  <c r="W19" i="41" s="1"/>
  <c r="X19" i="41"/>
  <c r="Y19" i="41" s="1"/>
  <c r="Z19" i="41"/>
  <c r="AA19" i="41"/>
  <c r="AD19" i="41"/>
  <c r="AE19" i="41" s="1"/>
  <c r="AF19" i="41"/>
  <c r="AG19" i="41" s="1"/>
  <c r="AH19" i="41"/>
  <c r="AI19" i="41" s="1"/>
  <c r="V18" i="41"/>
  <c r="X18" i="41"/>
  <c r="Y18" i="41" s="1"/>
  <c r="Z18" i="41"/>
  <c r="AA18" i="41" s="1"/>
  <c r="AB18" i="41"/>
  <c r="AC18" i="41" s="1"/>
  <c r="AD18" i="41"/>
  <c r="AE18" i="41"/>
  <c r="AF18" i="41"/>
  <c r="AG18" i="41" s="1"/>
  <c r="AH18" i="41"/>
  <c r="AI18" i="41" s="1"/>
  <c r="V17" i="41"/>
  <c r="X17" i="41"/>
  <c r="Y17" i="41"/>
  <c r="Z17" i="41"/>
  <c r="AB17" i="41"/>
  <c r="AC17" i="41"/>
  <c r="AD17" i="41"/>
  <c r="AE17" i="41" s="1"/>
  <c r="AF17" i="41"/>
  <c r="AG17" i="41"/>
  <c r="AH17" i="41"/>
  <c r="AI17" i="41" s="1"/>
  <c r="M14" i="49"/>
  <c r="K14" i="49"/>
  <c r="I14" i="49"/>
  <c r="G14" i="49"/>
  <c r="AB8" i="41"/>
  <c r="AC8" i="41"/>
  <c r="AF8" i="41"/>
  <c r="AG8" i="41" s="1"/>
  <c r="AH8" i="41"/>
  <c r="AI8" i="41"/>
  <c r="AJ8" i="41"/>
  <c r="AK8" i="41" s="1"/>
  <c r="V7" i="41"/>
  <c r="W7" i="41" s="1"/>
  <c r="X7" i="41"/>
  <c r="Z7" i="41"/>
  <c r="AA7" i="41" s="1"/>
  <c r="AB7" i="41"/>
  <c r="AC7" i="41"/>
  <c r="AF7" i="41"/>
  <c r="AG7" i="41" s="1"/>
  <c r="AH7" i="41"/>
  <c r="AI7" i="41" s="1"/>
  <c r="AJ7" i="41"/>
  <c r="AK7" i="41" s="1"/>
  <c r="V6" i="41"/>
  <c r="W6" i="41"/>
  <c r="X6" i="41"/>
  <c r="Y6" i="41" s="1"/>
  <c r="Z6" i="41"/>
  <c r="AA6" i="41" s="1"/>
  <c r="AB6" i="41"/>
  <c r="AC6" i="41" s="1"/>
  <c r="AF6" i="41"/>
  <c r="AH6" i="41"/>
  <c r="AI6" i="41" s="1"/>
  <c r="AJ6" i="41"/>
  <c r="AK6" i="41" s="1"/>
  <c r="V5" i="41"/>
  <c r="X5" i="41"/>
  <c r="Y5" i="41" s="1"/>
  <c r="Z5" i="41"/>
  <c r="AA5" i="41" s="1"/>
  <c r="AB5" i="41"/>
  <c r="AC5" i="41" s="1"/>
  <c r="AC10" i="41" s="1"/>
  <c r="AF5" i="41"/>
  <c r="AG5" i="41" s="1"/>
  <c r="AH5" i="41"/>
  <c r="AI5" i="41"/>
  <c r="AJ5" i="41"/>
  <c r="AK5" i="41" s="1"/>
  <c r="AE139" i="41"/>
  <c r="AC139" i="41"/>
  <c r="AA139" i="41"/>
  <c r="W139" i="41"/>
  <c r="U137" i="41"/>
  <c r="U138" i="41"/>
  <c r="U139" i="41"/>
  <c r="U141" i="41"/>
  <c r="S137" i="41"/>
  <c r="S138" i="41"/>
  <c r="S139" i="41"/>
  <c r="S141" i="41"/>
  <c r="Q137" i="41"/>
  <c r="Q138" i="41"/>
  <c r="Q139" i="41"/>
  <c r="Q141" i="41"/>
  <c r="AC124" i="41"/>
  <c r="AA124" i="41"/>
  <c r="W126" i="41"/>
  <c r="U121" i="41"/>
  <c r="U122" i="41"/>
  <c r="U123" i="41"/>
  <c r="U124" i="41"/>
  <c r="S121" i="41"/>
  <c r="S122" i="41"/>
  <c r="S123" i="41"/>
  <c r="S124" i="41"/>
  <c r="Q121" i="41"/>
  <c r="Q122" i="41"/>
  <c r="Q123" i="41"/>
  <c r="Q124" i="41"/>
  <c r="O121" i="41"/>
  <c r="O122" i="41"/>
  <c r="O123" i="41"/>
  <c r="O124" i="41"/>
  <c r="O126" i="41"/>
  <c r="U64" i="41"/>
  <c r="U65" i="41"/>
  <c r="U66" i="41"/>
  <c r="U67" i="41"/>
  <c r="U69" i="41" s="1"/>
  <c r="U70" i="41" s="1"/>
  <c r="S64" i="41"/>
  <c r="S65" i="41"/>
  <c r="S66" i="41"/>
  <c r="S67" i="41"/>
  <c r="S69" i="41" s="1"/>
  <c r="S70" i="41" s="1"/>
  <c r="Q64" i="41"/>
  <c r="Q65" i="41"/>
  <c r="Q66" i="41"/>
  <c r="Q67" i="41"/>
  <c r="O64" i="41"/>
  <c r="O65" i="41"/>
  <c r="O66" i="41"/>
  <c r="O67" i="41"/>
  <c r="O69" i="41" s="1"/>
  <c r="O70" i="41" s="1"/>
  <c r="O71" i="41" s="1"/>
  <c r="M64" i="41"/>
  <c r="M65" i="41"/>
  <c r="M66" i="41"/>
  <c r="M67" i="41"/>
  <c r="AC50" i="41"/>
  <c r="AA49" i="41"/>
  <c r="AA50" i="41"/>
  <c r="AA51" i="41"/>
  <c r="Y49" i="41"/>
  <c r="Y50" i="41"/>
  <c r="Y51" i="41"/>
  <c r="W49" i="41"/>
  <c r="W50" i="41"/>
  <c r="W51" i="41"/>
  <c r="U49" i="41"/>
  <c r="U50" i="41"/>
  <c r="U51" i="41"/>
  <c r="S49" i="41"/>
  <c r="S50" i="41"/>
  <c r="S51" i="41"/>
  <c r="Q49" i="41"/>
  <c r="Q50" i="41"/>
  <c r="Q51" i="41"/>
  <c r="AE22" i="41"/>
  <c r="AC22" i="41"/>
  <c r="Y22" i="41"/>
  <c r="W22" i="41"/>
  <c r="U17" i="41"/>
  <c r="U18" i="41"/>
  <c r="U19" i="41"/>
  <c r="U20" i="41"/>
  <c r="U22" i="41"/>
  <c r="D19" i="45"/>
  <c r="D96" i="45"/>
  <c r="D86" i="46"/>
  <c r="D86" i="45"/>
  <c r="D86" i="48"/>
  <c r="D74" i="48"/>
  <c r="D74" i="46"/>
  <c r="D67" i="48"/>
  <c r="D67" i="46"/>
  <c r="D67" i="45"/>
  <c r="Q91" i="41"/>
  <c r="Q92" i="41"/>
  <c r="Q93" i="41"/>
  <c r="Q94" i="41"/>
  <c r="Q95" i="41"/>
  <c r="Q97" i="41"/>
  <c r="M91" i="41"/>
  <c r="M92" i="41"/>
  <c r="M93" i="41"/>
  <c r="M94" i="41"/>
  <c r="M95" i="41"/>
  <c r="M97" i="41"/>
  <c r="D38" i="46"/>
  <c r="D38" i="48"/>
  <c r="M35" i="41"/>
  <c r="M36" i="41"/>
  <c r="M37" i="41"/>
  <c r="M38" i="41"/>
  <c r="M40" i="41" s="1"/>
  <c r="D19" i="46"/>
  <c r="D19" i="48"/>
  <c r="M5" i="41"/>
  <c r="M6" i="41"/>
  <c r="M7" i="41"/>
  <c r="M8" i="41"/>
  <c r="M121" i="41"/>
  <c r="M122" i="41"/>
  <c r="M123" i="41"/>
  <c r="M124" i="41"/>
  <c r="M126" i="41"/>
  <c r="U36" i="41"/>
  <c r="U40" i="41" s="1"/>
  <c r="U41" i="41" s="1"/>
  <c r="U37" i="41"/>
  <c r="U38" i="41"/>
  <c r="S36" i="41"/>
  <c r="S37" i="41"/>
  <c r="S38" i="41"/>
  <c r="Q36" i="41"/>
  <c r="Q37" i="41"/>
  <c r="Q35" i="41"/>
  <c r="Q38" i="41"/>
  <c r="O36" i="41"/>
  <c r="O37" i="41"/>
  <c r="O38" i="41"/>
  <c r="U35" i="41"/>
  <c r="G102" i="48"/>
  <c r="I102" i="48" s="1"/>
  <c r="K102" i="48" s="1"/>
  <c r="M102" i="48" s="1"/>
  <c r="D96" i="48"/>
  <c r="M92" i="48"/>
  <c r="K92" i="48"/>
  <c r="I92" i="48"/>
  <c r="G92" i="48"/>
  <c r="M81" i="48"/>
  <c r="K81" i="48"/>
  <c r="I81" i="48"/>
  <c r="G81" i="48"/>
  <c r="B81" i="48"/>
  <c r="D75" i="48"/>
  <c r="M73" i="48"/>
  <c r="K73" i="48"/>
  <c r="I73" i="48"/>
  <c r="G73" i="48"/>
  <c r="M61" i="48"/>
  <c r="K61" i="48"/>
  <c r="I61" i="48"/>
  <c r="G61" i="48"/>
  <c r="B61" i="48"/>
  <c r="M52" i="48"/>
  <c r="K52" i="48"/>
  <c r="I52" i="48"/>
  <c r="G52" i="48"/>
  <c r="B52" i="48"/>
  <c r="M43" i="48"/>
  <c r="K43" i="48"/>
  <c r="I43" i="48"/>
  <c r="G43" i="48"/>
  <c r="B43" i="48"/>
  <c r="M34" i="48"/>
  <c r="K34" i="48"/>
  <c r="I34" i="48"/>
  <c r="G34" i="48"/>
  <c r="B34" i="48"/>
  <c r="M25" i="48"/>
  <c r="K25" i="48"/>
  <c r="I25" i="48"/>
  <c r="G25" i="48"/>
  <c r="B25" i="48"/>
  <c r="M14" i="48"/>
  <c r="K14" i="48"/>
  <c r="I14" i="48"/>
  <c r="G14" i="48"/>
  <c r="I102" i="46"/>
  <c r="G102" i="46"/>
  <c r="D96" i="46"/>
  <c r="M92" i="46"/>
  <c r="K92" i="46"/>
  <c r="I92" i="46"/>
  <c r="G92" i="46"/>
  <c r="M81" i="46"/>
  <c r="K81" i="46"/>
  <c r="I81" i="46"/>
  <c r="G81" i="46"/>
  <c r="B81" i="46"/>
  <c r="I73" i="46"/>
  <c r="D75" i="46"/>
  <c r="M73" i="46"/>
  <c r="K73" i="46"/>
  <c r="G73" i="46"/>
  <c r="M61" i="46"/>
  <c r="K61" i="46"/>
  <c r="I61" i="46"/>
  <c r="G61" i="46"/>
  <c r="B61" i="46"/>
  <c r="M52" i="46"/>
  <c r="K52" i="46"/>
  <c r="I52" i="46"/>
  <c r="G52" i="46"/>
  <c r="B52" i="46"/>
  <c r="M43" i="46"/>
  <c r="K43" i="46"/>
  <c r="I43" i="46"/>
  <c r="G43" i="46"/>
  <c r="B43" i="46"/>
  <c r="M34" i="46"/>
  <c r="K34" i="46"/>
  <c r="I34" i="46"/>
  <c r="G34" i="46"/>
  <c r="B34" i="46"/>
  <c r="M25" i="46"/>
  <c r="K25" i="46"/>
  <c r="I25" i="46"/>
  <c r="G25" i="46"/>
  <c r="B25" i="46"/>
  <c r="M14" i="46"/>
  <c r="K14" i="46"/>
  <c r="I14" i="46"/>
  <c r="G14" i="46"/>
  <c r="P5" i="42"/>
  <c r="R5" i="42"/>
  <c r="T5" i="42"/>
  <c r="V5" i="42"/>
  <c r="AJ5" i="42" s="1"/>
  <c r="Z5" i="42"/>
  <c r="AB5" i="42"/>
  <c r="AD5" i="42"/>
  <c r="AE5" i="42" s="1"/>
  <c r="AE8" i="42" s="1"/>
  <c r="AE9" i="42" s="1"/>
  <c r="D75" i="45"/>
  <c r="D74" i="45"/>
  <c r="D38" i="45"/>
  <c r="K14" i="45"/>
  <c r="I102" i="45"/>
  <c r="G102" i="45"/>
  <c r="M92" i="45"/>
  <c r="K92" i="45"/>
  <c r="I92" i="45"/>
  <c r="G92" i="45"/>
  <c r="M81" i="45"/>
  <c r="K81" i="45"/>
  <c r="I81" i="45"/>
  <c r="G81" i="45"/>
  <c r="M73" i="45"/>
  <c r="K73" i="45"/>
  <c r="I73" i="45"/>
  <c r="G73" i="45"/>
  <c r="M61" i="45"/>
  <c r="K61" i="45"/>
  <c r="I61" i="45"/>
  <c r="G61" i="45"/>
  <c r="M52" i="45"/>
  <c r="K52" i="45"/>
  <c r="I52" i="45"/>
  <c r="G52" i="45"/>
  <c r="M43" i="45"/>
  <c r="K43" i="45"/>
  <c r="I43" i="45"/>
  <c r="G43" i="45"/>
  <c r="M34" i="45"/>
  <c r="K34" i="45"/>
  <c r="I34" i="45"/>
  <c r="G34" i="45"/>
  <c r="M25" i="45"/>
  <c r="K25" i="45"/>
  <c r="I25" i="45"/>
  <c r="G25" i="45"/>
  <c r="M14" i="45"/>
  <c r="I14" i="45"/>
  <c r="D20" i="44"/>
  <c r="D18" i="44"/>
  <c r="D22" i="44"/>
  <c r="F104" i="41"/>
  <c r="F133" i="41"/>
  <c r="F117" i="41"/>
  <c r="F87" i="41"/>
  <c r="F73" i="41"/>
  <c r="F60" i="41"/>
  <c r="G45" i="41"/>
  <c r="F31" i="41"/>
  <c r="D8" i="44"/>
  <c r="D10" i="44"/>
  <c r="D16" i="44"/>
  <c r="D24" i="44"/>
  <c r="R28" i="42"/>
  <c r="T28" i="42"/>
  <c r="V28" i="42"/>
  <c r="X28" i="42"/>
  <c r="Z28" i="42"/>
  <c r="AB28" i="42"/>
  <c r="AD28" i="42"/>
  <c r="D6" i="44"/>
  <c r="D12" i="44"/>
  <c r="D14" i="44"/>
  <c r="G7" i="44"/>
  <c r="I7" i="44"/>
  <c r="K7" i="44"/>
  <c r="M7" i="44"/>
  <c r="B9" i="44"/>
  <c r="G9" i="44"/>
  <c r="I9" i="44"/>
  <c r="K9" i="44"/>
  <c r="M9" i="44"/>
  <c r="B11" i="44"/>
  <c r="G11" i="44"/>
  <c r="I11" i="44"/>
  <c r="K11" i="44"/>
  <c r="M11" i="44"/>
  <c r="B13" i="44"/>
  <c r="G13" i="44"/>
  <c r="I13" i="44"/>
  <c r="K13" i="44"/>
  <c r="M13" i="44"/>
  <c r="B15" i="44"/>
  <c r="G15" i="44"/>
  <c r="I15" i="44"/>
  <c r="K15" i="44"/>
  <c r="M15" i="44"/>
  <c r="B17" i="44"/>
  <c r="G17" i="44"/>
  <c r="I17" i="44"/>
  <c r="K17" i="44"/>
  <c r="M17" i="44"/>
  <c r="P74" i="42"/>
  <c r="R74" i="42"/>
  <c r="T74" i="42"/>
  <c r="V74" i="42"/>
  <c r="Z74" i="42"/>
  <c r="AA74" i="42" s="1"/>
  <c r="AA77" i="42" s="1"/>
  <c r="AB74" i="42"/>
  <c r="AD74" i="42"/>
  <c r="AE74" i="42" s="1"/>
  <c r="AE77" i="42" s="1"/>
  <c r="G19" i="44"/>
  <c r="I19" i="44"/>
  <c r="K19" i="44"/>
  <c r="M19" i="44"/>
  <c r="B21" i="44"/>
  <c r="G21" i="44"/>
  <c r="I21" i="44"/>
  <c r="K21" i="44"/>
  <c r="M21" i="44"/>
  <c r="G23" i="44"/>
  <c r="I23" i="44"/>
  <c r="K23" i="44"/>
  <c r="M23" i="44"/>
  <c r="G25" i="44"/>
  <c r="I25" i="44"/>
  <c r="G7" i="43"/>
  <c r="I7" i="43"/>
  <c r="K7" i="43"/>
  <c r="M7" i="43"/>
  <c r="B9" i="43"/>
  <c r="G9" i="43"/>
  <c r="I9" i="43"/>
  <c r="K9" i="43"/>
  <c r="M9" i="43"/>
  <c r="B11" i="43"/>
  <c r="G11" i="43"/>
  <c r="I11" i="43"/>
  <c r="K11" i="43"/>
  <c r="M11" i="43"/>
  <c r="B13" i="43"/>
  <c r="G13" i="43"/>
  <c r="I13" i="43"/>
  <c r="K13" i="43"/>
  <c r="M13" i="43"/>
  <c r="B15" i="43"/>
  <c r="G15" i="43"/>
  <c r="I15" i="43"/>
  <c r="K15" i="43"/>
  <c r="M15" i="43"/>
  <c r="B17" i="43"/>
  <c r="G17" i="43"/>
  <c r="I17" i="43"/>
  <c r="K17" i="43"/>
  <c r="M17" i="43"/>
  <c r="G19" i="43"/>
  <c r="I19" i="43"/>
  <c r="K19" i="43"/>
  <c r="M19" i="43"/>
  <c r="D20" i="43"/>
  <c r="B21" i="43"/>
  <c r="G21" i="43"/>
  <c r="I21" i="43"/>
  <c r="K21" i="43"/>
  <c r="M21" i="43"/>
  <c r="G23" i="43"/>
  <c r="I23" i="43"/>
  <c r="K23" i="43"/>
  <c r="M23" i="43"/>
  <c r="G25" i="43"/>
  <c r="I25" i="43"/>
  <c r="G5" i="42"/>
  <c r="G8" i="42" s="1"/>
  <c r="I5" i="42"/>
  <c r="I8" i="42" s="1"/>
  <c r="I9" i="42" s="1"/>
  <c r="K5" i="42"/>
  <c r="K8" i="42" s="1"/>
  <c r="K9" i="42" s="1"/>
  <c r="M5" i="42"/>
  <c r="M8" i="42" s="1"/>
  <c r="O5" i="42"/>
  <c r="O8" i="42" s="1"/>
  <c r="O9" i="42" s="1"/>
  <c r="Q5" i="42"/>
  <c r="S5" i="42"/>
  <c r="S8" i="42" s="1"/>
  <c r="U5" i="42"/>
  <c r="U8" i="42" s="1"/>
  <c r="X5" i="42"/>
  <c r="Y5" i="42" s="1"/>
  <c r="Y8" i="42" s="1"/>
  <c r="AA5" i="42"/>
  <c r="AA8" i="42" s="1"/>
  <c r="AA9" i="42" s="1"/>
  <c r="AC5" i="42"/>
  <c r="AC8" i="42" s="1"/>
  <c r="W6" i="42"/>
  <c r="Q8" i="42"/>
  <c r="Q9" i="42" s="1"/>
  <c r="Q10" i="42" s="1"/>
  <c r="G15" i="42"/>
  <c r="G17" i="42" s="1"/>
  <c r="I15" i="42"/>
  <c r="K15" i="42"/>
  <c r="K17" i="42" s="1"/>
  <c r="K18" i="42" s="1"/>
  <c r="M15" i="42"/>
  <c r="M17" i="42" s="1"/>
  <c r="O15" i="42"/>
  <c r="O17" i="42" s="1"/>
  <c r="O18" i="42" s="1"/>
  <c r="O19" i="42" s="1"/>
  <c r="P15" i="42"/>
  <c r="R15" i="42"/>
  <c r="S15" i="42" s="1"/>
  <c r="S17" i="42" s="1"/>
  <c r="T15" i="42"/>
  <c r="U15" i="42" s="1"/>
  <c r="U17" i="42" s="1"/>
  <c r="U18" i="42" s="1"/>
  <c r="V15" i="42"/>
  <c r="W15" i="42" s="1"/>
  <c r="W17" i="42" s="1"/>
  <c r="X15" i="42"/>
  <c r="Y15" i="42" s="1"/>
  <c r="Y17" i="42" s="1"/>
  <c r="Z15" i="42"/>
  <c r="AA15" i="42" s="1"/>
  <c r="AA17" i="42" s="1"/>
  <c r="AB15" i="42"/>
  <c r="AC15" i="42" s="1"/>
  <c r="AC17" i="42" s="1"/>
  <c r="I17" i="42"/>
  <c r="A24" i="42"/>
  <c r="G28" i="42"/>
  <c r="G31" i="42" s="1"/>
  <c r="I28" i="42"/>
  <c r="I31" i="42" s="1"/>
  <c r="I32" i="42" s="1"/>
  <c r="K28" i="42"/>
  <c r="K31" i="42" s="1"/>
  <c r="M28" i="42"/>
  <c r="M31" i="42" s="1"/>
  <c r="O28" i="42"/>
  <c r="Q28" i="42"/>
  <c r="Q31" i="42" s="1"/>
  <c r="S28" i="42"/>
  <c r="S31" i="42" s="1"/>
  <c r="S32" i="42" s="1"/>
  <c r="W28" i="42"/>
  <c r="W31" i="42" s="1"/>
  <c r="Y28" i="42"/>
  <c r="Y31" i="42" s="1"/>
  <c r="AA28" i="42"/>
  <c r="AA31" i="42" s="1"/>
  <c r="AA32" i="42" s="1"/>
  <c r="AC28" i="42"/>
  <c r="AC31" i="42" s="1"/>
  <c r="AE28" i="42"/>
  <c r="AL28" i="42"/>
  <c r="W29" i="42"/>
  <c r="O31" i="42"/>
  <c r="O32" i="42" s="1"/>
  <c r="O33" i="42" s="1"/>
  <c r="AE31" i="42"/>
  <c r="AE32" i="42" s="1"/>
  <c r="Y32" i="42"/>
  <c r="Y33" i="42"/>
  <c r="A36" i="42"/>
  <c r="G40" i="42"/>
  <c r="I40" i="42"/>
  <c r="K40" i="42"/>
  <c r="K42" i="42"/>
  <c r="M40" i="42"/>
  <c r="M42" i="42" s="1"/>
  <c r="O40" i="42"/>
  <c r="O42" i="42" s="1"/>
  <c r="O43" i="42" s="1"/>
  <c r="Q40" i="42"/>
  <c r="S40" i="42"/>
  <c r="S42" i="42" s="1"/>
  <c r="U40" i="42"/>
  <c r="U42" i="42" s="1"/>
  <c r="U43" i="42" s="1"/>
  <c r="V40" i="42"/>
  <c r="X40" i="42"/>
  <c r="Y40" i="42" s="1"/>
  <c r="Y42" i="42"/>
  <c r="Z40" i="42"/>
  <c r="AB40" i="42"/>
  <c r="AC40" i="42" s="1"/>
  <c r="AC42" i="42" s="1"/>
  <c r="AC43" i="42" s="1"/>
  <c r="AH40" i="42"/>
  <c r="J12" i="43" s="1"/>
  <c r="K12" i="43" s="1"/>
  <c r="G42" i="42"/>
  <c r="I42" i="42"/>
  <c r="Q42" i="42"/>
  <c r="G43" i="42"/>
  <c r="I43" i="42"/>
  <c r="I44" i="42" s="1"/>
  <c r="A48" i="42"/>
  <c r="G52" i="42"/>
  <c r="G55" i="42" s="1"/>
  <c r="I52" i="42"/>
  <c r="I55" i="42" s="1"/>
  <c r="I56" i="42" s="1"/>
  <c r="K52" i="42"/>
  <c r="K55" i="42" s="1"/>
  <c r="M52" i="42"/>
  <c r="M55" i="42" s="1"/>
  <c r="M56" i="42" s="1"/>
  <c r="O52" i="42"/>
  <c r="O55" i="42" s="1"/>
  <c r="P52" i="42"/>
  <c r="R52" i="42"/>
  <c r="S52" i="42" s="1"/>
  <c r="S55" i="42" s="1"/>
  <c r="T52" i="42"/>
  <c r="U52" i="42" s="1"/>
  <c r="U55" i="42" s="1"/>
  <c r="V52" i="42"/>
  <c r="W52" i="42" s="1"/>
  <c r="W55" i="42" s="1"/>
  <c r="X52" i="42"/>
  <c r="Y52" i="42" s="1"/>
  <c r="Y55" i="42" s="1"/>
  <c r="Z52" i="42"/>
  <c r="AA52" i="42" s="1"/>
  <c r="AA55" i="42" s="1"/>
  <c r="AB52" i="42"/>
  <c r="AC52" i="42" s="1"/>
  <c r="AC55" i="42" s="1"/>
  <c r="W53" i="42"/>
  <c r="A59" i="42"/>
  <c r="G63" i="42"/>
  <c r="G65" i="42" s="1"/>
  <c r="I63" i="42"/>
  <c r="I65" i="42" s="1"/>
  <c r="I66" i="42" s="1"/>
  <c r="I67" i="42" s="1"/>
  <c r="K63" i="42"/>
  <c r="K65" i="42" s="1"/>
  <c r="K66" i="42" s="1"/>
  <c r="M63" i="42"/>
  <c r="M65" i="42" s="1"/>
  <c r="O63" i="42"/>
  <c r="O65" i="42" s="1"/>
  <c r="P63" i="42"/>
  <c r="Q63" i="42" s="1"/>
  <c r="Q65" i="42" s="1"/>
  <c r="R63" i="42"/>
  <c r="S63" i="42"/>
  <c r="S65" i="42" s="1"/>
  <c r="T63" i="42"/>
  <c r="U63" i="42" s="1"/>
  <c r="U65" i="42" s="1"/>
  <c r="U66" i="42" s="1"/>
  <c r="V63" i="42"/>
  <c r="W63" i="42" s="1"/>
  <c r="W65" i="42" s="1"/>
  <c r="X63" i="42"/>
  <c r="Y63" i="42" s="1"/>
  <c r="Y65" i="42"/>
  <c r="Z63" i="42"/>
  <c r="AA63" i="42" s="1"/>
  <c r="AA65" i="42" s="1"/>
  <c r="AB63" i="42"/>
  <c r="AC63" i="42" s="1"/>
  <c r="AC65" i="42" s="1"/>
  <c r="A70" i="42"/>
  <c r="G74" i="42"/>
  <c r="G77" i="42" s="1"/>
  <c r="I74" i="42"/>
  <c r="I77" i="42" s="1"/>
  <c r="K74" i="42"/>
  <c r="K77" i="42" s="1"/>
  <c r="K78" i="42" s="1"/>
  <c r="M74" i="42"/>
  <c r="M77" i="42"/>
  <c r="O74" i="42"/>
  <c r="S74" i="42"/>
  <c r="U74" i="42"/>
  <c r="U77" i="42" s="1"/>
  <c r="W74" i="42"/>
  <c r="W77" i="42" s="1"/>
  <c r="Y74" i="42"/>
  <c r="Y77" i="42" s="1"/>
  <c r="Y78" i="42" s="1"/>
  <c r="AC74" i="42"/>
  <c r="AC77" i="42" s="1"/>
  <c r="W75" i="42"/>
  <c r="O77" i="42"/>
  <c r="S77" i="42"/>
  <c r="A82" i="42"/>
  <c r="D86" i="42"/>
  <c r="X86" i="42"/>
  <c r="Z86" i="42"/>
  <c r="AB86" i="42"/>
  <c r="A93" i="42"/>
  <c r="G97" i="42"/>
  <c r="G99" i="42" s="1"/>
  <c r="I97" i="42"/>
  <c r="I99" i="42" s="1"/>
  <c r="I100" i="42" s="1"/>
  <c r="K97" i="42"/>
  <c r="K99" i="42" s="1"/>
  <c r="M97" i="42"/>
  <c r="M99" i="42" s="1"/>
  <c r="M100" i="42" s="1"/>
  <c r="O97" i="42"/>
  <c r="O99" i="42" s="1"/>
  <c r="P97" i="42"/>
  <c r="Q97" i="42" s="1"/>
  <c r="Q99" i="42" s="1"/>
  <c r="R97" i="42"/>
  <c r="T97" i="42"/>
  <c r="U97" i="42"/>
  <c r="U99" i="42" s="1"/>
  <c r="V97" i="42"/>
  <c r="W97" i="42" s="1"/>
  <c r="W99" i="42" s="1"/>
  <c r="X97" i="42"/>
  <c r="Z97" i="42"/>
  <c r="AA97" i="42" s="1"/>
  <c r="AA99" i="42" s="1"/>
  <c r="AB97" i="42"/>
  <c r="AC97" i="42" s="1"/>
  <c r="AC99" i="42" s="1"/>
  <c r="AD97" i="42"/>
  <c r="AE97" i="42"/>
  <c r="AE99" i="42" s="1"/>
  <c r="AE100" i="42" s="1"/>
  <c r="A104" i="42"/>
  <c r="G108" i="42"/>
  <c r="G110" i="42" s="1"/>
  <c r="G111" i="42" s="1"/>
  <c r="I108" i="42"/>
  <c r="I110" i="42" s="1"/>
  <c r="K108" i="42"/>
  <c r="K110" i="42" s="1"/>
  <c r="K111" i="42" s="1"/>
  <c r="M108" i="42"/>
  <c r="M110" i="42" s="1"/>
  <c r="O108" i="42"/>
  <c r="O110" i="42" s="1"/>
  <c r="O111" i="42" s="1"/>
  <c r="P108" i="42"/>
  <c r="Q108" i="42" s="1"/>
  <c r="Q110" i="42" s="1"/>
  <c r="R108" i="42"/>
  <c r="T108" i="42"/>
  <c r="U108" i="42" s="1"/>
  <c r="U110" i="42" s="1"/>
  <c r="V108" i="42"/>
  <c r="W108" i="42" s="1"/>
  <c r="W110" i="42" s="1"/>
  <c r="X108" i="42"/>
  <c r="Y108" i="42" s="1"/>
  <c r="Y110" i="42" s="1"/>
  <c r="Y111" i="42" s="1"/>
  <c r="Z108" i="42"/>
  <c r="AA108" i="42" s="1"/>
  <c r="AA110" i="42" s="1"/>
  <c r="AB108" i="42"/>
  <c r="AC108" i="42" s="1"/>
  <c r="AC110" i="42" s="1"/>
  <c r="AC111" i="42" s="1"/>
  <c r="AD108" i="42"/>
  <c r="AE108" i="42" s="1"/>
  <c r="AE110" i="42" s="1"/>
  <c r="O5" i="41"/>
  <c r="Q5" i="41"/>
  <c r="AD5" i="41"/>
  <c r="AE5" i="41" s="1"/>
  <c r="O6" i="41"/>
  <c r="Q6" i="41"/>
  <c r="S6" i="41"/>
  <c r="S7" i="41"/>
  <c r="S8" i="41"/>
  <c r="U6" i="41"/>
  <c r="AD6" i="41"/>
  <c r="AE6" i="41" s="1"/>
  <c r="O7" i="41"/>
  <c r="Q7" i="41"/>
  <c r="U7" i="41"/>
  <c r="AD7" i="41"/>
  <c r="AE7" i="41" s="1"/>
  <c r="O8" i="41"/>
  <c r="Q8" i="41"/>
  <c r="W8" i="41"/>
  <c r="Y8" i="41"/>
  <c r="AA8" i="41"/>
  <c r="AD8" i="41"/>
  <c r="AC9" i="41"/>
  <c r="M17" i="41"/>
  <c r="M18" i="41"/>
  <c r="M19" i="41"/>
  <c r="M20" i="41"/>
  <c r="M22" i="41"/>
  <c r="O17" i="41"/>
  <c r="Q17" i="41"/>
  <c r="S17" i="41"/>
  <c r="O18" i="41"/>
  <c r="Q18" i="41"/>
  <c r="S18" i="41"/>
  <c r="O19" i="41"/>
  <c r="Q19" i="41"/>
  <c r="S19" i="41"/>
  <c r="O20" i="41"/>
  <c r="Q20" i="41"/>
  <c r="S20" i="41"/>
  <c r="S22" i="41"/>
  <c r="O22" i="41"/>
  <c r="Q22" i="41"/>
  <c r="O35" i="41"/>
  <c r="S35" i="41"/>
  <c r="S40" i="41" s="1"/>
  <c r="W35" i="41"/>
  <c r="W36" i="41"/>
  <c r="W40" i="41" s="1"/>
  <c r="Y36" i="41"/>
  <c r="AC36" i="41"/>
  <c r="AC40" i="41" s="1"/>
  <c r="AC41" i="41" s="1"/>
  <c r="AE36" i="41"/>
  <c r="W37" i="41"/>
  <c r="Y37" i="41"/>
  <c r="AA37" i="41"/>
  <c r="AC37" i="41"/>
  <c r="AE37" i="41"/>
  <c r="W38" i="41"/>
  <c r="Y38" i="41"/>
  <c r="Y40" i="41" s="1"/>
  <c r="AC39" i="41"/>
  <c r="M49" i="41"/>
  <c r="O49" i="41"/>
  <c r="M50" i="41"/>
  <c r="O50" i="41"/>
  <c r="M51" i="41"/>
  <c r="O51" i="41"/>
  <c r="M77" i="41"/>
  <c r="O77" i="41"/>
  <c r="Q77" i="41"/>
  <c r="Q78" i="41"/>
  <c r="Q79" i="41"/>
  <c r="Q80" i="41"/>
  <c r="S77" i="41"/>
  <c r="U77" i="41"/>
  <c r="M78" i="41"/>
  <c r="O78" i="41"/>
  <c r="S78" i="41"/>
  <c r="U78" i="41"/>
  <c r="M79" i="41"/>
  <c r="O79" i="41"/>
  <c r="S79" i="41"/>
  <c r="U79" i="41"/>
  <c r="Y79" i="41"/>
  <c r="M80" i="41"/>
  <c r="O80" i="41"/>
  <c r="S80" i="41"/>
  <c r="U80" i="41"/>
  <c r="O91" i="41"/>
  <c r="S91" i="41"/>
  <c r="U91" i="41"/>
  <c r="AE91" i="41"/>
  <c r="O92" i="41"/>
  <c r="S92" i="41"/>
  <c r="U92" i="41"/>
  <c r="AE92" i="41"/>
  <c r="O93" i="41"/>
  <c r="S93" i="41"/>
  <c r="U93" i="41"/>
  <c r="AE93" i="41"/>
  <c r="O94" i="41"/>
  <c r="S94" i="41"/>
  <c r="U94" i="41"/>
  <c r="O95" i="41"/>
  <c r="S95" i="41"/>
  <c r="U95" i="41"/>
  <c r="O97" i="41"/>
  <c r="U97" i="41"/>
  <c r="W97" i="41"/>
  <c r="AC97" i="41"/>
  <c r="AE97" i="41"/>
  <c r="AC98" i="41"/>
  <c r="M108" i="41"/>
  <c r="M110" i="41"/>
  <c r="O108" i="41"/>
  <c r="Q108" i="41"/>
  <c r="S108" i="41"/>
  <c r="Y108" i="41"/>
  <c r="AA108" i="41"/>
  <c r="AC108" i="41"/>
  <c r="Q109" i="41"/>
  <c r="O110" i="41"/>
  <c r="Q110" i="41"/>
  <c r="S110" i="41"/>
  <c r="U110" i="41"/>
  <c r="W110" i="41"/>
  <c r="Y110" i="41"/>
  <c r="AA110" i="41"/>
  <c r="AC110" i="41"/>
  <c r="M137" i="41"/>
  <c r="O137" i="41"/>
  <c r="M138" i="41"/>
  <c r="O138" i="41"/>
  <c r="M139" i="41"/>
  <c r="O139" i="41"/>
  <c r="M141" i="41"/>
  <c r="O141" i="41"/>
  <c r="G18" i="42"/>
  <c r="G19" i="42" s="1"/>
  <c r="M57" i="42"/>
  <c r="M9" i="42"/>
  <c r="M10" i="42" s="1"/>
  <c r="K19" i="42"/>
  <c r="G14" i="45"/>
  <c r="G96" i="41"/>
  <c r="W21" i="41"/>
  <c r="AE21" i="41"/>
  <c r="G125" i="41"/>
  <c r="U128" i="41"/>
  <c r="U129" i="41" s="1"/>
  <c r="AC125" i="41"/>
  <c r="I69" i="41"/>
  <c r="I96" i="41"/>
  <c r="I125" i="41"/>
  <c r="AI82" i="41"/>
  <c r="AI83" i="41" s="1"/>
  <c r="G82" i="41"/>
  <c r="G83" i="41" s="1"/>
  <c r="G84" i="41" s="1"/>
  <c r="W96" i="41"/>
  <c r="W99" i="41" s="1"/>
  <c r="Q69" i="41"/>
  <c r="K70" i="41"/>
  <c r="Y96" i="41"/>
  <c r="AA125" i="41"/>
  <c r="AG96" i="41"/>
  <c r="AG40" i="41"/>
  <c r="AG41" i="41" s="1"/>
  <c r="AI96" i="41"/>
  <c r="Q40" i="41"/>
  <c r="Q41" i="41" s="1"/>
  <c r="AE125" i="41"/>
  <c r="AI125" i="41"/>
  <c r="G40" i="41"/>
  <c r="G41" i="41" s="1"/>
  <c r="G42" i="41" s="1"/>
  <c r="AE108" i="41"/>
  <c r="W108" i="41"/>
  <c r="AA96" i="41"/>
  <c r="W125" i="41"/>
  <c r="Y125" i="41"/>
  <c r="AK125" i="41"/>
  <c r="AK96" i="41"/>
  <c r="AG125" i="41"/>
  <c r="AG108" i="41"/>
  <c r="G108" i="41"/>
  <c r="AI109" i="41"/>
  <c r="S109" i="41"/>
  <c r="S112" i="41" s="1"/>
  <c r="I109" i="41"/>
  <c r="K11" i="41"/>
  <c r="AA109" i="41"/>
  <c r="I108" i="41"/>
  <c r="U108" i="41"/>
  <c r="U112" i="41"/>
  <c r="U113" i="41" s="1"/>
  <c r="U114" i="41" s="1"/>
  <c r="Y109" i="41"/>
  <c r="Y112" i="41" s="1"/>
  <c r="Y113" i="41" s="1"/>
  <c r="U24" i="41"/>
  <c r="U25" i="41" s="1"/>
  <c r="U26" i="41" s="1"/>
  <c r="AL77" i="41"/>
  <c r="H53" i="46" s="1"/>
  <c r="I53" i="46" s="1"/>
  <c r="AL92" i="41"/>
  <c r="F63" i="45" s="1"/>
  <c r="G63" i="45" s="1"/>
  <c r="Y92" i="41"/>
  <c r="AR93" i="41"/>
  <c r="L64" i="48" s="1"/>
  <c r="M64" i="48" s="1"/>
  <c r="AL138" i="41"/>
  <c r="F94" i="46" s="1"/>
  <c r="G94" i="46" s="1"/>
  <c r="AA121" i="41"/>
  <c r="AR121" i="41"/>
  <c r="AS121" i="41" s="1"/>
  <c r="W17" i="41"/>
  <c r="AE10" i="41"/>
  <c r="AN95" i="41"/>
  <c r="H66" i="48" s="1"/>
  <c r="I66" i="48" s="1"/>
  <c r="AI52" i="41"/>
  <c r="W52" i="41"/>
  <c r="W77" i="41"/>
  <c r="AG52" i="41"/>
  <c r="G69" i="41"/>
  <c r="G70" i="41" s="1"/>
  <c r="G109" i="41"/>
  <c r="I10" i="41"/>
  <c r="AE109" i="41"/>
  <c r="W109" i="41"/>
  <c r="W112" i="41" s="1"/>
  <c r="O109" i="41"/>
  <c r="O112" i="41"/>
  <c r="M109" i="41"/>
  <c r="M112" i="41" s="1"/>
  <c r="AC109" i="41"/>
  <c r="M10" i="41"/>
  <c r="M11" i="41" s="1"/>
  <c r="K140" i="41"/>
  <c r="I140" i="41"/>
  <c r="G140" i="41"/>
  <c r="Y140" i="41"/>
  <c r="AK140" i="41"/>
  <c r="AC140" i="41"/>
  <c r="AI140" i="41"/>
  <c r="AE140" i="41"/>
  <c r="AA140" i="41"/>
  <c r="W140" i="41"/>
  <c r="AL20" i="41"/>
  <c r="H18" i="49" s="1"/>
  <c r="I18" i="49" s="1"/>
  <c r="AN5" i="41"/>
  <c r="AN6" i="41"/>
  <c r="AN18" i="41"/>
  <c r="AP65" i="41"/>
  <c r="L28" i="49" s="1"/>
  <c r="M28" i="49" s="1"/>
  <c r="AJ65" i="41"/>
  <c r="F28" i="49" s="1"/>
  <c r="G28" i="49" s="1"/>
  <c r="W65" i="41"/>
  <c r="AR35" i="41"/>
  <c r="AP35" i="41"/>
  <c r="AR36" i="41"/>
  <c r="AN36" i="41"/>
  <c r="AL36" i="41"/>
  <c r="AG50" i="41"/>
  <c r="AJ51" i="41"/>
  <c r="AE51" i="41"/>
  <c r="AE54" i="41" s="1"/>
  <c r="AE55" i="41" s="1"/>
  <c r="AN52" i="41"/>
  <c r="AO52" i="41" s="1"/>
  <c r="AJ52" i="41"/>
  <c r="AP52" i="41"/>
  <c r="AQ52" i="41" s="1"/>
  <c r="AL52" i="41"/>
  <c r="AM52" i="41" s="1"/>
  <c r="AN91" i="41"/>
  <c r="AL91" i="41"/>
  <c r="AP91" i="41"/>
  <c r="AL95" i="41"/>
  <c r="AR95" i="41"/>
  <c r="AP95" i="41"/>
  <c r="AL97" i="41"/>
  <c r="AP97" i="41"/>
  <c r="AR97" i="41"/>
  <c r="AP121" i="41"/>
  <c r="Y121" i="41"/>
  <c r="Y128" i="41" s="1"/>
  <c r="AL121" i="41"/>
  <c r="AP140" i="41"/>
  <c r="J51" i="50" s="1"/>
  <c r="AP109" i="41"/>
  <c r="AQ109" i="41" s="1"/>
  <c r="AJ109" i="41"/>
  <c r="AN65" i="41"/>
  <c r="AP22" i="41"/>
  <c r="AP64" i="41"/>
  <c r="L27" i="49" s="1"/>
  <c r="M27" i="49" s="1"/>
  <c r="AL94" i="41"/>
  <c r="F28" i="50" s="1"/>
  <c r="AL140" i="41"/>
  <c r="F51" i="50" s="1"/>
  <c r="G51" i="50" s="1"/>
  <c r="AP110" i="41"/>
  <c r="L76" i="46" s="1"/>
  <c r="M76" i="46" s="1"/>
  <c r="K21" i="41"/>
  <c r="K24" i="41" s="1"/>
  <c r="K52" i="41"/>
  <c r="K54" i="41" s="1"/>
  <c r="AP7" i="41"/>
  <c r="AP66" i="41"/>
  <c r="AP77" i="41"/>
  <c r="AP17" i="41"/>
  <c r="AJ17" i="41"/>
  <c r="AP20" i="41"/>
  <c r="AJ20" i="41"/>
  <c r="AP21" i="41"/>
  <c r="AQ21" i="41" s="1"/>
  <c r="AN21" i="41"/>
  <c r="AJ21" i="41"/>
  <c r="AK21" i="41" s="1"/>
  <c r="AL21" i="41"/>
  <c r="AM21" i="41" s="1"/>
  <c r="AP67" i="41"/>
  <c r="L47" i="48" s="1"/>
  <c r="AN67" i="41"/>
  <c r="AJ67" i="41"/>
  <c r="AL67" i="41"/>
  <c r="AP80" i="41"/>
  <c r="L39" i="49" s="1"/>
  <c r="AN80" i="41"/>
  <c r="AL80" i="41"/>
  <c r="AJ80" i="41"/>
  <c r="AN49" i="41"/>
  <c r="AJ49" i="41"/>
  <c r="AP49" i="41"/>
  <c r="AL93" i="41"/>
  <c r="AN93" i="41"/>
  <c r="H64" i="48" s="1"/>
  <c r="AR137" i="41"/>
  <c r="AN137" i="41"/>
  <c r="AP137" i="41"/>
  <c r="W137" i="41"/>
  <c r="W143" i="41" s="1"/>
  <c r="AR138" i="41"/>
  <c r="AN138" i="41"/>
  <c r="AP138" i="41"/>
  <c r="AL139" i="41"/>
  <c r="F95" i="48" s="1"/>
  <c r="AR139" i="41"/>
  <c r="AP139" i="41"/>
  <c r="AP108" i="41"/>
  <c r="AL108" i="41"/>
  <c r="AM108" i="41"/>
  <c r="AN108" i="41"/>
  <c r="AO108" i="41" s="1"/>
  <c r="I52" i="41"/>
  <c r="I54" i="41" s="1"/>
  <c r="G52" i="41"/>
  <c r="G54" i="41" s="1"/>
  <c r="G55" i="41" s="1"/>
  <c r="S54" i="41"/>
  <c r="AE52" i="41"/>
  <c r="AC52" i="41"/>
  <c r="AC54" i="41" s="1"/>
  <c r="AC55" i="41" s="1"/>
  <c r="AC56" i="41" s="1"/>
  <c r="AA52" i="41"/>
  <c r="AA54" i="41" s="1"/>
  <c r="AA55" i="41" s="1"/>
  <c r="AA56" i="41" s="1"/>
  <c r="Y52" i="41"/>
  <c r="Y54" i="41" s="1"/>
  <c r="Y55" i="41" s="1"/>
  <c r="AJ77" i="41"/>
  <c r="AP93" i="41"/>
  <c r="J64" i="46"/>
  <c r="AJ108" i="41"/>
  <c r="AN139" i="41"/>
  <c r="AL8" i="41"/>
  <c r="AP79" i="41"/>
  <c r="L55" i="46" s="1"/>
  <c r="AP37" i="41"/>
  <c r="S21" i="41"/>
  <c r="S24" i="41" s="1"/>
  <c r="Q21" i="41"/>
  <c r="Q24" i="41" s="1"/>
  <c r="Q25" i="41" s="1"/>
  <c r="O21" i="41"/>
  <c r="O24" i="41" s="1"/>
  <c r="O25" i="41" s="1"/>
  <c r="M21" i="41"/>
  <c r="M24" i="41" s="1"/>
  <c r="M25" i="41" s="1"/>
  <c r="AI21" i="41"/>
  <c r="AI24" i="41" s="1"/>
  <c r="AI25" i="41" s="1"/>
  <c r="AA21" i="41"/>
  <c r="I21" i="41"/>
  <c r="I24" i="41" s="1"/>
  <c r="G21" i="41"/>
  <c r="G24" i="41" s="1"/>
  <c r="AG21" i="41"/>
  <c r="AG24" i="41" s="1"/>
  <c r="AC21" i="41"/>
  <c r="AC24" i="41" s="1"/>
  <c r="Y21" i="41"/>
  <c r="Y24" i="41" s="1"/>
  <c r="AN7" i="41"/>
  <c r="AP19" i="41"/>
  <c r="AL49" i="41"/>
  <c r="AN19" i="41"/>
  <c r="AJ19" i="41"/>
  <c r="AL19" i="41"/>
  <c r="AN66" i="41"/>
  <c r="AL66" i="41"/>
  <c r="AJ66" i="41"/>
  <c r="AN92" i="41"/>
  <c r="AR92" i="41"/>
  <c r="AP92" i="41"/>
  <c r="AN96" i="41"/>
  <c r="H67" i="46" s="1"/>
  <c r="I67" i="46" s="1"/>
  <c r="AR96" i="41"/>
  <c r="L67" i="45" s="1"/>
  <c r="M67" i="45" s="1"/>
  <c r="AP96" i="41"/>
  <c r="AQ96" i="41" s="1"/>
  <c r="AR124" i="41"/>
  <c r="AP124" i="41"/>
  <c r="AN124" i="41"/>
  <c r="AL124" i="41"/>
  <c r="AR126" i="41"/>
  <c r="AP126" i="41"/>
  <c r="AN126" i="41"/>
  <c r="K109" i="41"/>
  <c r="K112" i="41" s="1"/>
  <c r="AN8" i="41"/>
  <c r="AP8" i="41"/>
  <c r="AR8" i="41"/>
  <c r="AN37" i="41"/>
  <c r="AR37" i="41"/>
  <c r="AJ79" i="41"/>
  <c r="AN79" i="41"/>
  <c r="J55" i="46" s="1"/>
  <c r="AN123" i="41"/>
  <c r="H84" i="45" s="1"/>
  <c r="I84" i="45" s="1"/>
  <c r="AR123" i="41"/>
  <c r="AJ18" i="41"/>
  <c r="AP18" i="41"/>
  <c r="L16" i="46" s="1"/>
  <c r="AL22" i="41"/>
  <c r="AN22" i="41"/>
  <c r="AJ22" i="41"/>
  <c r="AL64" i="41"/>
  <c r="H44" i="46" s="1"/>
  <c r="I44" i="46" s="1"/>
  <c r="AJ64" i="41"/>
  <c r="F27" i="49" s="1"/>
  <c r="G27" i="49" s="1"/>
  <c r="AP78" i="41"/>
  <c r="AN78" i="41"/>
  <c r="J54" i="45" s="1"/>
  <c r="K54" i="45" s="1"/>
  <c r="AL78" i="41"/>
  <c r="AJ78" i="41"/>
  <c r="AL38" i="41"/>
  <c r="AR38" i="41"/>
  <c r="L29" i="46" s="1"/>
  <c r="M29" i="46" s="1"/>
  <c r="AP38" i="41"/>
  <c r="AN38" i="41"/>
  <c r="AN50" i="41"/>
  <c r="AJ50" i="41"/>
  <c r="F36" i="48" s="1"/>
  <c r="AP51" i="41"/>
  <c r="AL51" i="41"/>
  <c r="AR94" i="41"/>
  <c r="AP94" i="41"/>
  <c r="AN94" i="41"/>
  <c r="AR122" i="41"/>
  <c r="AP122" i="41"/>
  <c r="AN122" i="41"/>
  <c r="AL122" i="41"/>
  <c r="AL125" i="41"/>
  <c r="AR125" i="41"/>
  <c r="AN125" i="41"/>
  <c r="H41" i="50" s="1"/>
  <c r="AP125" i="41"/>
  <c r="AQ125" i="41"/>
  <c r="AL126" i="41"/>
  <c r="AN140" i="41"/>
  <c r="H51" i="50" s="1"/>
  <c r="I51" i="50" s="1"/>
  <c r="AR141" i="41"/>
  <c r="AP141" i="41"/>
  <c r="AL141" i="41"/>
  <c r="AN110" i="41"/>
  <c r="J76" i="45" s="1"/>
  <c r="K76" i="45" s="1"/>
  <c r="AL110" i="41"/>
  <c r="H76" i="45" s="1"/>
  <c r="AJ110" i="41"/>
  <c r="F76" i="45" s="1"/>
  <c r="G76" i="45" s="1"/>
  <c r="AQ108" i="41"/>
  <c r="K125" i="41"/>
  <c r="K128" i="41"/>
  <c r="K129" i="41" s="1"/>
  <c r="AL50" i="41"/>
  <c r="AN64" i="41"/>
  <c r="J44" i="48" s="1"/>
  <c r="K44" i="48" s="1"/>
  <c r="AL79" i="41"/>
  <c r="AL123" i="41"/>
  <c r="F84" i="45" s="1"/>
  <c r="G84" i="45" s="1"/>
  <c r="AN141" i="41"/>
  <c r="L82" i="48"/>
  <c r="M82" i="48" s="1"/>
  <c r="J37" i="46"/>
  <c r="K37" i="46"/>
  <c r="J18" i="50"/>
  <c r="K18" i="50" s="1"/>
  <c r="G112" i="41"/>
  <c r="G113" i="41" s="1"/>
  <c r="O113" i="41"/>
  <c r="O114" i="41"/>
  <c r="L64" i="46"/>
  <c r="M64" i="46" s="1"/>
  <c r="AM77" i="41"/>
  <c r="AS93" i="41"/>
  <c r="I112" i="41"/>
  <c r="W113" i="41"/>
  <c r="W100" i="41"/>
  <c r="H66" i="46"/>
  <c r="I66" i="46" s="1"/>
  <c r="J37" i="45"/>
  <c r="K37" i="45"/>
  <c r="F94" i="45"/>
  <c r="G94" i="45" s="1"/>
  <c r="I83" i="41"/>
  <c r="I84" i="41" s="1"/>
  <c r="J37" i="48"/>
  <c r="K37" i="48" s="1"/>
  <c r="H53" i="48"/>
  <c r="I53" i="48" s="1"/>
  <c r="L27" i="50"/>
  <c r="M27" i="50" s="1"/>
  <c r="L37" i="50"/>
  <c r="M37" i="50" s="1"/>
  <c r="H53" i="45"/>
  <c r="I53" i="45" s="1"/>
  <c r="H29" i="50"/>
  <c r="I29" i="50" s="1"/>
  <c r="L64" i="45"/>
  <c r="M64" i="45" s="1"/>
  <c r="L82" i="45"/>
  <c r="M82" i="45" s="1"/>
  <c r="S55" i="41"/>
  <c r="S56" i="41"/>
  <c r="F94" i="48"/>
  <c r="G94" i="48" s="1"/>
  <c r="AM92" i="41"/>
  <c r="M41" i="41"/>
  <c r="M42" i="41" s="1"/>
  <c r="F63" i="46"/>
  <c r="G63" i="46" s="1"/>
  <c r="H66" i="45"/>
  <c r="I66" i="45"/>
  <c r="F63" i="48"/>
  <c r="G63" i="48" s="1"/>
  <c r="AO95" i="41"/>
  <c r="F49" i="50"/>
  <c r="G49" i="50" s="1"/>
  <c r="F26" i="50"/>
  <c r="G26" i="50" s="1"/>
  <c r="L82" i="46"/>
  <c r="M82" i="46" s="1"/>
  <c r="H36" i="49"/>
  <c r="I36" i="49" s="1"/>
  <c r="AM138" i="41"/>
  <c r="G11" i="41"/>
  <c r="G12" i="41" s="1"/>
  <c r="AE11" i="41"/>
  <c r="F10" i="50"/>
  <c r="G10" i="50" s="1"/>
  <c r="F29" i="48"/>
  <c r="G29" i="48" s="1"/>
  <c r="F29" i="45"/>
  <c r="G29" i="45"/>
  <c r="F29" i="46"/>
  <c r="G29" i="46" s="1"/>
  <c r="AM38" i="41"/>
  <c r="H39" i="50"/>
  <c r="I39" i="50"/>
  <c r="H84" i="48"/>
  <c r="I84" i="48" s="1"/>
  <c r="AO123" i="41"/>
  <c r="J42" i="50"/>
  <c r="K42" i="50" s="1"/>
  <c r="J87" i="48"/>
  <c r="K87" i="48" s="1"/>
  <c r="J87" i="45"/>
  <c r="K87" i="45" s="1"/>
  <c r="AQ126" i="41"/>
  <c r="J87" i="46"/>
  <c r="K87" i="46" s="1"/>
  <c r="J40" i="50"/>
  <c r="K40" i="50" s="1"/>
  <c r="J85" i="45"/>
  <c r="K85" i="45" s="1"/>
  <c r="J85" i="48"/>
  <c r="K85" i="48" s="1"/>
  <c r="AQ124" i="41"/>
  <c r="J85" i="46"/>
  <c r="K85" i="46" s="1"/>
  <c r="F29" i="49"/>
  <c r="G29" i="49" s="1"/>
  <c r="F46" i="48"/>
  <c r="G46" i="48" s="1"/>
  <c r="AK66" i="41"/>
  <c r="F46" i="45"/>
  <c r="G46" i="45" s="1"/>
  <c r="F46" i="46"/>
  <c r="G46" i="46" s="1"/>
  <c r="H49" i="50"/>
  <c r="I49" i="50" s="1"/>
  <c r="H94" i="48"/>
  <c r="I94" i="48" s="1"/>
  <c r="H94" i="45"/>
  <c r="I94" i="45"/>
  <c r="AO138" i="41"/>
  <c r="H94" i="46"/>
  <c r="I94" i="46" s="1"/>
  <c r="F16" i="50"/>
  <c r="G16" i="50" s="1"/>
  <c r="F35" i="48"/>
  <c r="G35" i="48" s="1"/>
  <c r="F35" i="45"/>
  <c r="G35" i="45" s="1"/>
  <c r="AK49" i="41"/>
  <c r="F35" i="46"/>
  <c r="G35" i="46" s="1"/>
  <c r="J19" i="49"/>
  <c r="J19" i="48"/>
  <c r="J19" i="45"/>
  <c r="J19" i="46"/>
  <c r="K19" i="46" s="1"/>
  <c r="F75" i="45"/>
  <c r="F46" i="49" s="1"/>
  <c r="G46" i="49" s="1"/>
  <c r="F75" i="48"/>
  <c r="F75" i="46"/>
  <c r="G75" i="46" s="1"/>
  <c r="J31" i="50"/>
  <c r="K31" i="50" s="1"/>
  <c r="J68" i="48"/>
  <c r="K68" i="48" s="1"/>
  <c r="J68" i="45"/>
  <c r="K68" i="45" s="1"/>
  <c r="AQ97" i="41"/>
  <c r="J68" i="46"/>
  <c r="K68" i="46" s="1"/>
  <c r="L29" i="50"/>
  <c r="M29" i="50" s="1"/>
  <c r="L66" i="48"/>
  <c r="M66" i="48" s="1"/>
  <c r="AS95" i="41"/>
  <c r="L66" i="45"/>
  <c r="M66" i="45" s="1"/>
  <c r="L66" i="46"/>
  <c r="M66" i="46" s="1"/>
  <c r="F39" i="50"/>
  <c r="G39" i="50" s="1"/>
  <c r="F84" i="46"/>
  <c r="G84" i="46" s="1"/>
  <c r="H38" i="49"/>
  <c r="I38" i="49" s="1"/>
  <c r="H55" i="45"/>
  <c r="I55" i="45" s="1"/>
  <c r="AM79" i="41"/>
  <c r="H55" i="48"/>
  <c r="I55" i="48" s="1"/>
  <c r="H55" i="46"/>
  <c r="I55" i="46" s="1"/>
  <c r="L52" i="50"/>
  <c r="M52" i="50"/>
  <c r="L97" i="48"/>
  <c r="M97" i="48" s="1"/>
  <c r="L97" i="45"/>
  <c r="M97" i="45" s="1"/>
  <c r="AS141" i="41"/>
  <c r="L97" i="46"/>
  <c r="M97" i="46" s="1"/>
  <c r="H86" i="45"/>
  <c r="H38" i="50"/>
  <c r="I38" i="50"/>
  <c r="H83" i="45"/>
  <c r="I83" i="45" s="1"/>
  <c r="H83" i="46"/>
  <c r="I83" i="46" s="1"/>
  <c r="AQ94" i="41"/>
  <c r="J65" i="45"/>
  <c r="K65" i="45" s="1"/>
  <c r="J65" i="46"/>
  <c r="K65" i="46" s="1"/>
  <c r="G36" i="48"/>
  <c r="AK50" i="41"/>
  <c r="F36" i="46"/>
  <c r="G36" i="46" s="1"/>
  <c r="L10" i="50"/>
  <c r="M10" i="50" s="1"/>
  <c r="L29" i="48"/>
  <c r="M29" i="48" s="1"/>
  <c r="AS38" i="41"/>
  <c r="J37" i="49"/>
  <c r="F36" i="51" s="1"/>
  <c r="G36" i="51" s="1"/>
  <c r="J54" i="46"/>
  <c r="K54" i="46" s="1"/>
  <c r="F20" i="49"/>
  <c r="G20" i="49" s="1"/>
  <c r="F20" i="48"/>
  <c r="G20" i="48" s="1"/>
  <c r="F20" i="45"/>
  <c r="G20" i="45" s="1"/>
  <c r="AK22" i="41"/>
  <c r="F20" i="46"/>
  <c r="G20" i="46" s="1"/>
  <c r="F16" i="49"/>
  <c r="G16" i="49" s="1"/>
  <c r="F16" i="48"/>
  <c r="G16" i="48" s="1"/>
  <c r="F16" i="45"/>
  <c r="G16" i="45" s="1"/>
  <c r="F16" i="46"/>
  <c r="G16" i="46" s="1"/>
  <c r="AK18" i="41"/>
  <c r="L39" i="50"/>
  <c r="M39" i="50" s="1"/>
  <c r="L84" i="48"/>
  <c r="M84" i="48" s="1"/>
  <c r="L84" i="45"/>
  <c r="M84" i="45" s="1"/>
  <c r="AS123" i="41"/>
  <c r="L84" i="46"/>
  <c r="M84" i="46" s="1"/>
  <c r="L9" i="50"/>
  <c r="M9" i="50" s="1"/>
  <c r="L28" i="45"/>
  <c r="M28" i="45" s="1"/>
  <c r="AS37" i="41"/>
  <c r="L28" i="48"/>
  <c r="M28" i="48" s="1"/>
  <c r="L28" i="46"/>
  <c r="M28" i="46" s="1"/>
  <c r="H9" i="48"/>
  <c r="I9" i="48" s="1"/>
  <c r="H9" i="49"/>
  <c r="I9" i="49" s="1"/>
  <c r="H9" i="45"/>
  <c r="I9" i="45"/>
  <c r="H9" i="46"/>
  <c r="I9" i="46" s="1"/>
  <c r="AO8" i="41"/>
  <c r="H42" i="50"/>
  <c r="I42" i="50"/>
  <c r="H87" i="45"/>
  <c r="I87" i="45" s="1"/>
  <c r="H87" i="48"/>
  <c r="I87" i="48" s="1"/>
  <c r="AO126" i="41"/>
  <c r="H87" i="46"/>
  <c r="I87" i="46" s="1"/>
  <c r="H40" i="50"/>
  <c r="I40" i="50"/>
  <c r="H85" i="45"/>
  <c r="I85" i="45" s="1"/>
  <c r="H85" i="48"/>
  <c r="I85" i="48" s="1"/>
  <c r="AO124" i="41"/>
  <c r="H85" i="46"/>
  <c r="I85" i="46" s="1"/>
  <c r="H26" i="50"/>
  <c r="I26" i="50" s="1"/>
  <c r="H63" i="48"/>
  <c r="I63" i="48"/>
  <c r="H63" i="45"/>
  <c r="I63" i="45" s="1"/>
  <c r="AO92" i="41"/>
  <c r="H63" i="46"/>
  <c r="I63" i="46" s="1"/>
  <c r="H17" i="49"/>
  <c r="I17" i="49" s="1"/>
  <c r="H17" i="48"/>
  <c r="I17" i="48" s="1"/>
  <c r="AM19" i="41"/>
  <c r="H17" i="45"/>
  <c r="I17" i="45" s="1"/>
  <c r="H17" i="46"/>
  <c r="I17" i="46" s="1"/>
  <c r="H8" i="49"/>
  <c r="I8" i="49" s="1"/>
  <c r="H8" i="48"/>
  <c r="I8" i="48"/>
  <c r="H8" i="45"/>
  <c r="I8" i="45" s="1"/>
  <c r="H8" i="46"/>
  <c r="I8" i="46" s="1"/>
  <c r="AO7" i="41"/>
  <c r="F9" i="49"/>
  <c r="G9" i="49" s="1"/>
  <c r="F9" i="48"/>
  <c r="G9" i="48" s="1"/>
  <c r="F9" i="45"/>
  <c r="G9" i="45" s="1"/>
  <c r="F9" i="46"/>
  <c r="G9" i="46" s="1"/>
  <c r="AM8" i="41"/>
  <c r="F74" i="45"/>
  <c r="F45" i="49" s="1"/>
  <c r="G45" i="49" s="1"/>
  <c r="F74" i="48"/>
  <c r="AK108" i="41"/>
  <c r="F74" i="46"/>
  <c r="G74" i="46" s="1"/>
  <c r="L74" i="45"/>
  <c r="L45" i="49" s="1"/>
  <c r="M45" i="49" s="1"/>
  <c r="L74" i="48"/>
  <c r="L74" i="46"/>
  <c r="M74" i="46" s="1"/>
  <c r="J49" i="50"/>
  <c r="K49" i="50" s="1"/>
  <c r="J94" i="48"/>
  <c r="K94" i="48" s="1"/>
  <c r="J94" i="45"/>
  <c r="K94" i="45" s="1"/>
  <c r="AQ138" i="41"/>
  <c r="J94" i="46"/>
  <c r="K94" i="46" s="1"/>
  <c r="J48" i="50"/>
  <c r="K48" i="50" s="1"/>
  <c r="J93" i="45"/>
  <c r="K93" i="45" s="1"/>
  <c r="J93" i="48"/>
  <c r="K93" i="48" s="1"/>
  <c r="AQ137" i="41"/>
  <c r="J93" i="46"/>
  <c r="K93" i="46"/>
  <c r="L16" i="50"/>
  <c r="M16" i="50" s="1"/>
  <c r="L35" i="48"/>
  <c r="M35" i="48" s="1"/>
  <c r="L35" i="45"/>
  <c r="M35" i="45" s="1"/>
  <c r="AQ49" i="41"/>
  <c r="L35" i="46"/>
  <c r="M35" i="46" s="1"/>
  <c r="H39" i="49"/>
  <c r="I39" i="49" s="1"/>
  <c r="H56" i="48"/>
  <c r="I56" i="48" s="1"/>
  <c r="H56" i="45"/>
  <c r="I56" i="45" s="1"/>
  <c r="AM80" i="41"/>
  <c r="H56" i="46"/>
  <c r="I56" i="46" s="1"/>
  <c r="F47" i="48"/>
  <c r="G47" i="48" s="1"/>
  <c r="F30" i="49"/>
  <c r="G30" i="49" s="1"/>
  <c r="F47" i="45"/>
  <c r="G47" i="45"/>
  <c r="AK67" i="41"/>
  <c r="F47" i="46"/>
  <c r="G47" i="46" s="1"/>
  <c r="F19" i="49"/>
  <c r="G19" i="49" s="1"/>
  <c r="F19" i="48"/>
  <c r="F19" i="45"/>
  <c r="F19" i="46"/>
  <c r="G19" i="46" s="1"/>
  <c r="L29" i="49"/>
  <c r="M29" i="49" s="1"/>
  <c r="L46" i="48"/>
  <c r="M46" i="48" s="1"/>
  <c r="L46" i="45"/>
  <c r="M46" i="45"/>
  <c r="AQ66" i="41"/>
  <c r="L46" i="46"/>
  <c r="M46" i="46" s="1"/>
  <c r="F96" i="48"/>
  <c r="F96" i="45"/>
  <c r="F96" i="46"/>
  <c r="G96" i="46" s="1"/>
  <c r="L20" i="49"/>
  <c r="M20" i="49" s="1"/>
  <c r="L20" i="48"/>
  <c r="M20" i="48" s="1"/>
  <c r="L20" i="45"/>
  <c r="M20" i="45" s="1"/>
  <c r="AQ22" i="41"/>
  <c r="L20" i="46"/>
  <c r="M20" i="46" s="1"/>
  <c r="J96" i="48"/>
  <c r="J96" i="45"/>
  <c r="K96" i="45" s="1"/>
  <c r="J96" i="46"/>
  <c r="K96" i="46" s="1"/>
  <c r="L31" i="50"/>
  <c r="M31" i="50" s="1"/>
  <c r="L68" i="48"/>
  <c r="M68" i="48"/>
  <c r="AS97" i="41"/>
  <c r="L68" i="46"/>
  <c r="M68" i="46" s="1"/>
  <c r="L68" i="45"/>
  <c r="M68" i="45" s="1"/>
  <c r="J29" i="50"/>
  <c r="K29" i="50" s="1"/>
  <c r="J66" i="48"/>
  <c r="K66" i="48" s="1"/>
  <c r="J66" i="45"/>
  <c r="K66" i="45" s="1"/>
  <c r="AQ95" i="41"/>
  <c r="J66" i="46"/>
  <c r="K66" i="46" s="1"/>
  <c r="F25" i="50"/>
  <c r="G25" i="50"/>
  <c r="F62" i="48"/>
  <c r="G62" i="48" s="1"/>
  <c r="F62" i="45"/>
  <c r="G62" i="45" s="1"/>
  <c r="AM91" i="41"/>
  <c r="F62" i="46"/>
  <c r="G62" i="46" s="1"/>
  <c r="L19" i="50"/>
  <c r="M19" i="50" s="1"/>
  <c r="L38" i="48"/>
  <c r="M38" i="48" s="1"/>
  <c r="L38" i="45"/>
  <c r="L38" i="46"/>
  <c r="M38" i="46" s="1"/>
  <c r="F18" i="50"/>
  <c r="G18" i="50" s="1"/>
  <c r="F37" i="45"/>
  <c r="G37" i="45" s="1"/>
  <c r="F37" i="48"/>
  <c r="G37" i="48" s="1"/>
  <c r="F37" i="46"/>
  <c r="G37" i="46" s="1"/>
  <c r="AK51" i="41"/>
  <c r="F8" i="50"/>
  <c r="G8" i="50" s="1"/>
  <c r="F27" i="45"/>
  <c r="G27" i="45" s="1"/>
  <c r="F27" i="48"/>
  <c r="G27" i="48" s="1"/>
  <c r="F27" i="46"/>
  <c r="G27" i="46" s="1"/>
  <c r="AM36" i="41"/>
  <c r="J7" i="50"/>
  <c r="K7" i="50" s="1"/>
  <c r="J26" i="48"/>
  <c r="K26" i="48"/>
  <c r="J26" i="45"/>
  <c r="K26" i="45" s="1"/>
  <c r="AQ35" i="41"/>
  <c r="J26" i="46"/>
  <c r="K26" i="46" s="1"/>
  <c r="F45" i="46"/>
  <c r="G45" i="46" s="1"/>
  <c r="H7" i="49"/>
  <c r="I7" i="49" s="1"/>
  <c r="H7" i="48"/>
  <c r="I7" i="48" s="1"/>
  <c r="H7" i="45"/>
  <c r="I7" i="45" s="1"/>
  <c r="H7" i="46"/>
  <c r="I7" i="46" s="1"/>
  <c r="AO6" i="41"/>
  <c r="H6" i="49"/>
  <c r="I6" i="49" s="1"/>
  <c r="H6" i="48"/>
  <c r="I6" i="48" s="1"/>
  <c r="H6" i="45"/>
  <c r="I6" i="45" s="1"/>
  <c r="H6" i="46"/>
  <c r="I6" i="46" s="1"/>
  <c r="AO5" i="41"/>
  <c r="AQ140" i="41"/>
  <c r="L86" i="45"/>
  <c r="J17" i="50"/>
  <c r="K17" i="50"/>
  <c r="J36" i="48"/>
  <c r="K36" i="48" s="1"/>
  <c r="J36" i="45"/>
  <c r="K36" i="45" s="1"/>
  <c r="AO50" i="41"/>
  <c r="J36" i="46"/>
  <c r="K36" i="46" s="1"/>
  <c r="L37" i="49"/>
  <c r="M37" i="49" s="1"/>
  <c r="L54" i="45"/>
  <c r="M54" i="45" s="1"/>
  <c r="L54" i="48"/>
  <c r="M54" i="48" s="1"/>
  <c r="AQ78" i="41"/>
  <c r="L54" i="46"/>
  <c r="M54" i="46" s="1"/>
  <c r="J20" i="49"/>
  <c r="K20" i="49" s="1"/>
  <c r="J20" i="48"/>
  <c r="K20" i="48" s="1"/>
  <c r="J20" i="45"/>
  <c r="K20" i="45" s="1"/>
  <c r="AO22" i="41"/>
  <c r="J20" i="46"/>
  <c r="K20" i="46" s="1"/>
  <c r="H16" i="50"/>
  <c r="I16" i="50" s="1"/>
  <c r="H35" i="45"/>
  <c r="I35" i="45" s="1"/>
  <c r="AM49" i="41"/>
  <c r="H35" i="46"/>
  <c r="I35" i="46" s="1"/>
  <c r="H35" i="48"/>
  <c r="I35" i="48" s="1"/>
  <c r="H48" i="50"/>
  <c r="I48" i="50" s="1"/>
  <c r="H93" i="48"/>
  <c r="I93" i="48" s="1"/>
  <c r="H93" i="45"/>
  <c r="I93" i="45"/>
  <c r="AO137" i="41"/>
  <c r="H93" i="46"/>
  <c r="I93" i="46" s="1"/>
  <c r="J30" i="49"/>
  <c r="J47" i="48"/>
  <c r="K47" i="48" s="1"/>
  <c r="J47" i="45"/>
  <c r="K47" i="45" s="1"/>
  <c r="AO67" i="41"/>
  <c r="J47" i="46"/>
  <c r="K47" i="46"/>
  <c r="L18" i="49"/>
  <c r="M18" i="49" s="1"/>
  <c r="L18" i="48"/>
  <c r="M18" i="48" s="1"/>
  <c r="L18" i="45"/>
  <c r="M18" i="45" s="1"/>
  <c r="AQ20" i="41"/>
  <c r="L18" i="46"/>
  <c r="M18" i="46" s="1"/>
  <c r="H25" i="50"/>
  <c r="I25" i="50" s="1"/>
  <c r="H62" i="48"/>
  <c r="I62" i="48" s="1"/>
  <c r="AO91" i="41"/>
  <c r="H62" i="45"/>
  <c r="I62" i="45" s="1"/>
  <c r="H62" i="46"/>
  <c r="I62" i="46" s="1"/>
  <c r="F19" i="50"/>
  <c r="G19" i="50" s="1"/>
  <c r="F38" i="48"/>
  <c r="F38" i="45"/>
  <c r="F38" i="46"/>
  <c r="G38" i="46" s="1"/>
  <c r="L7" i="50"/>
  <c r="M7" i="50" s="1"/>
  <c r="L26" i="48"/>
  <c r="M26" i="48" s="1"/>
  <c r="L26" i="45"/>
  <c r="M26" i="45" s="1"/>
  <c r="AS35" i="41"/>
  <c r="L26" i="46"/>
  <c r="M26" i="46" s="1"/>
  <c r="H18" i="46"/>
  <c r="I18" i="46" s="1"/>
  <c r="H17" i="50"/>
  <c r="I17" i="50" s="1"/>
  <c r="H36" i="48"/>
  <c r="I36" i="48" s="1"/>
  <c r="H36" i="45"/>
  <c r="I36" i="45" s="1"/>
  <c r="AM50" i="41"/>
  <c r="H36" i="46"/>
  <c r="I36" i="46" s="1"/>
  <c r="F52" i="50"/>
  <c r="G52" i="50" s="1"/>
  <c r="F97" i="48"/>
  <c r="G97" i="48" s="1"/>
  <c r="F97" i="45"/>
  <c r="G97" i="45"/>
  <c r="AM141" i="41"/>
  <c r="F97" i="46"/>
  <c r="G97" i="46" s="1"/>
  <c r="F42" i="50"/>
  <c r="G42" i="50" s="1"/>
  <c r="F87" i="48"/>
  <c r="G87" i="48" s="1"/>
  <c r="F87" i="45"/>
  <c r="G87" i="45" s="1"/>
  <c r="AM126" i="41"/>
  <c r="F87" i="46"/>
  <c r="G87" i="46"/>
  <c r="F41" i="50"/>
  <c r="F86" i="45"/>
  <c r="F86" i="48"/>
  <c r="G86" i="48"/>
  <c r="F86" i="46"/>
  <c r="G86" i="46" s="1"/>
  <c r="L38" i="50"/>
  <c r="M38" i="50" s="1"/>
  <c r="L83" i="48"/>
  <c r="M83" i="48" s="1"/>
  <c r="L83" i="45"/>
  <c r="M83" i="45" s="1"/>
  <c r="AS122" i="41"/>
  <c r="L83" i="46"/>
  <c r="M83" i="46" s="1"/>
  <c r="H18" i="50"/>
  <c r="I18" i="50" s="1"/>
  <c r="H37" i="45"/>
  <c r="I37" i="45" s="1"/>
  <c r="H37" i="48"/>
  <c r="I37" i="48" s="1"/>
  <c r="AM51" i="41"/>
  <c r="H37" i="46"/>
  <c r="I37" i="46" s="1"/>
  <c r="H10" i="50"/>
  <c r="I10" i="50" s="1"/>
  <c r="H29" i="45"/>
  <c r="I29" i="45"/>
  <c r="AO38" i="41"/>
  <c r="H29" i="48"/>
  <c r="I29" i="48" s="1"/>
  <c r="H29" i="46"/>
  <c r="I29" i="46" s="1"/>
  <c r="F54" i="48"/>
  <c r="G54" i="48" s="1"/>
  <c r="F37" i="49"/>
  <c r="G37" i="49" s="1"/>
  <c r="F54" i="45"/>
  <c r="G54" i="45" s="1"/>
  <c r="AK78" i="41"/>
  <c r="F54" i="46"/>
  <c r="G54" i="46" s="1"/>
  <c r="H20" i="49"/>
  <c r="I20" i="49"/>
  <c r="H20" i="48"/>
  <c r="I20" i="48" s="1"/>
  <c r="H20" i="45"/>
  <c r="I20" i="45" s="1"/>
  <c r="AM22" i="41"/>
  <c r="H20" i="46"/>
  <c r="I20" i="46" s="1"/>
  <c r="J38" i="49"/>
  <c r="J55" i="48"/>
  <c r="K55" i="48" s="1"/>
  <c r="J55" i="45"/>
  <c r="K55" i="45" s="1"/>
  <c r="AO79" i="41"/>
  <c r="K55" i="46"/>
  <c r="AS8" i="41"/>
  <c r="AM125" i="41"/>
  <c r="L42" i="50"/>
  <c r="M42" i="50" s="1"/>
  <c r="L87" i="45"/>
  <c r="M87" i="45" s="1"/>
  <c r="AS126" i="41"/>
  <c r="L87" i="48"/>
  <c r="M87" i="48" s="1"/>
  <c r="L87" i="46"/>
  <c r="M87" i="46"/>
  <c r="L40" i="50"/>
  <c r="M40" i="50" s="1"/>
  <c r="L85" i="45"/>
  <c r="M85" i="45" s="1"/>
  <c r="L85" i="48"/>
  <c r="M85" i="48" s="1"/>
  <c r="AS124" i="41"/>
  <c r="L85" i="46"/>
  <c r="M85" i="46" s="1"/>
  <c r="AQ92" i="41"/>
  <c r="J63" i="48"/>
  <c r="K63" i="48" s="1"/>
  <c r="J26" i="50"/>
  <c r="K26" i="50" s="1"/>
  <c r="J63" i="45"/>
  <c r="K63" i="45" s="1"/>
  <c r="J63" i="46"/>
  <c r="K63" i="46" s="1"/>
  <c r="H29" i="49"/>
  <c r="I29" i="49" s="1"/>
  <c r="H46" i="48"/>
  <c r="I46" i="48"/>
  <c r="H46" i="45"/>
  <c r="I46" i="45" s="1"/>
  <c r="AM66" i="41"/>
  <c r="H46" i="46"/>
  <c r="I46" i="46" s="1"/>
  <c r="J17" i="49"/>
  <c r="K17" i="49" s="1"/>
  <c r="J17" i="48"/>
  <c r="K17" i="48" s="1"/>
  <c r="AO19" i="41"/>
  <c r="J17" i="45"/>
  <c r="K17" i="45" s="1"/>
  <c r="J17" i="46"/>
  <c r="K17" i="46" s="1"/>
  <c r="AK52" i="41"/>
  <c r="J9" i="50"/>
  <c r="K9" i="50" s="1"/>
  <c r="J28" i="48"/>
  <c r="K28" i="48" s="1"/>
  <c r="J28" i="45"/>
  <c r="K28" i="45" s="1"/>
  <c r="AQ37" i="41"/>
  <c r="J28" i="46"/>
  <c r="K28" i="46" s="1"/>
  <c r="F36" i="49"/>
  <c r="G36" i="49" s="1"/>
  <c r="F53" i="45"/>
  <c r="G53" i="45" s="1"/>
  <c r="AK77" i="41"/>
  <c r="F53" i="48"/>
  <c r="G53" i="48" s="1"/>
  <c r="F53" i="46"/>
  <c r="G53" i="46" s="1"/>
  <c r="J74" i="45"/>
  <c r="J45" i="49" s="1"/>
  <c r="J74" i="48"/>
  <c r="J74" i="46"/>
  <c r="K74" i="46" s="1"/>
  <c r="L50" i="50"/>
  <c r="M50" i="50" s="1"/>
  <c r="L95" i="48"/>
  <c r="M95" i="48" s="1"/>
  <c r="L95" i="45"/>
  <c r="M95" i="45"/>
  <c r="AS139" i="41"/>
  <c r="L95" i="46"/>
  <c r="M95" i="46" s="1"/>
  <c r="L49" i="50"/>
  <c r="M49" i="50" s="1"/>
  <c r="L94" i="48"/>
  <c r="M94" i="48" s="1"/>
  <c r="L94" i="45"/>
  <c r="M94" i="45" s="1"/>
  <c r="AS138" i="41"/>
  <c r="L94" i="46"/>
  <c r="M94" i="46" s="1"/>
  <c r="L48" i="50"/>
  <c r="M48" i="50" s="1"/>
  <c r="L93" i="48"/>
  <c r="M93" i="48"/>
  <c r="L93" i="45"/>
  <c r="M93" i="45" s="1"/>
  <c r="AS137" i="41"/>
  <c r="L93" i="46"/>
  <c r="M93" i="46"/>
  <c r="I64" i="48"/>
  <c r="H64" i="45"/>
  <c r="I64" i="45" s="1"/>
  <c r="H64" i="46"/>
  <c r="I64" i="46" s="1"/>
  <c r="J16" i="50"/>
  <c r="K16" i="50" s="1"/>
  <c r="J35" i="48"/>
  <c r="K35" i="48" s="1"/>
  <c r="J35" i="45"/>
  <c r="K35" i="45"/>
  <c r="J35" i="46"/>
  <c r="K35" i="46" s="1"/>
  <c r="AO49" i="41"/>
  <c r="AO54" i="41" s="1"/>
  <c r="M39" i="49"/>
  <c r="L56" i="46"/>
  <c r="M56" i="46" s="1"/>
  <c r="L30" i="49"/>
  <c r="M30" i="49" s="1"/>
  <c r="AQ67" i="41"/>
  <c r="M47" i="48"/>
  <c r="L19" i="49"/>
  <c r="L19" i="48"/>
  <c r="L19" i="45"/>
  <c r="L19" i="46"/>
  <c r="M19" i="46" s="1"/>
  <c r="F15" i="49"/>
  <c r="G15" i="49" s="1"/>
  <c r="F15" i="48"/>
  <c r="G15" i="48" s="1"/>
  <c r="F15" i="45"/>
  <c r="G15" i="45" s="1"/>
  <c r="F15" i="46"/>
  <c r="G15" i="46" s="1"/>
  <c r="AK17" i="41"/>
  <c r="G28" i="50"/>
  <c r="F65" i="45"/>
  <c r="G65" i="45" s="1"/>
  <c r="F65" i="46"/>
  <c r="G65" i="46"/>
  <c r="L75" i="45"/>
  <c r="J37" i="50"/>
  <c r="K37" i="50" s="1"/>
  <c r="J82" i="48"/>
  <c r="K82" i="48"/>
  <c r="J82" i="45"/>
  <c r="K82" i="45" s="1"/>
  <c r="AQ121" i="41"/>
  <c r="J82" i="46"/>
  <c r="K82" i="46" s="1"/>
  <c r="F29" i="50"/>
  <c r="G29" i="50" s="1"/>
  <c r="F66" i="48"/>
  <c r="G66" i="48" s="1"/>
  <c r="F66" i="45"/>
  <c r="G66" i="45" s="1"/>
  <c r="AM95" i="41"/>
  <c r="F66" i="46"/>
  <c r="G66" i="46" s="1"/>
  <c r="J38" i="46"/>
  <c r="K38" i="46"/>
  <c r="L45" i="45"/>
  <c r="M45" i="45"/>
  <c r="AO110" i="41"/>
  <c r="L28" i="50"/>
  <c r="M28" i="50"/>
  <c r="L65" i="48"/>
  <c r="M65" i="48"/>
  <c r="L65" i="45"/>
  <c r="M65" i="45"/>
  <c r="AS94" i="41"/>
  <c r="L65" i="46"/>
  <c r="M65" i="46" s="1"/>
  <c r="H9" i="50"/>
  <c r="I9" i="50" s="1"/>
  <c r="H28" i="45"/>
  <c r="I28" i="45" s="1"/>
  <c r="H28" i="48"/>
  <c r="I28" i="48" s="1"/>
  <c r="AO37" i="41"/>
  <c r="H28" i="46"/>
  <c r="I28" i="46" s="1"/>
  <c r="F17" i="48"/>
  <c r="G17" i="48" s="1"/>
  <c r="F17" i="49"/>
  <c r="G17" i="49"/>
  <c r="F17" i="45"/>
  <c r="G17" i="45" s="1"/>
  <c r="AK19" i="41"/>
  <c r="F17" i="46"/>
  <c r="G17" i="46" s="1"/>
  <c r="J27" i="50"/>
  <c r="K27" i="50" s="1"/>
  <c r="J64" i="48"/>
  <c r="K64" i="48" s="1"/>
  <c r="J64" i="45"/>
  <c r="K64" i="45" s="1"/>
  <c r="AQ93" i="41"/>
  <c r="K64" i="46"/>
  <c r="J50" i="50"/>
  <c r="K50" i="50" s="1"/>
  <c r="J95" i="45"/>
  <c r="K95" i="45" s="1"/>
  <c r="J95" i="48"/>
  <c r="K95" i="48" s="1"/>
  <c r="AQ139" i="41"/>
  <c r="J95" i="46"/>
  <c r="K95" i="46" s="1"/>
  <c r="J39" i="49"/>
  <c r="F38" i="51" s="1"/>
  <c r="G38" i="51" s="1"/>
  <c r="J56" i="48"/>
  <c r="K56" i="48" s="1"/>
  <c r="J56" i="45"/>
  <c r="K56" i="45" s="1"/>
  <c r="AO80" i="41"/>
  <c r="J56" i="46"/>
  <c r="K56" i="46" s="1"/>
  <c r="J8" i="49"/>
  <c r="K8" i="49" s="1"/>
  <c r="J8" i="48"/>
  <c r="K8" i="48" s="1"/>
  <c r="J8" i="45"/>
  <c r="K8" i="45" s="1"/>
  <c r="J8" i="46"/>
  <c r="K8" i="46" s="1"/>
  <c r="AQ7" i="41"/>
  <c r="H8" i="50"/>
  <c r="I8" i="50" s="1"/>
  <c r="H27" i="45"/>
  <c r="I27" i="45" s="1"/>
  <c r="H27" i="48"/>
  <c r="I27" i="48"/>
  <c r="AO36" i="41"/>
  <c r="H27" i="46"/>
  <c r="I27" i="46" s="1"/>
  <c r="H52" i="50"/>
  <c r="I52" i="50" s="1"/>
  <c r="H97" i="48"/>
  <c r="I97" i="48" s="1"/>
  <c r="H97" i="45"/>
  <c r="I97" i="45" s="1"/>
  <c r="AO141" i="41"/>
  <c r="H97" i="46"/>
  <c r="I97" i="46" s="1"/>
  <c r="AK110" i="41"/>
  <c r="AK112" i="41" s="1"/>
  <c r="J52" i="50"/>
  <c r="K52" i="50" s="1"/>
  <c r="J97" i="45"/>
  <c r="K97" i="45" s="1"/>
  <c r="J97" i="48"/>
  <c r="K97" i="48"/>
  <c r="J97" i="46"/>
  <c r="K97" i="46" s="1"/>
  <c r="AQ141" i="41"/>
  <c r="J41" i="50"/>
  <c r="K41" i="50" s="1"/>
  <c r="J86" i="48"/>
  <c r="J86" i="45"/>
  <c r="J86" i="46"/>
  <c r="K86" i="46" s="1"/>
  <c r="F38" i="50"/>
  <c r="G38" i="50" s="1"/>
  <c r="F83" i="48"/>
  <c r="G83" i="48" s="1"/>
  <c r="F83" i="45"/>
  <c r="G83" i="45" s="1"/>
  <c r="AM122" i="41"/>
  <c r="F83" i="46"/>
  <c r="G83" i="46" s="1"/>
  <c r="H28" i="50"/>
  <c r="I28" i="50" s="1"/>
  <c r="H65" i="48"/>
  <c r="I65" i="48" s="1"/>
  <c r="H65" i="45"/>
  <c r="I65" i="45" s="1"/>
  <c r="AO94" i="41"/>
  <c r="H65" i="46"/>
  <c r="I65" i="46" s="1"/>
  <c r="L18" i="50"/>
  <c r="M18" i="50" s="1"/>
  <c r="L37" i="48"/>
  <c r="M37" i="48" s="1"/>
  <c r="L37" i="45"/>
  <c r="M37" i="45" s="1"/>
  <c r="L37" i="46"/>
  <c r="M37" i="46" s="1"/>
  <c r="AQ51" i="41"/>
  <c r="J10" i="50"/>
  <c r="K10" i="50" s="1"/>
  <c r="J29" i="48"/>
  <c r="K29" i="48" s="1"/>
  <c r="J29" i="45"/>
  <c r="K29" i="45" s="1"/>
  <c r="AQ38" i="41"/>
  <c r="J29" i="46"/>
  <c r="K29" i="46" s="1"/>
  <c r="H37" i="49"/>
  <c r="I37" i="49" s="1"/>
  <c r="I40" i="49" s="1"/>
  <c r="H54" i="45"/>
  <c r="I54" i="45"/>
  <c r="H54" i="48"/>
  <c r="I54" i="48" s="1"/>
  <c r="I57" i="48" s="1"/>
  <c r="AM78" i="41"/>
  <c r="AM82" i="41" s="1"/>
  <c r="H54" i="46"/>
  <c r="I54" i="46" s="1"/>
  <c r="I57" i="46" s="1"/>
  <c r="H44" i="48"/>
  <c r="I44" i="48" s="1"/>
  <c r="L16" i="49"/>
  <c r="M16" i="49" s="1"/>
  <c r="L16" i="48"/>
  <c r="M16" i="48" s="1"/>
  <c r="L16" i="45"/>
  <c r="M16" i="45" s="1"/>
  <c r="AQ18" i="41"/>
  <c r="M16" i="46"/>
  <c r="F55" i="48"/>
  <c r="G55" i="48" s="1"/>
  <c r="F55" i="45"/>
  <c r="G55" i="45" s="1"/>
  <c r="AK79" i="41"/>
  <c r="F38" i="49"/>
  <c r="G38" i="49" s="1"/>
  <c r="F55" i="46"/>
  <c r="G55" i="46" s="1"/>
  <c r="J9" i="49"/>
  <c r="K9" i="49" s="1"/>
  <c r="J9" i="48"/>
  <c r="K9" i="48" s="1"/>
  <c r="J9" i="45"/>
  <c r="K9" i="45" s="1"/>
  <c r="J9" i="46"/>
  <c r="K9" i="46" s="1"/>
  <c r="AQ8" i="41"/>
  <c r="AK109" i="41"/>
  <c r="F40" i="50"/>
  <c r="G40" i="50" s="1"/>
  <c r="F85" i="48"/>
  <c r="G85" i="48" s="1"/>
  <c r="F85" i="45"/>
  <c r="G85" i="45" s="1"/>
  <c r="AM124" i="41"/>
  <c r="F85" i="46"/>
  <c r="G85" i="46" s="1"/>
  <c r="L26" i="50"/>
  <c r="M26" i="50" s="1"/>
  <c r="L63" i="48"/>
  <c r="M63" i="48" s="1"/>
  <c r="L63" i="45"/>
  <c r="M63" i="45"/>
  <c r="AS92" i="41"/>
  <c r="L63" i="46"/>
  <c r="M63" i="46" s="1"/>
  <c r="J29" i="49"/>
  <c r="K29" i="49" s="1"/>
  <c r="J46" i="48"/>
  <c r="K46" i="48" s="1"/>
  <c r="AO66" i="41"/>
  <c r="J46" i="45"/>
  <c r="K46" i="45" s="1"/>
  <c r="J46" i="46"/>
  <c r="K46" i="46" s="1"/>
  <c r="L17" i="49"/>
  <c r="M17" i="49" s="1"/>
  <c r="L17" i="48"/>
  <c r="M17" i="48" s="1"/>
  <c r="L17" i="45"/>
  <c r="M17" i="45" s="1"/>
  <c r="AQ19" i="41"/>
  <c r="L17" i="46"/>
  <c r="M17" i="46" s="1"/>
  <c r="AO21" i="41"/>
  <c r="L38" i="49"/>
  <c r="M38" i="49" s="1"/>
  <c r="L55" i="48"/>
  <c r="M55" i="48" s="1"/>
  <c r="L55" i="45"/>
  <c r="M55" i="45" s="1"/>
  <c r="AQ79" i="41"/>
  <c r="M55" i="46"/>
  <c r="H50" i="50"/>
  <c r="I50" i="50" s="1"/>
  <c r="I53" i="50" s="1"/>
  <c r="H95" i="48"/>
  <c r="I95" i="48" s="1"/>
  <c r="H95" i="45"/>
  <c r="I95" i="45" s="1"/>
  <c r="AO139" i="41"/>
  <c r="H95" i="46"/>
  <c r="I95" i="46" s="1"/>
  <c r="H74" i="48"/>
  <c r="I74" i="48" s="1"/>
  <c r="F50" i="50"/>
  <c r="G50" i="50" s="1"/>
  <c r="G95" i="48"/>
  <c r="F95" i="45"/>
  <c r="G95" i="45" s="1"/>
  <c r="F95" i="46"/>
  <c r="G95" i="46" s="1"/>
  <c r="F27" i="50"/>
  <c r="G27" i="50" s="1"/>
  <c r="F64" i="48"/>
  <c r="G64" i="48" s="1"/>
  <c r="F64" i="45"/>
  <c r="G64" i="45" s="1"/>
  <c r="F64" i="46"/>
  <c r="G64" i="46" s="1"/>
  <c r="AM93" i="41"/>
  <c r="F39" i="49"/>
  <c r="G39" i="49" s="1"/>
  <c r="G40" i="49" s="1"/>
  <c r="F56" i="48"/>
  <c r="G56" i="48" s="1"/>
  <c r="F56" i="45"/>
  <c r="G56" i="45" s="1"/>
  <c r="AK80" i="41"/>
  <c r="F56" i="46"/>
  <c r="G56" i="46" s="1"/>
  <c r="H30" i="49"/>
  <c r="I30" i="49" s="1"/>
  <c r="H47" i="48"/>
  <c r="I47" i="48" s="1"/>
  <c r="H47" i="45"/>
  <c r="I47" i="45" s="1"/>
  <c r="AM67" i="41"/>
  <c r="H47" i="46"/>
  <c r="I47" i="46" s="1"/>
  <c r="H19" i="49"/>
  <c r="I19" i="49" s="1"/>
  <c r="H19" i="48"/>
  <c r="I19" i="48" s="1"/>
  <c r="H19" i="45"/>
  <c r="H19" i="46"/>
  <c r="I19" i="46" s="1"/>
  <c r="F18" i="49"/>
  <c r="G18" i="49" s="1"/>
  <c r="G21" i="49" s="1"/>
  <c r="G22" i="49" s="1"/>
  <c r="F18" i="48"/>
  <c r="G18" i="48" s="1"/>
  <c r="F18" i="45"/>
  <c r="G18" i="45" s="1"/>
  <c r="F18" i="46"/>
  <c r="G18" i="46" s="1"/>
  <c r="G21" i="46" s="1"/>
  <c r="AK20" i="41"/>
  <c r="L15" i="49"/>
  <c r="M15" i="49"/>
  <c r="L15" i="48"/>
  <c r="M15" i="48" s="1"/>
  <c r="L15" i="45"/>
  <c r="M15" i="45" s="1"/>
  <c r="AQ17" i="41"/>
  <c r="L15" i="46"/>
  <c r="M15" i="46" s="1"/>
  <c r="L36" i="49"/>
  <c r="M36" i="49" s="1"/>
  <c r="L53" i="48"/>
  <c r="M53" i="48" s="1"/>
  <c r="L53" i="45"/>
  <c r="M53" i="45" s="1"/>
  <c r="AQ77" i="41"/>
  <c r="L53" i="46"/>
  <c r="M53" i="46" s="1"/>
  <c r="G71" i="41"/>
  <c r="L44" i="45"/>
  <c r="M44" i="45" s="1"/>
  <c r="J28" i="49"/>
  <c r="K28" i="49" s="1"/>
  <c r="J45" i="48"/>
  <c r="K45" i="48"/>
  <c r="J45" i="45"/>
  <c r="K45" i="45" s="1"/>
  <c r="AO65" i="41"/>
  <c r="J45" i="46"/>
  <c r="K45" i="46" s="1"/>
  <c r="F37" i="50"/>
  <c r="G37" i="50" s="1"/>
  <c r="F82" i="48"/>
  <c r="G82" i="48" s="1"/>
  <c r="F82" i="45"/>
  <c r="G82" i="45" s="1"/>
  <c r="AM121" i="41"/>
  <c r="F82" i="46"/>
  <c r="G82" i="46" s="1"/>
  <c r="F31" i="50"/>
  <c r="G31" i="50" s="1"/>
  <c r="F68" i="48"/>
  <c r="G68" i="48" s="1"/>
  <c r="F68" i="45"/>
  <c r="G68" i="45" s="1"/>
  <c r="AM97" i="41"/>
  <c r="F68" i="46"/>
  <c r="G68" i="46" s="1"/>
  <c r="J25" i="50"/>
  <c r="K25" i="50" s="1"/>
  <c r="J62" i="48"/>
  <c r="K62" i="48" s="1"/>
  <c r="J62" i="45"/>
  <c r="K62" i="45" s="1"/>
  <c r="AQ91" i="41"/>
  <c r="J62" i="46"/>
  <c r="K62" i="46" s="1"/>
  <c r="H19" i="50"/>
  <c r="I19" i="50" s="1"/>
  <c r="I20" i="50" s="1"/>
  <c r="I21" i="50" s="1"/>
  <c r="I22" i="50" s="1"/>
  <c r="H38" i="45"/>
  <c r="I38" i="45" s="1"/>
  <c r="H38" i="48"/>
  <c r="H38" i="46"/>
  <c r="I38" i="46" s="1"/>
  <c r="L8" i="50"/>
  <c r="M8" i="50" s="1"/>
  <c r="L27" i="48"/>
  <c r="M27" i="48" s="1"/>
  <c r="M30" i="48" s="1"/>
  <c r="L27" i="45"/>
  <c r="M27" i="45" s="1"/>
  <c r="AS36" i="41"/>
  <c r="AS40" i="41" s="1"/>
  <c r="L27" i="46"/>
  <c r="M27" i="46" s="1"/>
  <c r="M30" i="46" s="1"/>
  <c r="J16" i="49"/>
  <c r="K16" i="49" s="1"/>
  <c r="J16" i="48"/>
  <c r="K16" i="48" s="1"/>
  <c r="J16" i="45"/>
  <c r="K16" i="45"/>
  <c r="J16" i="46"/>
  <c r="K16" i="46" s="1"/>
  <c r="AO18" i="41"/>
  <c r="AO140" i="41"/>
  <c r="AK54" i="41"/>
  <c r="AK55" i="41" s="1"/>
  <c r="AK24" i="41"/>
  <c r="AK25" i="41" s="1"/>
  <c r="AC58" i="41"/>
  <c r="AO10" i="41"/>
  <c r="G39" i="46"/>
  <c r="G40" i="46" s="1"/>
  <c r="K96" i="48"/>
  <c r="I38" i="48"/>
  <c r="I39" i="48" s="1"/>
  <c r="I40" i="48" s="1"/>
  <c r="G38" i="48"/>
  <c r="G39" i="48" s="1"/>
  <c r="G40" i="48" s="1"/>
  <c r="G96" i="48"/>
  <c r="M19" i="48"/>
  <c r="G19" i="48"/>
  <c r="M74" i="48"/>
  <c r="K86" i="48"/>
  <c r="K74" i="48"/>
  <c r="G74" i="48"/>
  <c r="G75" i="48"/>
  <c r="K19" i="48"/>
  <c r="I10" i="48"/>
  <c r="I11" i="48" s="1"/>
  <c r="M75" i="45"/>
  <c r="M19" i="45"/>
  <c r="L46" i="49"/>
  <c r="M46" i="49" s="1"/>
  <c r="K19" i="45"/>
  <c r="G38" i="45"/>
  <c r="M86" i="45"/>
  <c r="I86" i="45"/>
  <c r="M38" i="45"/>
  <c r="K86" i="45"/>
  <c r="G86" i="45"/>
  <c r="K74" i="45"/>
  <c r="G74" i="45"/>
  <c r="I19" i="45"/>
  <c r="G96" i="45"/>
  <c r="M74" i="45"/>
  <c r="I10" i="45"/>
  <c r="I11" i="45" s="1"/>
  <c r="I12" i="45" s="1"/>
  <c r="G19" i="45"/>
  <c r="AQ65" i="41"/>
  <c r="L45" i="48"/>
  <c r="M45" i="48" s="1"/>
  <c r="L45" i="46"/>
  <c r="M45" i="46" s="1"/>
  <c r="M69" i="41"/>
  <c r="AM64" i="41"/>
  <c r="H27" i="49"/>
  <c r="I27" i="49" s="1"/>
  <c r="H44" i="45"/>
  <c r="I44" i="45" s="1"/>
  <c r="F44" i="45"/>
  <c r="G44" i="45" s="1"/>
  <c r="AO64" i="41"/>
  <c r="AO69" i="41" s="1"/>
  <c r="AO70" i="41" s="1"/>
  <c r="J27" i="49"/>
  <c r="K27" i="49" s="1"/>
  <c r="J44" i="45"/>
  <c r="K44" i="45" s="1"/>
  <c r="AQ64" i="41"/>
  <c r="AK64" i="41"/>
  <c r="J44" i="46"/>
  <c r="K44" i="46" s="1"/>
  <c r="L44" i="48"/>
  <c r="M44" i="48" s="1"/>
  <c r="F44" i="48"/>
  <c r="G44" i="48" s="1"/>
  <c r="L44" i="46"/>
  <c r="M44" i="46" s="1"/>
  <c r="F44" i="46"/>
  <c r="G44" i="46" s="1"/>
  <c r="G48" i="46" s="1"/>
  <c r="L76" i="45"/>
  <c r="L76" i="48"/>
  <c r="M76" i="48" s="1"/>
  <c r="S113" i="41"/>
  <c r="S114" i="41" s="1"/>
  <c r="AQ110" i="41"/>
  <c r="AQ112" i="41" s="1"/>
  <c r="J76" i="46"/>
  <c r="K76" i="46" s="1"/>
  <c r="J76" i="48"/>
  <c r="K76" i="48" s="1"/>
  <c r="F76" i="46"/>
  <c r="G76" i="46" s="1"/>
  <c r="G77" i="46" s="1"/>
  <c r="G78" i="46" s="1"/>
  <c r="J47" i="49"/>
  <c r="F76" i="48"/>
  <c r="G76" i="48"/>
  <c r="G77" i="48" s="1"/>
  <c r="M113" i="41"/>
  <c r="M114" i="41" s="1"/>
  <c r="G75" i="45"/>
  <c r="I76" i="45"/>
  <c r="H47" i="49"/>
  <c r="I47" i="49" s="1"/>
  <c r="F47" i="49"/>
  <c r="G47" i="49"/>
  <c r="G48" i="49"/>
  <c r="G49" i="49" s="1"/>
  <c r="G50" i="49" s="1"/>
  <c r="H76" i="48"/>
  <c r="I76" i="48" s="1"/>
  <c r="AM110" i="41"/>
  <c r="H76" i="46"/>
  <c r="I76" i="46" s="1"/>
  <c r="K113" i="41"/>
  <c r="K114" i="41" s="1"/>
  <c r="K51" i="50"/>
  <c r="K53" i="50" s="1"/>
  <c r="H96" i="46"/>
  <c r="I96" i="46" s="1"/>
  <c r="I98" i="46" s="1"/>
  <c r="H96" i="45"/>
  <c r="I96" i="45" s="1"/>
  <c r="I98" i="45" s="1"/>
  <c r="I99" i="45" s="1"/>
  <c r="I100" i="45" s="1"/>
  <c r="AS125" i="41"/>
  <c r="H86" i="46"/>
  <c r="I86" i="46" s="1"/>
  <c r="U130" i="41"/>
  <c r="AO125" i="41"/>
  <c r="H86" i="48"/>
  <c r="I86" i="48" s="1"/>
  <c r="AO55" i="41"/>
  <c r="AO56" i="41" s="1"/>
  <c r="J38" i="48"/>
  <c r="K38" i="48"/>
  <c r="K39" i="48" s="1"/>
  <c r="K40" i="48" s="1"/>
  <c r="K41" i="48" s="1"/>
  <c r="J38" i="45"/>
  <c r="K38" i="45" s="1"/>
  <c r="K39" i="45" s="1"/>
  <c r="J19" i="50"/>
  <c r="K19" i="50" s="1"/>
  <c r="K20" i="50"/>
  <c r="F30" i="50"/>
  <c r="G30" i="50" s="1"/>
  <c r="F67" i="48"/>
  <c r="G67" i="48"/>
  <c r="AM96" i="41"/>
  <c r="J67" i="46"/>
  <c r="K67" i="46" s="1"/>
  <c r="H67" i="45"/>
  <c r="I67" i="45" s="1"/>
  <c r="J67" i="45"/>
  <c r="K67" i="45" s="1"/>
  <c r="H67" i="48"/>
  <c r="I67" i="48" s="1"/>
  <c r="L67" i="46"/>
  <c r="M67" i="46" s="1"/>
  <c r="L67" i="48"/>
  <c r="M67" i="48"/>
  <c r="J67" i="48"/>
  <c r="K67" i="48" s="1"/>
  <c r="AO96" i="41"/>
  <c r="H30" i="50"/>
  <c r="I30" i="50"/>
  <c r="AS96" i="41"/>
  <c r="L30" i="50"/>
  <c r="M30" i="50"/>
  <c r="J30" i="50"/>
  <c r="K30" i="50" s="1"/>
  <c r="I54" i="50"/>
  <c r="G41" i="50"/>
  <c r="I41" i="50"/>
  <c r="M11" i="50"/>
  <c r="G31" i="49"/>
  <c r="I10" i="49"/>
  <c r="I11" i="49"/>
  <c r="I12" i="49" s="1"/>
  <c r="M19" i="49"/>
  <c r="K19" i="49"/>
  <c r="F44" i="51"/>
  <c r="G44" i="51" s="1"/>
  <c r="K45" i="49"/>
  <c r="I12" i="48"/>
  <c r="F27" i="51"/>
  <c r="G27" i="51" s="1"/>
  <c r="I25" i="41"/>
  <c r="I26" i="41" s="1"/>
  <c r="K39" i="49"/>
  <c r="K39" i="46"/>
  <c r="W144" i="41"/>
  <c r="W145" i="41" s="1"/>
  <c r="AC100" i="42"/>
  <c r="AC101" i="42" s="1"/>
  <c r="W100" i="42"/>
  <c r="W101" i="42" s="1"/>
  <c r="I86" i="42"/>
  <c r="I88" i="42" s="1"/>
  <c r="I89" i="42" s="1"/>
  <c r="I90" i="42" s="1"/>
  <c r="Q86" i="42"/>
  <c r="Q88" i="42" s="1"/>
  <c r="G86" i="42"/>
  <c r="G88" i="42" s="1"/>
  <c r="G89" i="42" s="1"/>
  <c r="G90" i="42" s="1"/>
  <c r="O86" i="42"/>
  <c r="O88" i="42" s="1"/>
  <c r="S86" i="42"/>
  <c r="S88" i="42"/>
  <c r="Y86" i="42"/>
  <c r="Y88" i="42" s="1"/>
  <c r="AC86" i="42"/>
  <c r="AC88" i="42" s="1"/>
  <c r="AC89" i="42" s="1"/>
  <c r="AC90" i="42" s="1"/>
  <c r="K86" i="42"/>
  <c r="K88" i="42" s="1"/>
  <c r="U86" i="42"/>
  <c r="U88" i="42" s="1"/>
  <c r="U89" i="42" s="1"/>
  <c r="M86" i="42"/>
  <c r="M88" i="42" s="1"/>
  <c r="M89" i="42" s="1"/>
  <c r="M90" i="42" s="1"/>
  <c r="AA86" i="42"/>
  <c r="AA88" i="42" s="1"/>
  <c r="AA89" i="42" s="1"/>
  <c r="W86" i="42"/>
  <c r="W88" i="42" s="1"/>
  <c r="W78" i="42"/>
  <c r="W79" i="42" s="1"/>
  <c r="Q66" i="42"/>
  <c r="Q67" i="42" s="1"/>
  <c r="M43" i="42"/>
  <c r="M44" i="42" s="1"/>
  <c r="AC32" i="42"/>
  <c r="AC33" i="42" s="1"/>
  <c r="G32" i="42"/>
  <c r="G33" i="42" s="1"/>
  <c r="Y18" i="42"/>
  <c r="Y19" i="42" s="1"/>
  <c r="Y9" i="42"/>
  <c r="Y10" i="42" s="1"/>
  <c r="AM139" i="41"/>
  <c r="H74" i="46"/>
  <c r="I74" i="46" s="1"/>
  <c r="H74" i="45"/>
  <c r="L75" i="48"/>
  <c r="M75" i="48" s="1"/>
  <c r="F65" i="48"/>
  <c r="G65" i="48" s="1"/>
  <c r="L47" i="45"/>
  <c r="M47" i="45" s="1"/>
  <c r="AQ80" i="41"/>
  <c r="L56" i="48"/>
  <c r="M56" i="48"/>
  <c r="AO93" i="41"/>
  <c r="H27" i="50"/>
  <c r="I27" i="50" s="1"/>
  <c r="AM20" i="41"/>
  <c r="H18" i="48"/>
  <c r="I18" i="48" s="1"/>
  <c r="AM54" i="41"/>
  <c r="AM55" i="41" s="1"/>
  <c r="AK65" i="41"/>
  <c r="AK69" i="41" s="1"/>
  <c r="F45" i="48"/>
  <c r="G45" i="48" s="1"/>
  <c r="G48" i="48" s="1"/>
  <c r="G49" i="48" s="1"/>
  <c r="K37" i="49"/>
  <c r="Y129" i="41"/>
  <c r="Y130" i="41" s="1"/>
  <c r="Y25" i="41"/>
  <c r="Y26" i="41"/>
  <c r="AG25" i="41"/>
  <c r="AG26" i="41"/>
  <c r="M26" i="41"/>
  <c r="S25" i="41"/>
  <c r="S26" i="41" s="1"/>
  <c r="I11" i="41"/>
  <c r="I12" i="41"/>
  <c r="I70" i="41"/>
  <c r="I71" i="41" s="1"/>
  <c r="Q26" i="41"/>
  <c r="I113" i="41"/>
  <c r="I114" i="41" s="1"/>
  <c r="H83" i="48"/>
  <c r="I83" i="48" s="1"/>
  <c r="AO122" i="41"/>
  <c r="F17" i="50"/>
  <c r="G17" i="50" s="1"/>
  <c r="G20" i="50" s="1"/>
  <c r="G21" i="50" s="1"/>
  <c r="F36" i="45"/>
  <c r="G36" i="45" s="1"/>
  <c r="G39" i="45" s="1"/>
  <c r="G40" i="45" s="1"/>
  <c r="G41" i="45" s="1"/>
  <c r="J54" i="48"/>
  <c r="K54" i="48" s="1"/>
  <c r="AO78" i="41"/>
  <c r="I55" i="41"/>
  <c r="I56" i="41"/>
  <c r="K55" i="41"/>
  <c r="K56" i="41"/>
  <c r="M32" i="42"/>
  <c r="M33" i="42" s="1"/>
  <c r="W111" i="42"/>
  <c r="W112" i="42"/>
  <c r="Q111" i="42"/>
  <c r="Q112" i="42" s="1"/>
  <c r="AC78" i="42"/>
  <c r="AC79" i="42" s="1"/>
  <c r="U78" i="42"/>
  <c r="U79" i="42" s="1"/>
  <c r="M78" i="42"/>
  <c r="M79" i="42" s="1"/>
  <c r="G78" i="42"/>
  <c r="G79" i="42" s="1"/>
  <c r="L75" i="46"/>
  <c r="M75" i="46" s="1"/>
  <c r="M77" i="46" s="1"/>
  <c r="AM94" i="41"/>
  <c r="L47" i="46"/>
  <c r="M47" i="46" s="1"/>
  <c r="L56" i="45"/>
  <c r="M56" i="45" s="1"/>
  <c r="M57" i="45" s="1"/>
  <c r="M58" i="45" s="1"/>
  <c r="H18" i="45"/>
  <c r="I18" i="45" s="1"/>
  <c r="F45" i="45"/>
  <c r="G45" i="45"/>
  <c r="AC25" i="41"/>
  <c r="AC26" i="41" s="1"/>
  <c r="AI26" i="41"/>
  <c r="O26" i="41"/>
  <c r="AE56" i="41"/>
  <c r="K25" i="41"/>
  <c r="K26" i="41" s="1"/>
  <c r="W114" i="41"/>
  <c r="AE12" i="41"/>
  <c r="F67" i="46"/>
  <c r="G67" i="46" s="1"/>
  <c r="F67" i="45"/>
  <c r="G67" i="45"/>
  <c r="G69" i="45" s="1"/>
  <c r="W41" i="41"/>
  <c r="W42" i="41" s="1"/>
  <c r="AM140" i="41"/>
  <c r="Q42" i="41"/>
  <c r="AG42" i="41"/>
  <c r="S71" i="41"/>
  <c r="AI84" i="41"/>
  <c r="I41" i="41"/>
  <c r="I42" i="41"/>
  <c r="O82" i="41"/>
  <c r="AC112" i="42"/>
  <c r="AA111" i="42"/>
  <c r="AA112" i="42"/>
  <c r="I111" i="42"/>
  <c r="I112" i="42" s="1"/>
  <c r="O100" i="42"/>
  <c r="O101" i="42" s="1"/>
  <c r="U100" i="42"/>
  <c r="U101" i="42" s="1"/>
  <c r="AE78" i="42"/>
  <c r="AE79" i="42" s="1"/>
  <c r="AC66" i="42"/>
  <c r="AC67" i="42" s="1"/>
  <c r="U56" i="42"/>
  <c r="U57" i="42" s="1"/>
  <c r="G44" i="42"/>
  <c r="S43" i="42"/>
  <c r="S44" i="42"/>
  <c r="S46" i="42" s="1"/>
  <c r="K43" i="42"/>
  <c r="K44" i="42" s="1"/>
  <c r="Q70" i="41"/>
  <c r="Q71" i="41" s="1"/>
  <c r="AE84" i="41"/>
  <c r="AE111" i="42"/>
  <c r="AE112" i="42" s="1"/>
  <c r="Y112" i="42"/>
  <c r="O112" i="42"/>
  <c r="S97" i="42"/>
  <c r="S99" i="42" s="1"/>
  <c r="AL97" i="42"/>
  <c r="L22" i="44" s="1"/>
  <c r="M22" i="44" s="1"/>
  <c r="AH97" i="42"/>
  <c r="AJ97" i="42"/>
  <c r="M101" i="42"/>
  <c r="AA66" i="42"/>
  <c r="AA67" i="42" s="1"/>
  <c r="U67" i="42"/>
  <c r="J12" i="44"/>
  <c r="K12" i="44" s="1"/>
  <c r="AI40" i="42"/>
  <c r="AI42" i="42" s="1"/>
  <c r="AI43" i="42" s="1"/>
  <c r="AC18" i="42"/>
  <c r="AC19" i="42" s="1"/>
  <c r="AC42" i="41"/>
  <c r="G112" i="42"/>
  <c r="S108" i="42"/>
  <c r="S110" i="42" s="1"/>
  <c r="AH108" i="42"/>
  <c r="AF108" i="42"/>
  <c r="AL108" i="42"/>
  <c r="M111" i="42"/>
  <c r="M112" i="42"/>
  <c r="G100" i="42"/>
  <c r="G101" i="42" s="1"/>
  <c r="AE101" i="42"/>
  <c r="Y97" i="42"/>
  <c r="Y99" i="42" s="1"/>
  <c r="AF97" i="42"/>
  <c r="O78" i="42"/>
  <c r="O79" i="42"/>
  <c r="S66" i="42"/>
  <c r="S67" i="42" s="1"/>
  <c r="AH63" i="42"/>
  <c r="J16" i="43" s="1"/>
  <c r="K16" i="43" s="1"/>
  <c r="Y66" i="42"/>
  <c r="Y67" i="42"/>
  <c r="AC56" i="42"/>
  <c r="AC57" i="42" s="1"/>
  <c r="Y56" i="42"/>
  <c r="Y57" i="42" s="1"/>
  <c r="AJ52" i="42"/>
  <c r="AK52" i="42" s="1"/>
  <c r="AK55" i="42" s="1"/>
  <c r="AK56" i="42" s="1"/>
  <c r="Q52" i="42"/>
  <c r="Q55" i="42" s="1"/>
  <c r="Q56" i="42" s="1"/>
  <c r="Q57" i="42" s="1"/>
  <c r="AF52" i="42"/>
  <c r="H14" i="43" s="1"/>
  <c r="I14" i="43" s="1"/>
  <c r="AH52" i="42"/>
  <c r="AI52" i="42" s="1"/>
  <c r="AI55" i="42" s="1"/>
  <c r="AD52" i="42"/>
  <c r="AE52" i="42" s="1"/>
  <c r="AE55" i="42" s="1"/>
  <c r="K56" i="42"/>
  <c r="K57" i="42" s="1"/>
  <c r="O44" i="42"/>
  <c r="AA33" i="42"/>
  <c r="I101" i="42"/>
  <c r="AF63" i="42"/>
  <c r="H16" i="44" s="1"/>
  <c r="I16" i="44" s="1"/>
  <c r="G56" i="42"/>
  <c r="G57" i="42" s="1"/>
  <c r="U44" i="42"/>
  <c r="U46" i="42" s="1"/>
  <c r="S18" i="42"/>
  <c r="S19" i="42" s="1"/>
  <c r="AJ63" i="42"/>
  <c r="L16" i="43" s="1"/>
  <c r="M16" i="43" s="1"/>
  <c r="K67" i="42"/>
  <c r="S56" i="42"/>
  <c r="S57" i="42"/>
  <c r="AA40" i="42"/>
  <c r="AA42" i="42" s="1"/>
  <c r="AD40" i="42"/>
  <c r="AF40" i="42"/>
  <c r="AG40" i="42" s="1"/>
  <c r="AG42" i="42" s="1"/>
  <c r="M18" i="42"/>
  <c r="M19" i="42" s="1"/>
  <c r="AA18" i="42"/>
  <c r="AA19" i="42" s="1"/>
  <c r="U19" i="42"/>
  <c r="Q15" i="42"/>
  <c r="Q17" i="42" s="1"/>
  <c r="AJ15" i="42"/>
  <c r="L8" i="43" s="1"/>
  <c r="M8" i="43" s="1"/>
  <c r="AA10" i="42"/>
  <c r="AA21" i="42" s="1"/>
  <c r="W40" i="42"/>
  <c r="W42" i="42" s="1"/>
  <c r="AJ40" i="42"/>
  <c r="AK40" i="42" s="1"/>
  <c r="AK42" i="42" s="1"/>
  <c r="AK43" i="42" s="1"/>
  <c r="AK44" i="42" s="1"/>
  <c r="AK46" i="42" s="1"/>
  <c r="K10" i="42"/>
  <c r="O10" i="42"/>
  <c r="Y43" i="42"/>
  <c r="Y44" i="42"/>
  <c r="Y46" i="42" s="1"/>
  <c r="AE10" i="42"/>
  <c r="AH74" i="42"/>
  <c r="H18" i="43" s="1"/>
  <c r="I18" i="43" s="1"/>
  <c r="AC143" i="41"/>
  <c r="AC144" i="41" s="1"/>
  <c r="I143" i="41"/>
  <c r="K143" i="41"/>
  <c r="J6" i="43"/>
  <c r="K6" i="43" s="1"/>
  <c r="U143" i="41"/>
  <c r="AI143" i="41"/>
  <c r="AI144" i="41" s="1"/>
  <c r="Y143" i="41"/>
  <c r="AK143" i="41"/>
  <c r="AK144" i="41" s="1"/>
  <c r="G21" i="51"/>
  <c r="G22" i="51" s="1"/>
  <c r="G43" i="53"/>
  <c r="G44" i="53" s="1"/>
  <c r="AE143" i="41"/>
  <c r="G143" i="41"/>
  <c r="G144" i="41" s="1"/>
  <c r="G145" i="41" s="1"/>
  <c r="M52" i="41"/>
  <c r="M54" i="41" s="1"/>
  <c r="M55" i="41" s="1"/>
  <c r="Q96" i="41"/>
  <c r="Q99" i="41" s="1"/>
  <c r="Q100" i="41" s="1"/>
  <c r="O125" i="41"/>
  <c r="O128" i="41"/>
  <c r="O129" i="41" s="1"/>
  <c r="Q140" i="41"/>
  <c r="Q143" i="41" s="1"/>
  <c r="O52" i="41"/>
  <c r="O54" i="41"/>
  <c r="O55" i="41" s="1"/>
  <c r="U52" i="41"/>
  <c r="U54" i="41" s="1"/>
  <c r="U55" i="41" s="1"/>
  <c r="S96" i="41"/>
  <c r="S99" i="41" s="1"/>
  <c r="Q125" i="41"/>
  <c r="Q128" i="41"/>
  <c r="Q129" i="41" s="1"/>
  <c r="M140" i="41"/>
  <c r="M143" i="41" s="1"/>
  <c r="K96" i="41"/>
  <c r="K99" i="41" s="1"/>
  <c r="Q52" i="41"/>
  <c r="Q54" i="41" s="1"/>
  <c r="Q55" i="41" s="1"/>
  <c r="Q56" i="41" s="1"/>
  <c r="M96" i="41"/>
  <c r="M99" i="41" s="1"/>
  <c r="U96" i="41"/>
  <c r="U99" i="41" s="1"/>
  <c r="U100" i="41" s="1"/>
  <c r="U101" i="41" s="1"/>
  <c r="S125" i="41"/>
  <c r="S128" i="41"/>
  <c r="S129" i="41" s="1"/>
  <c r="O140" i="41"/>
  <c r="O143" i="41" s="1"/>
  <c r="S140" i="41"/>
  <c r="S143" i="41"/>
  <c r="S144" i="41" s="1"/>
  <c r="M125" i="41"/>
  <c r="M128" i="41" s="1"/>
  <c r="M129" i="41" s="1"/>
  <c r="H18" i="44"/>
  <c r="I18" i="44" s="1"/>
  <c r="H14" i="44"/>
  <c r="I14" i="44" s="1"/>
  <c r="U144" i="41"/>
  <c r="U145" i="41" s="1"/>
  <c r="K144" i="41"/>
  <c r="H12" i="44"/>
  <c r="I12" i="44" s="1"/>
  <c r="AG63" i="42"/>
  <c r="AG65" i="42" s="1"/>
  <c r="J16" i="44"/>
  <c r="K16" i="44" s="1"/>
  <c r="AI63" i="42"/>
  <c r="AI65" i="42" s="1"/>
  <c r="L24" i="43"/>
  <c r="M24" i="43" s="1"/>
  <c r="L24" i="44"/>
  <c r="M24" i="44" s="1"/>
  <c r="AM108" i="42"/>
  <c r="AM110" i="42"/>
  <c r="AM111" i="42" s="1"/>
  <c r="AM112" i="42" s="1"/>
  <c r="AM97" i="42"/>
  <c r="AM99" i="42" s="1"/>
  <c r="H45" i="49"/>
  <c r="I45" i="49"/>
  <c r="I74" i="45"/>
  <c r="K89" i="42"/>
  <c r="K90" i="42" s="1"/>
  <c r="S89" i="42"/>
  <c r="S90" i="42" s="1"/>
  <c r="I144" i="41"/>
  <c r="I145" i="41"/>
  <c r="L8" i="44"/>
  <c r="M8" i="44" s="1"/>
  <c r="AK15" i="42"/>
  <c r="AK17" i="42" s="1"/>
  <c r="AE40" i="42"/>
  <c r="AE42" i="42" s="1"/>
  <c r="AE43" i="42" s="1"/>
  <c r="AE44" i="42" s="1"/>
  <c r="AE46" i="42" s="1"/>
  <c r="F12" i="43"/>
  <c r="G12" i="43" s="1"/>
  <c r="F12" i="44"/>
  <c r="G12" i="44" s="1"/>
  <c r="L14" i="44"/>
  <c r="M14" i="44" s="1"/>
  <c r="L14" i="43"/>
  <c r="M14" i="43" s="1"/>
  <c r="F22" i="44"/>
  <c r="G22" i="44"/>
  <c r="AG97" i="42"/>
  <c r="AG99" i="42" s="1"/>
  <c r="F22" i="43"/>
  <c r="G22" i="43" s="1"/>
  <c r="AK70" i="41"/>
  <c r="AK71" i="41" s="1"/>
  <c r="J14" i="43"/>
  <c r="K14" i="43"/>
  <c r="J14" i="44"/>
  <c r="K14" i="44" s="1"/>
  <c r="AI108" i="42"/>
  <c r="AI110" i="42" s="1"/>
  <c r="H24" i="44"/>
  <c r="I24" i="44"/>
  <c r="H24" i="43"/>
  <c r="I24" i="43" s="1"/>
  <c r="AK97" i="42"/>
  <c r="AK99" i="42"/>
  <c r="AK100" i="42" s="1"/>
  <c r="AK101" i="42" s="1"/>
  <c r="J22" i="43"/>
  <c r="K22" i="43" s="1"/>
  <c r="J22" i="44"/>
  <c r="K22" i="44" s="1"/>
  <c r="AM56" i="41"/>
  <c r="Q89" i="42"/>
  <c r="K40" i="46"/>
  <c r="K41" i="46" s="1"/>
  <c r="G22" i="46"/>
  <c r="G23" i="46" s="1"/>
  <c r="Y144" i="41"/>
  <c r="Y145" i="41" s="1"/>
  <c r="H22" i="43"/>
  <c r="I22" i="43" s="1"/>
  <c r="AI97" i="42"/>
  <c r="AI99" i="42" s="1"/>
  <c r="H22" i="44"/>
  <c r="I22" i="44" s="1"/>
  <c r="G70" i="45"/>
  <c r="Y89" i="42"/>
  <c r="Y90" i="42"/>
  <c r="W89" i="42" l="1"/>
  <c r="W90" i="42" s="1"/>
  <c r="AM83" i="41"/>
  <c r="AM84" i="41" s="1"/>
  <c r="S100" i="42"/>
  <c r="S101" i="42" s="1"/>
  <c r="AK145" i="41"/>
  <c r="G77" i="45"/>
  <c r="G78" i="45" s="1"/>
  <c r="AK56" i="41"/>
  <c r="K98" i="46"/>
  <c r="AK26" i="41"/>
  <c r="K69" i="46"/>
  <c r="G43" i="50"/>
  <c r="M21" i="49"/>
  <c r="M22" i="49" s="1"/>
  <c r="K98" i="45"/>
  <c r="K99" i="45" s="1"/>
  <c r="G21" i="45"/>
  <c r="AE24" i="41"/>
  <c r="AE25" i="41" s="1"/>
  <c r="AE26" i="41" s="1"/>
  <c r="AE28" i="41" s="1"/>
  <c r="AC65" i="41"/>
  <c r="AL65" i="41"/>
  <c r="AI91" i="41"/>
  <c r="AR91" i="41"/>
  <c r="AA99" i="41"/>
  <c r="M31" i="49"/>
  <c r="M88" i="45"/>
  <c r="AF74" i="42"/>
  <c r="AG74" i="42" s="1"/>
  <c r="AG77" i="42" s="1"/>
  <c r="Q74" i="42"/>
  <c r="Q77" i="42" s="1"/>
  <c r="Q78" i="42" s="1"/>
  <c r="AJ74" i="42"/>
  <c r="AL74" i="42"/>
  <c r="AG6" i="41"/>
  <c r="AG10" i="41" s="1"/>
  <c r="AL6" i="41"/>
  <c r="AR6" i="41"/>
  <c r="AP6" i="41"/>
  <c r="AL7" i="41"/>
  <c r="AR7" i="41"/>
  <c r="Y7" i="41"/>
  <c r="Y10" i="41" s="1"/>
  <c r="Y11" i="41" s="1"/>
  <c r="Y12" i="41" s="1"/>
  <c r="Y28" i="41" s="1"/>
  <c r="W20" i="41"/>
  <c r="AN20" i="41"/>
  <c r="AI50" i="41"/>
  <c r="AP50" i="41"/>
  <c r="W123" i="41"/>
  <c r="AP123" i="41"/>
  <c r="K12" i="41"/>
  <c r="K42" i="41"/>
  <c r="K41" i="41"/>
  <c r="K71" i="41"/>
  <c r="AQ99" i="41"/>
  <c r="M57" i="46"/>
  <c r="I39" i="46"/>
  <c r="H84" i="46"/>
  <c r="I84" i="46" s="1"/>
  <c r="H96" i="48"/>
  <c r="I96" i="48" s="1"/>
  <c r="S78" i="42"/>
  <c r="S79" i="42"/>
  <c r="AC44" i="42"/>
  <c r="AC46" i="42" s="1"/>
  <c r="W32" i="42"/>
  <c r="W33" i="42"/>
  <c r="AH5" i="42"/>
  <c r="W5" i="42"/>
  <c r="W8" i="42" s="1"/>
  <c r="W5" i="41"/>
  <c r="W10" i="41" s="1"/>
  <c r="W11" i="41" s="1"/>
  <c r="W12" i="41" s="1"/>
  <c r="AL5" i="41"/>
  <c r="AP5" i="41"/>
  <c r="AR5" i="41"/>
  <c r="W18" i="41"/>
  <c r="AL18" i="41"/>
  <c r="AC82" i="41"/>
  <c r="AI35" i="41"/>
  <c r="AL35" i="41"/>
  <c r="AN35" i="41"/>
  <c r="AI36" i="41"/>
  <c r="AI40" i="41" s="1"/>
  <c r="AP36" i="41"/>
  <c r="AK37" i="41"/>
  <c r="AL37" i="41"/>
  <c r="AG97" i="41"/>
  <c r="AG99" i="41" s="1"/>
  <c r="AN97" i="41"/>
  <c r="AK128" i="41"/>
  <c r="W121" i="41"/>
  <c r="AN121" i="41"/>
  <c r="AL109" i="41"/>
  <c r="AG109" i="41"/>
  <c r="AN109" i="41"/>
  <c r="AE99" i="41"/>
  <c r="S41" i="41"/>
  <c r="S42" i="41" s="1"/>
  <c r="U28" i="42"/>
  <c r="U31" i="42" s="1"/>
  <c r="AH28" i="42"/>
  <c r="AF28" i="42"/>
  <c r="AJ28" i="42"/>
  <c r="AK28" i="42" s="1"/>
  <c r="AK31" i="42" s="1"/>
  <c r="J6" i="44"/>
  <c r="K6" i="44" s="1"/>
  <c r="AK5" i="42"/>
  <c r="AK8" i="42" s="1"/>
  <c r="AA17" i="41"/>
  <c r="AA24" i="41" s="1"/>
  <c r="AN17" i="41"/>
  <c r="AL17" i="41"/>
  <c r="AA77" i="41"/>
  <c r="AA82" i="41" s="1"/>
  <c r="AA83" i="41" s="1"/>
  <c r="AA84" i="41" s="1"/>
  <c r="AN77" i="41"/>
  <c r="AA137" i="41"/>
  <c r="AA143" i="41" s="1"/>
  <c r="AA144" i="41" s="1"/>
  <c r="AA145" i="41" s="1"/>
  <c r="AL137" i="41"/>
  <c r="AR140" i="41"/>
  <c r="AG140" i="41"/>
  <c r="AG143" i="41" s="1"/>
  <c r="AG144" i="41" s="1"/>
  <c r="G10" i="54"/>
  <c r="G11" i="54" s="1"/>
  <c r="G12" i="54" s="1"/>
  <c r="G21" i="54"/>
  <c r="G47" i="54"/>
  <c r="G48" i="54" s="1"/>
  <c r="AC112" i="41"/>
  <c r="AA128" i="41"/>
  <c r="AI128" i="41"/>
  <c r="AI129" i="41" s="1"/>
  <c r="AI130" i="41" s="1"/>
  <c r="AI99" i="41"/>
  <c r="I128" i="41"/>
  <c r="G128" i="41"/>
  <c r="O99" i="41"/>
  <c r="Q82" i="41"/>
  <c r="O40" i="41"/>
  <c r="AK10" i="41"/>
  <c r="Y82" i="41"/>
  <c r="AC128" i="41"/>
  <c r="AG112" i="41"/>
  <c r="W82" i="41"/>
  <c r="I99" i="41"/>
  <c r="G99" i="41"/>
  <c r="G100" i="41" s="1"/>
  <c r="G101" i="41" s="1"/>
  <c r="AA10" i="41"/>
  <c r="AE69" i="41"/>
  <c r="AE70" i="41" s="1"/>
  <c r="AE71" i="41" s="1"/>
  <c r="AE40" i="41"/>
  <c r="AE58" i="41" s="1"/>
  <c r="AA40" i="41"/>
  <c r="AA41" i="41" s="1"/>
  <c r="AA42" i="41" s="1"/>
  <c r="G10" i="51"/>
  <c r="G11" i="51" s="1"/>
  <c r="G12" i="51" s="1"/>
  <c r="AE112" i="41"/>
  <c r="AE113" i="41" s="1"/>
  <c r="AE114" i="41" s="1"/>
  <c r="W54" i="41"/>
  <c r="W55" i="41" s="1"/>
  <c r="W56" i="41" s="1"/>
  <c r="W58" i="41" s="1"/>
  <c r="Y99" i="41"/>
  <c r="Q10" i="41"/>
  <c r="Q11" i="41" s="1"/>
  <c r="Q12" i="41" s="1"/>
  <c r="S10" i="41"/>
  <c r="AI10" i="41"/>
  <c r="W24" i="41"/>
  <c r="W25" i="41" s="1"/>
  <c r="W26" i="41" s="1"/>
  <c r="W28" i="41" s="1"/>
  <c r="AK40" i="41"/>
  <c r="AK41" i="41" s="1"/>
  <c r="AK42" i="41" s="1"/>
  <c r="AK99" i="41"/>
  <c r="AK100" i="41" s="1"/>
  <c r="AK101" i="41" s="1"/>
  <c r="AG100" i="42"/>
  <c r="AG101" i="42" s="1"/>
  <c r="AM100" i="42"/>
  <c r="AM101" i="42" s="1"/>
  <c r="AG66" i="42"/>
  <c r="AG67" i="42" s="1"/>
  <c r="M78" i="46"/>
  <c r="M79" i="46" s="1"/>
  <c r="G41" i="49"/>
  <c r="G42" i="49"/>
  <c r="AI100" i="42"/>
  <c r="AI101" i="42" s="1"/>
  <c r="S100" i="41"/>
  <c r="S101" i="41"/>
  <c r="AE56" i="42"/>
  <c r="AE57" i="42" s="1"/>
  <c r="S111" i="42"/>
  <c r="S112" i="42" s="1"/>
  <c r="AQ113" i="41"/>
  <c r="AQ114" i="41" s="1"/>
  <c r="K70" i="46"/>
  <c r="K71" i="46" s="1"/>
  <c r="F14" i="44"/>
  <c r="G14" i="44" s="1"/>
  <c r="G23" i="49"/>
  <c r="K48" i="45"/>
  <c r="K49" i="45" s="1"/>
  <c r="G48" i="45"/>
  <c r="AO11" i="41"/>
  <c r="AO12" i="41" s="1"/>
  <c r="M31" i="46"/>
  <c r="M32" i="46"/>
  <c r="M31" i="48"/>
  <c r="M32" i="48" s="1"/>
  <c r="AI145" i="41"/>
  <c r="F14" i="43"/>
  <c r="G14" i="43" s="1"/>
  <c r="L22" i="43"/>
  <c r="M22" i="43" s="1"/>
  <c r="H12" i="43"/>
  <c r="I12" i="43" s="1"/>
  <c r="G79" i="46"/>
  <c r="G69" i="48"/>
  <c r="G70" i="48" s="1"/>
  <c r="G71" i="48" s="1"/>
  <c r="M21" i="45"/>
  <c r="AQ24" i="41"/>
  <c r="AQ25" i="41" s="1"/>
  <c r="L12" i="44"/>
  <c r="M12" i="44" s="1"/>
  <c r="L12" i="43"/>
  <c r="M12" i="43" s="1"/>
  <c r="L16" i="44"/>
  <c r="M16" i="44" s="1"/>
  <c r="AA90" i="42"/>
  <c r="AI74" i="42"/>
  <c r="AI77" i="42" s="1"/>
  <c r="AI78" i="42" s="1"/>
  <c r="S145" i="41"/>
  <c r="Y21" i="42"/>
  <c r="M48" i="48"/>
  <c r="M49" i="48" s="1"/>
  <c r="M50" i="48" s="1"/>
  <c r="M57" i="48"/>
  <c r="M58" i="48" s="1"/>
  <c r="K99" i="46"/>
  <c r="K100" i="46" s="1"/>
  <c r="G57" i="48"/>
  <c r="AQ69" i="41"/>
  <c r="G32" i="50"/>
  <c r="AK82" i="41"/>
  <c r="K48" i="46"/>
  <c r="F26" i="51"/>
  <c r="G26" i="51" s="1"/>
  <c r="M40" i="49"/>
  <c r="G88" i="45"/>
  <c r="M48" i="45"/>
  <c r="I39" i="45"/>
  <c r="M21" i="46"/>
  <c r="W18" i="42"/>
  <c r="W19" i="42" s="1"/>
  <c r="AE41" i="41"/>
  <c r="AE42" i="41" s="1"/>
  <c r="I57" i="45"/>
  <c r="I58" i="45" s="1"/>
  <c r="AI11" i="41"/>
  <c r="AI12" i="41" s="1"/>
  <c r="AI28" i="41" s="1"/>
  <c r="AC69" i="41"/>
  <c r="I10" i="46"/>
  <c r="L29" i="45"/>
  <c r="M29" i="45" s="1"/>
  <c r="M30" i="45" s="1"/>
  <c r="F84" i="48"/>
  <c r="G84" i="48" s="1"/>
  <c r="G88" i="48" s="1"/>
  <c r="G69" i="46"/>
  <c r="G114" i="41"/>
  <c r="K130" i="41"/>
  <c r="Y42" i="41"/>
  <c r="Y41" i="41"/>
  <c r="AC11" i="41"/>
  <c r="AC12" i="41" s="1"/>
  <c r="AC28" i="41" s="1"/>
  <c r="AI69" i="41"/>
  <c r="AI70" i="41" s="1"/>
  <c r="AM123" i="41"/>
  <c r="AM128" i="41" s="1"/>
  <c r="Q83" i="41"/>
  <c r="Q84" i="41" s="1"/>
  <c r="O41" i="41"/>
  <c r="O42" i="41" s="1"/>
  <c r="K32" i="42"/>
  <c r="K33" i="42"/>
  <c r="G9" i="42"/>
  <c r="G10" i="42" s="1"/>
  <c r="AA69" i="41"/>
  <c r="AA70" i="41" s="1"/>
  <c r="AA71" i="41" s="1"/>
  <c r="AG69" i="41"/>
  <c r="AG70" i="41" s="1"/>
  <c r="AG71" i="41" s="1"/>
  <c r="Y69" i="41"/>
  <c r="AC99" i="41"/>
  <c r="S82" i="41"/>
  <c r="AD15" i="42"/>
  <c r="W69" i="41"/>
  <c r="AG54" i="41"/>
  <c r="W128" i="41"/>
  <c r="U42" i="41"/>
  <c r="F18" i="44"/>
  <c r="G18" i="44" s="1"/>
  <c r="S33" i="42"/>
  <c r="AA112" i="41"/>
  <c r="AA113" i="41" s="1"/>
  <c r="AE128" i="41"/>
  <c r="U71" i="41"/>
  <c r="L18" i="43"/>
  <c r="M18" i="43" s="1"/>
  <c r="U10" i="41"/>
  <c r="F18" i="43"/>
  <c r="G18" i="43" s="1"/>
  <c r="AH15" i="42"/>
  <c r="AI54" i="41"/>
  <c r="AG128" i="41"/>
  <c r="G32" i="53"/>
  <c r="G53" i="53"/>
  <c r="G54" i="53" s="1"/>
  <c r="G55" i="53" s="1"/>
  <c r="O10" i="41"/>
  <c r="AJ108" i="42"/>
  <c r="AL5" i="42"/>
  <c r="L6" i="43" s="1"/>
  <c r="M6" i="43" s="1"/>
  <c r="G20" i="53"/>
  <c r="G21" i="53" s="1"/>
  <c r="G22" i="53" s="1"/>
  <c r="G39" i="54"/>
  <c r="I24" i="55"/>
  <c r="I17" i="55"/>
  <c r="I40" i="55"/>
  <c r="Q144" i="41"/>
  <c r="Q145" i="41" s="1"/>
  <c r="M89" i="45"/>
  <c r="M90" i="45" s="1"/>
  <c r="K54" i="50"/>
  <c r="K55" i="50" s="1"/>
  <c r="W43" i="42"/>
  <c r="W44" i="42" s="1"/>
  <c r="W46" i="42" s="1"/>
  <c r="AK113" i="41"/>
  <c r="AK114" i="41" s="1"/>
  <c r="F46" i="51"/>
  <c r="G46" i="51" s="1"/>
  <c r="K47" i="49"/>
  <c r="M76" i="45"/>
  <c r="L47" i="49"/>
  <c r="M47" i="49" s="1"/>
  <c r="G49" i="45"/>
  <c r="AQ71" i="41"/>
  <c r="AQ70" i="41"/>
  <c r="G70" i="46"/>
  <c r="G71" i="46" s="1"/>
  <c r="G71" i="45"/>
  <c r="O89" i="42"/>
  <c r="O90" i="42" s="1"/>
  <c r="G32" i="49"/>
  <c r="G33" i="49" s="1"/>
  <c r="M12" i="50"/>
  <c r="M13" i="50" s="1"/>
  <c r="G45" i="50"/>
  <c r="G44" i="50"/>
  <c r="K21" i="50"/>
  <c r="K22" i="50" s="1"/>
  <c r="M70" i="41"/>
  <c r="M71" i="41" s="1"/>
  <c r="M58" i="46"/>
  <c r="M59" i="46" s="1"/>
  <c r="AS41" i="41"/>
  <c r="AS42" i="41"/>
  <c r="M23" i="49"/>
  <c r="I58" i="46"/>
  <c r="I59" i="46" s="1"/>
  <c r="I58" i="48"/>
  <c r="I59" i="48" s="1"/>
  <c r="I41" i="49"/>
  <c r="I42" i="49" s="1"/>
  <c r="M22" i="46"/>
  <c r="M23" i="46" s="1"/>
  <c r="AI111" i="42"/>
  <c r="AI112" i="42" s="1"/>
  <c r="AI56" i="42"/>
  <c r="AI57" i="42" s="1"/>
  <c r="Q101" i="41"/>
  <c r="AG52" i="42"/>
  <c r="AG55" i="42" s="1"/>
  <c r="O144" i="41"/>
  <c r="O145" i="41" s="1"/>
  <c r="M144" i="41"/>
  <c r="M145" i="41" s="1"/>
  <c r="U56" i="41"/>
  <c r="K145" i="41"/>
  <c r="AK57" i="42"/>
  <c r="AK18" i="42"/>
  <c r="AK19" i="42"/>
  <c r="AC145" i="41"/>
  <c r="M130" i="41"/>
  <c r="S130" i="41"/>
  <c r="M100" i="41"/>
  <c r="M101" i="41"/>
  <c r="K100" i="41"/>
  <c r="K101" i="41" s="1"/>
  <c r="Q130" i="41"/>
  <c r="O130" i="41"/>
  <c r="AG145" i="41"/>
  <c r="AA43" i="42"/>
  <c r="AA44" i="42" s="1"/>
  <c r="AA46" i="42" s="1"/>
  <c r="AI44" i="42"/>
  <c r="AI46" i="42" s="1"/>
  <c r="G22" i="50"/>
  <c r="U90" i="42"/>
  <c r="Q90" i="42"/>
  <c r="G79" i="45"/>
  <c r="G78" i="48"/>
  <c r="G79" i="48" s="1"/>
  <c r="M22" i="45"/>
  <c r="M23" i="45" s="1"/>
  <c r="M41" i="49"/>
  <c r="M42" i="49"/>
  <c r="AM99" i="41"/>
  <c r="I55" i="50"/>
  <c r="M59" i="48"/>
  <c r="G22" i="45"/>
  <c r="G23" i="45" s="1"/>
  <c r="G57" i="46"/>
  <c r="AK83" i="41"/>
  <c r="AK84" i="41" s="1"/>
  <c r="AI66" i="42"/>
  <c r="AI67" i="42" s="1"/>
  <c r="AE144" i="41"/>
  <c r="AE145" i="41" s="1"/>
  <c r="AG43" i="42"/>
  <c r="AG44" i="42" s="1"/>
  <c r="AG46" i="42" s="1"/>
  <c r="O83" i="41"/>
  <c r="O84" i="41"/>
  <c r="M48" i="49"/>
  <c r="O56" i="41"/>
  <c r="G23" i="51"/>
  <c r="Q18" i="42"/>
  <c r="Q19" i="42"/>
  <c r="Q21" i="42" s="1"/>
  <c r="Y100" i="42"/>
  <c r="Y101" i="42" s="1"/>
  <c r="F24" i="43"/>
  <c r="G24" i="43" s="1"/>
  <c r="AG108" i="42"/>
  <c r="AG110" i="42" s="1"/>
  <c r="F24" i="44"/>
  <c r="G24" i="44" s="1"/>
  <c r="M59" i="45"/>
  <c r="G50" i="48"/>
  <c r="K40" i="45"/>
  <c r="K41" i="45" s="1"/>
  <c r="I40" i="45"/>
  <c r="I41" i="45" s="1"/>
  <c r="I99" i="46"/>
  <c r="I100" i="46" s="1"/>
  <c r="M48" i="46"/>
  <c r="G58" i="48"/>
  <c r="G59" i="48" s="1"/>
  <c r="M77" i="48"/>
  <c r="I41" i="48"/>
  <c r="K69" i="45"/>
  <c r="G88" i="46"/>
  <c r="G89" i="45"/>
  <c r="G90" i="45" s="1"/>
  <c r="AQ82" i="41"/>
  <c r="K50" i="45"/>
  <c r="M77" i="45"/>
  <c r="K48" i="48"/>
  <c r="M21" i="48"/>
  <c r="AO143" i="41"/>
  <c r="AQ26" i="41"/>
  <c r="G45" i="53"/>
  <c r="M56" i="41"/>
  <c r="G58" i="53"/>
  <c r="AS128" i="41"/>
  <c r="K100" i="45"/>
  <c r="G21" i="48"/>
  <c r="I59" i="45"/>
  <c r="K98" i="48"/>
  <c r="AK63" i="42"/>
  <c r="AK65" i="42" s="1"/>
  <c r="H16" i="43"/>
  <c r="I16" i="43" s="1"/>
  <c r="G49" i="46"/>
  <c r="G50" i="46" s="1"/>
  <c r="G41" i="48"/>
  <c r="AO71" i="41"/>
  <c r="G41" i="46"/>
  <c r="I98" i="48"/>
  <c r="F28" i="51"/>
  <c r="G28" i="51" s="1"/>
  <c r="G57" i="45"/>
  <c r="AQ143" i="41"/>
  <c r="K38" i="49"/>
  <c r="F37" i="51"/>
  <c r="G37" i="51" s="1"/>
  <c r="F29" i="51"/>
  <c r="G29" i="51" s="1"/>
  <c r="K30" i="49"/>
  <c r="K31" i="49" s="1"/>
  <c r="L86" i="48"/>
  <c r="M86" i="48" s="1"/>
  <c r="M88" i="48" s="1"/>
  <c r="L86" i="46"/>
  <c r="M86" i="46" s="1"/>
  <c r="M88" i="46" s="1"/>
  <c r="L41" i="50"/>
  <c r="M41" i="50" s="1"/>
  <c r="M43" i="50" s="1"/>
  <c r="J83" i="48"/>
  <c r="K83" i="48" s="1"/>
  <c r="AQ122" i="41"/>
  <c r="J83" i="46"/>
  <c r="K83" i="46" s="1"/>
  <c r="J38" i="50"/>
  <c r="K38" i="50" s="1"/>
  <c r="L9" i="49"/>
  <c r="M9" i="49" s="1"/>
  <c r="L9" i="45"/>
  <c r="M9" i="45" s="1"/>
  <c r="L9" i="48"/>
  <c r="M9" i="48" s="1"/>
  <c r="L9" i="46"/>
  <c r="M9" i="46" s="1"/>
  <c r="J83" i="45"/>
  <c r="K83" i="45" s="1"/>
  <c r="Y56" i="41"/>
  <c r="Y58" i="41" s="1"/>
  <c r="L36" i="46"/>
  <c r="M36" i="46" s="1"/>
  <c r="M39" i="46" s="1"/>
  <c r="L17" i="50"/>
  <c r="M17" i="50" s="1"/>
  <c r="M20" i="50" s="1"/>
  <c r="H26" i="45"/>
  <c r="I26" i="45" s="1"/>
  <c r="I30" i="45" s="1"/>
  <c r="H26" i="46"/>
  <c r="I26" i="46" s="1"/>
  <c r="I30" i="46" s="1"/>
  <c r="AK129" i="41"/>
  <c r="AK130" i="41" s="1"/>
  <c r="AE129" i="41"/>
  <c r="AE130" i="41"/>
  <c r="AE100" i="41"/>
  <c r="AE101" i="41" s="1"/>
  <c r="AH86" i="42"/>
  <c r="AD86" i="42"/>
  <c r="AJ86" i="42"/>
  <c r="O66" i="42"/>
  <c r="O67" i="42" s="1"/>
  <c r="S9" i="42"/>
  <c r="S10" i="42" s="1"/>
  <c r="S21" i="42" s="1"/>
  <c r="W70" i="41"/>
  <c r="W71" i="41" s="1"/>
  <c r="AA100" i="41"/>
  <c r="AA101" i="41" s="1"/>
  <c r="AI71" i="41"/>
  <c r="AC83" i="41"/>
  <c r="AC84" i="41" s="1"/>
  <c r="U82" i="41"/>
  <c r="AA101" i="42"/>
  <c r="AA100" i="42"/>
  <c r="AF86" i="42"/>
  <c r="AG78" i="42"/>
  <c r="AG79" i="42" s="1"/>
  <c r="AA78" i="42"/>
  <c r="AA79" i="42" s="1"/>
  <c r="G66" i="42"/>
  <c r="G67" i="42" s="1"/>
  <c r="AA56" i="42"/>
  <c r="AA57" i="42" s="1"/>
  <c r="Q43" i="42"/>
  <c r="Q44" i="42" s="1"/>
  <c r="Q46" i="42" s="1"/>
  <c r="G56" i="41"/>
  <c r="J65" i="48"/>
  <c r="K65" i="48" s="1"/>
  <c r="K69" i="48" s="1"/>
  <c r="J28" i="50"/>
  <c r="K28" i="50" s="1"/>
  <c r="K32" i="50" s="1"/>
  <c r="G25" i="41"/>
  <c r="G26" i="41"/>
  <c r="Y114" i="41"/>
  <c r="Y83" i="41"/>
  <c r="Y84" i="41" s="1"/>
  <c r="M66" i="42"/>
  <c r="M67" i="42" s="1"/>
  <c r="AM28" i="42"/>
  <c r="AM31" i="42" s="1"/>
  <c r="L10" i="44"/>
  <c r="M10" i="44" s="1"/>
  <c r="L10" i="43"/>
  <c r="M10" i="43" s="1"/>
  <c r="M12" i="41"/>
  <c r="AA114" i="41"/>
  <c r="W101" i="41"/>
  <c r="K84" i="41"/>
  <c r="K100" i="42"/>
  <c r="K101" i="42" s="1"/>
  <c r="AK9" i="42"/>
  <c r="AK10" i="42" s="1"/>
  <c r="AK21" i="42" s="1"/>
  <c r="I78" i="42"/>
  <c r="I79" i="42" s="1"/>
  <c r="W66" i="42"/>
  <c r="W67" i="42" s="1"/>
  <c r="W56" i="42"/>
  <c r="W57" i="42" s="1"/>
  <c r="Q100" i="42"/>
  <c r="Q101" i="42" s="1"/>
  <c r="Q79" i="42"/>
  <c r="AD63" i="42"/>
  <c r="Q32" i="42"/>
  <c r="Q33" i="42" s="1"/>
  <c r="I33" i="42"/>
  <c r="J10" i="43"/>
  <c r="K10" i="43" s="1"/>
  <c r="J10" i="44"/>
  <c r="K10" i="44" s="1"/>
  <c r="AM5" i="42"/>
  <c r="AM8" i="42" s="1"/>
  <c r="L6" i="44"/>
  <c r="M6" i="44" s="1"/>
  <c r="Q112" i="41"/>
  <c r="I57" i="42"/>
  <c r="AE33" i="42"/>
  <c r="AC9" i="42"/>
  <c r="AC10" i="42" s="1"/>
  <c r="AC21" i="42" s="1"/>
  <c r="G40" i="54"/>
  <c r="G41" i="54" s="1"/>
  <c r="M82" i="41"/>
  <c r="K112" i="42"/>
  <c r="U111" i="42"/>
  <c r="U112" i="42" s="1"/>
  <c r="Y79" i="42"/>
  <c r="K79" i="42"/>
  <c r="O56" i="42"/>
  <c r="O57" i="42" s="1"/>
  <c r="U9" i="42"/>
  <c r="U10" i="42" s="1"/>
  <c r="U21" i="42" s="1"/>
  <c r="I18" i="42"/>
  <c r="I19" i="42" s="1"/>
  <c r="AF15" i="42"/>
  <c r="I10" i="42"/>
  <c r="AI5" i="42"/>
  <c r="AI8" i="42" s="1"/>
  <c r="G49" i="54"/>
  <c r="G12" i="53"/>
  <c r="G13" i="53"/>
  <c r="G30" i="54"/>
  <c r="AF5" i="42"/>
  <c r="AI108" i="41"/>
  <c r="AI112" i="41" s="1"/>
  <c r="AA25" i="41" l="1"/>
  <c r="AA26" i="41"/>
  <c r="AG100" i="41"/>
  <c r="AG101" i="41" s="1"/>
  <c r="AI41" i="41"/>
  <c r="AI42" i="41"/>
  <c r="I100" i="41"/>
  <c r="I101" i="41" s="1"/>
  <c r="AI100" i="41"/>
  <c r="AI101" i="41"/>
  <c r="L51" i="50"/>
  <c r="M51" i="50" s="1"/>
  <c r="M53" i="50" s="1"/>
  <c r="M54" i="50" s="1"/>
  <c r="M55" i="50" s="1"/>
  <c r="L96" i="45"/>
  <c r="M96" i="45" s="1"/>
  <c r="M98" i="45" s="1"/>
  <c r="L96" i="48"/>
  <c r="M96" i="48" s="1"/>
  <c r="M98" i="48" s="1"/>
  <c r="L96" i="46"/>
  <c r="M96" i="46" s="1"/>
  <c r="M98" i="46" s="1"/>
  <c r="AS140" i="41"/>
  <c r="AS143" i="41" s="1"/>
  <c r="AS144" i="41" s="1"/>
  <c r="AS145" i="41" s="1"/>
  <c r="H10" i="44"/>
  <c r="I10" i="44" s="1"/>
  <c r="AI28" i="42"/>
  <c r="AI31" i="42" s="1"/>
  <c r="AI32" i="42" s="1"/>
  <c r="AI33" i="42" s="1"/>
  <c r="H10" i="43"/>
  <c r="I10" i="43" s="1"/>
  <c r="AM35" i="41"/>
  <c r="F26" i="45"/>
  <c r="G26" i="45" s="1"/>
  <c r="F26" i="48"/>
  <c r="G26" i="48" s="1"/>
  <c r="F7" i="50"/>
  <c r="G7" i="50" s="1"/>
  <c r="F26" i="46"/>
  <c r="G26" i="46" s="1"/>
  <c r="J7" i="46"/>
  <c r="K7" i="46" s="1"/>
  <c r="J7" i="45"/>
  <c r="K7" i="45" s="1"/>
  <c r="AQ6" i="41"/>
  <c r="J7" i="48"/>
  <c r="K7" i="48" s="1"/>
  <c r="J7" i="49"/>
  <c r="K7" i="49" s="1"/>
  <c r="L18" i="44"/>
  <c r="M18" i="44" s="1"/>
  <c r="AM74" i="42"/>
  <c r="AM77" i="42" s="1"/>
  <c r="G50" i="45"/>
  <c r="S11" i="41"/>
  <c r="S12" i="41"/>
  <c r="W83" i="41"/>
  <c r="W84" i="41" s="1"/>
  <c r="O100" i="41"/>
  <c r="O101" i="41"/>
  <c r="G22" i="54"/>
  <c r="G23" i="54" s="1"/>
  <c r="F93" i="45"/>
  <c r="G93" i="45" s="1"/>
  <c r="G98" i="45" s="1"/>
  <c r="F48" i="50"/>
  <c r="G48" i="50" s="1"/>
  <c r="G53" i="50" s="1"/>
  <c r="AM137" i="41"/>
  <c r="AM143" i="41" s="1"/>
  <c r="F93" i="48"/>
  <c r="G93" i="48" s="1"/>
  <c r="G98" i="48" s="1"/>
  <c r="F93" i="46"/>
  <c r="G93" i="46" s="1"/>
  <c r="G98" i="46" s="1"/>
  <c r="H15" i="49"/>
  <c r="I15" i="49" s="1"/>
  <c r="H15" i="48"/>
  <c r="I15" i="48" s="1"/>
  <c r="H15" i="46"/>
  <c r="I15" i="46" s="1"/>
  <c r="AM17" i="41"/>
  <c r="H15" i="45"/>
  <c r="I15" i="45" s="1"/>
  <c r="I21" i="45" s="1"/>
  <c r="U32" i="42"/>
  <c r="U33" i="42" s="1"/>
  <c r="AM109" i="41"/>
  <c r="AM112" i="41" s="1"/>
  <c r="H75" i="46"/>
  <c r="I75" i="46" s="1"/>
  <c r="I77" i="46" s="1"/>
  <c r="H75" i="45"/>
  <c r="H75" i="48"/>
  <c r="I75" i="48" s="1"/>
  <c r="I77" i="48" s="1"/>
  <c r="H68" i="48"/>
  <c r="I68" i="48" s="1"/>
  <c r="I69" i="48" s="1"/>
  <c r="I70" i="48" s="1"/>
  <c r="I71" i="48" s="1"/>
  <c r="H68" i="46"/>
  <c r="I68" i="46" s="1"/>
  <c r="I69" i="46" s="1"/>
  <c r="AO97" i="41"/>
  <c r="AO99" i="41" s="1"/>
  <c r="AO100" i="41" s="1"/>
  <c r="AO101" i="41" s="1"/>
  <c r="H31" i="50"/>
  <c r="I31" i="50" s="1"/>
  <c r="I32" i="50" s="1"/>
  <c r="H68" i="45"/>
  <c r="I68" i="45" s="1"/>
  <c r="I69" i="45" s="1"/>
  <c r="AQ36" i="41"/>
  <c r="AQ40" i="41" s="1"/>
  <c r="J8" i="50"/>
  <c r="K8" i="50" s="1"/>
  <c r="K11" i="50" s="1"/>
  <c r="J27" i="46"/>
  <c r="K27" i="46" s="1"/>
  <c r="K30" i="46" s="1"/>
  <c r="J27" i="45"/>
  <c r="K27" i="45" s="1"/>
  <c r="K30" i="45" s="1"/>
  <c r="J27" i="48"/>
  <c r="K27" i="48" s="1"/>
  <c r="K30" i="48" s="1"/>
  <c r="K31" i="48" s="1"/>
  <c r="K32" i="48" s="1"/>
  <c r="L6" i="45"/>
  <c r="M6" i="45" s="1"/>
  <c r="M10" i="45" s="1"/>
  <c r="L6" i="49"/>
  <c r="M6" i="49" s="1"/>
  <c r="AS5" i="41"/>
  <c r="L6" i="48"/>
  <c r="M6" i="48" s="1"/>
  <c r="M10" i="48" s="1"/>
  <c r="L6" i="46"/>
  <c r="M6" i="46" s="1"/>
  <c r="W9" i="42"/>
  <c r="W10" i="42"/>
  <c r="W21" i="42" s="1"/>
  <c r="L36" i="45"/>
  <c r="M36" i="45" s="1"/>
  <c r="M39" i="45" s="1"/>
  <c r="AQ50" i="41"/>
  <c r="AQ54" i="41" s="1"/>
  <c r="AQ55" i="41" s="1"/>
  <c r="AQ56" i="41" s="1"/>
  <c r="L36" i="48"/>
  <c r="M36" i="48" s="1"/>
  <c r="M39" i="48" s="1"/>
  <c r="L7" i="48"/>
  <c r="M7" i="48" s="1"/>
  <c r="L7" i="46"/>
  <c r="M7" i="46" s="1"/>
  <c r="L7" i="49"/>
  <c r="M7" i="49" s="1"/>
  <c r="L7" i="45"/>
  <c r="M7" i="45" s="1"/>
  <c r="AS6" i="41"/>
  <c r="AK74" i="42"/>
  <c r="AK77" i="42" s="1"/>
  <c r="J18" i="43"/>
  <c r="K18" i="43" s="1"/>
  <c r="J18" i="44"/>
  <c r="K18" i="44" s="1"/>
  <c r="M32" i="49"/>
  <c r="M33" i="49"/>
  <c r="H28" i="49"/>
  <c r="I28" i="49" s="1"/>
  <c r="I31" i="49" s="1"/>
  <c r="AM65" i="41"/>
  <c r="AM69" i="41" s="1"/>
  <c r="H45" i="48"/>
  <c r="I45" i="48" s="1"/>
  <c r="I48" i="48" s="1"/>
  <c r="H45" i="46"/>
  <c r="I45" i="46" s="1"/>
  <c r="I48" i="46" s="1"/>
  <c r="H45" i="45"/>
  <c r="I45" i="45" s="1"/>
  <c r="I48" i="45" s="1"/>
  <c r="AK58" i="41"/>
  <c r="M10" i="49"/>
  <c r="AA11" i="41"/>
  <c r="AA12" i="41"/>
  <c r="AG113" i="41"/>
  <c r="AG114" i="41" s="1"/>
  <c r="AK11" i="41"/>
  <c r="AK12" i="41"/>
  <c r="AK28" i="41" s="1"/>
  <c r="G129" i="41"/>
  <c r="G130" i="41" s="1"/>
  <c r="AA129" i="41"/>
  <c r="AA130" i="41"/>
  <c r="J15" i="45"/>
  <c r="K15" i="45" s="1"/>
  <c r="J15" i="48"/>
  <c r="K15" i="48" s="1"/>
  <c r="J15" i="49"/>
  <c r="K15" i="49" s="1"/>
  <c r="AO17" i="41"/>
  <c r="AO24" i="41" s="1"/>
  <c r="J15" i="46"/>
  <c r="K15" i="46" s="1"/>
  <c r="K21" i="46" s="1"/>
  <c r="K22" i="46" s="1"/>
  <c r="K23" i="46" s="1"/>
  <c r="AK32" i="42"/>
  <c r="AK33" i="42"/>
  <c r="H37" i="50"/>
  <c r="I37" i="50" s="1"/>
  <c r="I43" i="50" s="1"/>
  <c r="I44" i="50" s="1"/>
  <c r="I45" i="50" s="1"/>
  <c r="H82" i="48"/>
  <c r="I82" i="48" s="1"/>
  <c r="I88" i="48" s="1"/>
  <c r="I89" i="48" s="1"/>
  <c r="I90" i="48" s="1"/>
  <c r="H82" i="46"/>
  <c r="I82" i="46" s="1"/>
  <c r="I88" i="46" s="1"/>
  <c r="I89" i="46" s="1"/>
  <c r="I90" i="46" s="1"/>
  <c r="H82" i="45"/>
  <c r="I82" i="45" s="1"/>
  <c r="I88" i="45" s="1"/>
  <c r="AO121" i="41"/>
  <c r="AO128" i="41" s="1"/>
  <c r="J6" i="49"/>
  <c r="K6" i="49" s="1"/>
  <c r="K10" i="49" s="1"/>
  <c r="K11" i="49" s="1"/>
  <c r="K12" i="49" s="1"/>
  <c r="J6" i="46"/>
  <c r="K6" i="46" s="1"/>
  <c r="K10" i="46" s="1"/>
  <c r="J6" i="45"/>
  <c r="K6" i="45" s="1"/>
  <c r="K10" i="45" s="1"/>
  <c r="K11" i="45" s="1"/>
  <c r="K12" i="45" s="1"/>
  <c r="J6" i="48"/>
  <c r="K6" i="48" s="1"/>
  <c r="K10" i="48" s="1"/>
  <c r="AQ5" i="41"/>
  <c r="AQ10" i="41" s="1"/>
  <c r="AQ11" i="41" s="1"/>
  <c r="AQ12" i="41" s="1"/>
  <c r="AQ28" i="41" s="1"/>
  <c r="H6" i="44"/>
  <c r="I6" i="44" s="1"/>
  <c r="H6" i="43"/>
  <c r="I6" i="43" s="1"/>
  <c r="AQ101" i="41"/>
  <c r="AQ100" i="41"/>
  <c r="AS7" i="41"/>
  <c r="L8" i="48"/>
  <c r="M8" i="48" s="1"/>
  <c r="L8" i="46"/>
  <c r="M8" i="46" s="1"/>
  <c r="L8" i="45"/>
  <c r="M8" i="45" s="1"/>
  <c r="L8" i="49"/>
  <c r="M8" i="49" s="1"/>
  <c r="F7" i="48"/>
  <c r="G7" i="48" s="1"/>
  <c r="AM6" i="41"/>
  <c r="F7" i="49"/>
  <c r="G7" i="49" s="1"/>
  <c r="F7" i="45"/>
  <c r="G7" i="45" s="1"/>
  <c r="F7" i="46"/>
  <c r="G7" i="46" s="1"/>
  <c r="AA58" i="41"/>
  <c r="K43" i="50"/>
  <c r="Y100" i="41"/>
  <c r="Y101" i="41"/>
  <c r="AC129" i="41"/>
  <c r="AC130" i="41" s="1"/>
  <c r="I129" i="41"/>
  <c r="I130" i="41"/>
  <c r="AC113" i="41"/>
  <c r="AC114" i="41" s="1"/>
  <c r="J53" i="45"/>
  <c r="K53" i="45" s="1"/>
  <c r="K57" i="45" s="1"/>
  <c r="J53" i="46"/>
  <c r="K53" i="46" s="1"/>
  <c r="K57" i="46" s="1"/>
  <c r="J36" i="49"/>
  <c r="J53" i="48"/>
  <c r="K53" i="48" s="1"/>
  <c r="K57" i="48" s="1"/>
  <c r="AO77" i="41"/>
  <c r="AO82" i="41" s="1"/>
  <c r="AG28" i="42"/>
  <c r="AG31" i="42" s="1"/>
  <c r="AG32" i="42" s="1"/>
  <c r="AG33" i="42" s="1"/>
  <c r="F10" i="43"/>
  <c r="G10" i="43" s="1"/>
  <c r="F10" i="44"/>
  <c r="G10" i="44" s="1"/>
  <c r="AO109" i="41"/>
  <c r="AO112" i="41" s="1"/>
  <c r="J75" i="45"/>
  <c r="J75" i="48"/>
  <c r="K75" i="48" s="1"/>
  <c r="K77" i="48" s="1"/>
  <c r="K78" i="48" s="1"/>
  <c r="K79" i="48" s="1"/>
  <c r="J75" i="46"/>
  <c r="K75" i="46" s="1"/>
  <c r="K77" i="46" s="1"/>
  <c r="F28" i="45"/>
  <c r="G28" i="45" s="1"/>
  <c r="F9" i="50"/>
  <c r="G9" i="50" s="1"/>
  <c r="F28" i="46"/>
  <c r="G28" i="46" s="1"/>
  <c r="F28" i="48"/>
  <c r="G28" i="48" s="1"/>
  <c r="AM37" i="41"/>
  <c r="H26" i="48"/>
  <c r="I26" i="48" s="1"/>
  <c r="I30" i="48" s="1"/>
  <c r="H7" i="50"/>
  <c r="I7" i="50" s="1"/>
  <c r="I11" i="50" s="1"/>
  <c r="I12" i="50" s="1"/>
  <c r="I13" i="50" s="1"/>
  <c r="AO35" i="41"/>
  <c r="AO40" i="41" s="1"/>
  <c r="AM18" i="41"/>
  <c r="H16" i="49"/>
  <c r="I16" i="49" s="1"/>
  <c r="H16" i="46"/>
  <c r="I16" i="46" s="1"/>
  <c r="H16" i="48"/>
  <c r="I16" i="48" s="1"/>
  <c r="H16" i="45"/>
  <c r="I16" i="45" s="1"/>
  <c r="F6" i="45"/>
  <c r="G6" i="45" s="1"/>
  <c r="F6" i="48"/>
  <c r="G6" i="48" s="1"/>
  <c r="G10" i="48" s="1"/>
  <c r="G11" i="48" s="1"/>
  <c r="G12" i="48" s="1"/>
  <c r="AM5" i="41"/>
  <c r="F6" i="49"/>
  <c r="G6" i="49" s="1"/>
  <c r="I40" i="46"/>
  <c r="I41" i="46"/>
  <c r="J84" i="48"/>
  <c r="K84" i="48" s="1"/>
  <c r="K88" i="48" s="1"/>
  <c r="K89" i="48" s="1"/>
  <c r="K90" i="48" s="1"/>
  <c r="J84" i="45"/>
  <c r="K84" i="45" s="1"/>
  <c r="K88" i="45" s="1"/>
  <c r="K89" i="45" s="1"/>
  <c r="K90" i="45" s="1"/>
  <c r="J39" i="50"/>
  <c r="K39" i="50" s="1"/>
  <c r="AQ123" i="41"/>
  <c r="AQ128" i="41" s="1"/>
  <c r="J84" i="46"/>
  <c r="K84" i="46" s="1"/>
  <c r="K88" i="46" s="1"/>
  <c r="AO20" i="41"/>
  <c r="J18" i="49"/>
  <c r="K18" i="49" s="1"/>
  <c r="J18" i="45"/>
  <c r="K18" i="45" s="1"/>
  <c r="J18" i="48"/>
  <c r="K18" i="48" s="1"/>
  <c r="J18" i="46"/>
  <c r="K18" i="46" s="1"/>
  <c r="AM7" i="41"/>
  <c r="F8" i="45"/>
  <c r="G8" i="45" s="1"/>
  <c r="G10" i="45" s="1"/>
  <c r="G11" i="45" s="1"/>
  <c r="G12" i="45" s="1"/>
  <c r="F8" i="46"/>
  <c r="G8" i="46" s="1"/>
  <c r="F8" i="48"/>
  <c r="G8" i="48" s="1"/>
  <c r="F8" i="49"/>
  <c r="G8" i="49" s="1"/>
  <c r="AG11" i="41"/>
  <c r="AG12" i="41" s="1"/>
  <c r="AG28" i="41" s="1"/>
  <c r="AS91" i="41"/>
  <c r="AS99" i="41" s="1"/>
  <c r="L62" i="45"/>
  <c r="M62" i="45" s="1"/>
  <c r="M69" i="45" s="1"/>
  <c r="M70" i="45" s="1"/>
  <c r="M71" i="45" s="1"/>
  <c r="L62" i="48"/>
  <c r="M62" i="48" s="1"/>
  <c r="M69" i="48" s="1"/>
  <c r="L62" i="46"/>
  <c r="M62" i="46" s="1"/>
  <c r="M69" i="46" s="1"/>
  <c r="L25" i="50"/>
  <c r="M25" i="50" s="1"/>
  <c r="M32" i="50" s="1"/>
  <c r="M33" i="50" s="1"/>
  <c r="M34" i="50" s="1"/>
  <c r="I42" i="55"/>
  <c r="I45" i="55" s="1"/>
  <c r="M31" i="45"/>
  <c r="M32" i="45" s="1"/>
  <c r="AC100" i="41"/>
  <c r="AC101" i="41" s="1"/>
  <c r="AQ58" i="41"/>
  <c r="G33" i="53"/>
  <c r="G34" i="53"/>
  <c r="AC70" i="41"/>
  <c r="AC71" i="41" s="1"/>
  <c r="AG55" i="41"/>
  <c r="AG56" i="41" s="1"/>
  <c r="AG58" i="41" s="1"/>
  <c r="AK108" i="42"/>
  <c r="AK110" i="42" s="1"/>
  <c r="J24" i="44"/>
  <c r="K24" i="44" s="1"/>
  <c r="J24" i="43"/>
  <c r="K24" i="43" s="1"/>
  <c r="AG129" i="41"/>
  <c r="AG130" i="41" s="1"/>
  <c r="U11" i="41"/>
  <c r="U12" i="41" s="1"/>
  <c r="AE15" i="42"/>
  <c r="AE17" i="42" s="1"/>
  <c r="F8" i="44"/>
  <c r="G8" i="44" s="1"/>
  <c r="F8" i="43"/>
  <c r="G8" i="43" s="1"/>
  <c r="I11" i="46"/>
  <c r="I12" i="46" s="1"/>
  <c r="M49" i="45"/>
  <c r="M50" i="45" s="1"/>
  <c r="AM129" i="41"/>
  <c r="AM130" i="41" s="1"/>
  <c r="G99" i="45"/>
  <c r="G100" i="45" s="1"/>
  <c r="J8" i="44"/>
  <c r="K8" i="44" s="1"/>
  <c r="AI15" i="42"/>
  <c r="AI17" i="42" s="1"/>
  <c r="J8" i="43"/>
  <c r="K8" i="43" s="1"/>
  <c r="K58" i="46"/>
  <c r="K59" i="46" s="1"/>
  <c r="K49" i="46"/>
  <c r="K50" i="46"/>
  <c r="G33" i="50"/>
  <c r="G34" i="50" s="1"/>
  <c r="M58" i="50"/>
  <c r="M59" i="50" s="1"/>
  <c r="M60" i="50" s="1"/>
  <c r="G30" i="51"/>
  <c r="G31" i="51" s="1"/>
  <c r="G32" i="51" s="1"/>
  <c r="AI79" i="42"/>
  <c r="O11" i="41"/>
  <c r="O12" i="41"/>
  <c r="AI55" i="41"/>
  <c r="AI56" i="41" s="1"/>
  <c r="AI58" i="41" s="1"/>
  <c r="W129" i="41"/>
  <c r="W130" i="41"/>
  <c r="S83" i="41"/>
  <c r="S84" i="41" s="1"/>
  <c r="Y70" i="41"/>
  <c r="Y71" i="41" s="1"/>
  <c r="K33" i="50"/>
  <c r="K34" i="50" s="1"/>
  <c r="K58" i="50"/>
  <c r="F20" i="43"/>
  <c r="G20" i="43" s="1"/>
  <c r="F20" i="44"/>
  <c r="G20" i="44" s="1"/>
  <c r="AE86" i="42"/>
  <c r="AE88" i="42" s="1"/>
  <c r="M40" i="46"/>
  <c r="M41" i="46" s="1"/>
  <c r="M89" i="46"/>
  <c r="M90" i="46" s="1"/>
  <c r="AG111" i="42"/>
  <c r="AG112" i="42" s="1"/>
  <c r="M83" i="41"/>
  <c r="M84" i="41" s="1"/>
  <c r="J20" i="44"/>
  <c r="K20" i="44" s="1"/>
  <c r="J20" i="43"/>
  <c r="K20" i="43" s="1"/>
  <c r="K26" i="43" s="1"/>
  <c r="AI86" i="42"/>
  <c r="AI88" i="42" s="1"/>
  <c r="I99" i="48"/>
  <c r="I100" i="48" s="1"/>
  <c r="AK66" i="42"/>
  <c r="AK67" i="42" s="1"/>
  <c r="G59" i="53"/>
  <c r="G60" i="53" s="1"/>
  <c r="M70" i="46"/>
  <c r="M71" i="46" s="1"/>
  <c r="M22" i="48"/>
  <c r="M23" i="48" s="1"/>
  <c r="AQ83" i="41"/>
  <c r="AQ84" i="41" s="1"/>
  <c r="I70" i="45"/>
  <c r="I71" i="45" s="1"/>
  <c r="G31" i="54"/>
  <c r="G32" i="54" s="1"/>
  <c r="G52" i="54"/>
  <c r="AE63" i="42"/>
  <c r="AE65" i="42" s="1"/>
  <c r="F16" i="44"/>
  <c r="G16" i="44" s="1"/>
  <c r="F16" i="43"/>
  <c r="G16" i="43" s="1"/>
  <c r="AQ144" i="41"/>
  <c r="AQ145" i="41" s="1"/>
  <c r="K31" i="45"/>
  <c r="K32" i="45" s="1"/>
  <c r="I78" i="46"/>
  <c r="I79" i="46"/>
  <c r="M44" i="50"/>
  <c r="M45" i="50" s="1"/>
  <c r="H20" i="44"/>
  <c r="I20" i="44" s="1"/>
  <c r="H20" i="43"/>
  <c r="I20" i="43" s="1"/>
  <c r="AG86" i="42"/>
  <c r="AG88" i="42" s="1"/>
  <c r="H8" i="44"/>
  <c r="I8" i="44" s="1"/>
  <c r="H8" i="43"/>
  <c r="I8" i="43" s="1"/>
  <c r="AG15" i="42"/>
  <c r="AG17" i="42" s="1"/>
  <c r="AM9" i="42"/>
  <c r="AM10" i="42" s="1"/>
  <c r="AM32" i="42"/>
  <c r="AM33" i="42" s="1"/>
  <c r="I31" i="45"/>
  <c r="I32" i="45" s="1"/>
  <c r="M11" i="49"/>
  <c r="M12" i="49"/>
  <c r="M55" i="49"/>
  <c r="K11" i="46"/>
  <c r="K12" i="46"/>
  <c r="G58" i="45"/>
  <c r="G59" i="45" s="1"/>
  <c r="K99" i="48"/>
  <c r="K100" i="48" s="1"/>
  <c r="I49" i="46"/>
  <c r="I50" i="46" s="1"/>
  <c r="K49" i="48"/>
  <c r="K50" i="48" s="1"/>
  <c r="K70" i="45"/>
  <c r="K71" i="45" s="1"/>
  <c r="M49" i="46"/>
  <c r="M50" i="46" s="1"/>
  <c r="G58" i="46"/>
  <c r="G59" i="46" s="1"/>
  <c r="AI9" i="42"/>
  <c r="AI10" i="42" s="1"/>
  <c r="Q113" i="41"/>
  <c r="Q114" i="41" s="1"/>
  <c r="U83" i="41"/>
  <c r="U84" i="41" s="1"/>
  <c r="G22" i="48"/>
  <c r="G23" i="48" s="1"/>
  <c r="AO144" i="41"/>
  <c r="AO145" i="41"/>
  <c r="G89" i="46"/>
  <c r="G90" i="46" s="1"/>
  <c r="M78" i="48"/>
  <c r="M79" i="48" s="1"/>
  <c r="M49" i="49"/>
  <c r="M50" i="49" s="1"/>
  <c r="M99" i="45"/>
  <c r="M100" i="45" s="1"/>
  <c r="I31" i="46"/>
  <c r="I32" i="46" s="1"/>
  <c r="M89" i="48"/>
  <c r="M90" i="48" s="1"/>
  <c r="AI113" i="41"/>
  <c r="AI114" i="41"/>
  <c r="F6" i="43"/>
  <c r="G6" i="43" s="1"/>
  <c r="F6" i="46"/>
  <c r="G6" i="46" s="1"/>
  <c r="G10" i="46" s="1"/>
  <c r="F6" i="44"/>
  <c r="G6" i="44" s="1"/>
  <c r="AG5" i="42"/>
  <c r="AG8" i="42" s="1"/>
  <c r="K26" i="44"/>
  <c r="K70" i="48"/>
  <c r="K71" i="48" s="1"/>
  <c r="L20" i="44"/>
  <c r="M20" i="44" s="1"/>
  <c r="M26" i="44" s="1"/>
  <c r="L20" i="43"/>
  <c r="M20" i="43" s="1"/>
  <c r="M26" i="43" s="1"/>
  <c r="AK86" i="42"/>
  <c r="AK88" i="42" s="1"/>
  <c r="M21" i="50"/>
  <c r="M22" i="50" s="1"/>
  <c r="K44" i="50"/>
  <c r="K45" i="50" s="1"/>
  <c r="K32" i="49"/>
  <c r="K33" i="49" s="1"/>
  <c r="I49" i="48"/>
  <c r="I50" i="48" s="1"/>
  <c r="AS129" i="41"/>
  <c r="AS130" i="41" s="1"/>
  <c r="G89" i="48"/>
  <c r="G90" i="48" s="1"/>
  <c r="M78" i="45"/>
  <c r="M79" i="45" s="1"/>
  <c r="K78" i="46"/>
  <c r="K79" i="46" s="1"/>
  <c r="AM100" i="41"/>
  <c r="AM101" i="41" s="1"/>
  <c r="AG56" i="42"/>
  <c r="AG57" i="42" s="1"/>
  <c r="M103" i="48" l="1"/>
  <c r="M12" i="48"/>
  <c r="M11" i="48"/>
  <c r="K89" i="46"/>
  <c r="K90" i="46" s="1"/>
  <c r="K103" i="46"/>
  <c r="AQ129" i="41"/>
  <c r="AQ130" i="41" s="1"/>
  <c r="AQ150" i="41" s="1"/>
  <c r="M103" i="45"/>
  <c r="M11" i="45"/>
  <c r="M12" i="45" s="1"/>
  <c r="M71" i="48"/>
  <c r="M70" i="48"/>
  <c r="AS100" i="41"/>
  <c r="AS101" i="41" s="1"/>
  <c r="AS150" i="41" s="1"/>
  <c r="G10" i="49"/>
  <c r="AO113" i="41"/>
  <c r="AO114" i="41"/>
  <c r="AO83" i="41"/>
  <c r="AO84" i="41"/>
  <c r="K58" i="45"/>
  <c r="K59" i="45"/>
  <c r="K21" i="48"/>
  <c r="K103" i="48" s="1"/>
  <c r="K104" i="48" s="1"/>
  <c r="K105" i="48" s="1"/>
  <c r="AM71" i="41"/>
  <c r="AM70" i="41"/>
  <c r="M41" i="48"/>
  <c r="M40" i="48"/>
  <c r="K31" i="46"/>
  <c r="K32" i="46" s="1"/>
  <c r="I33" i="50"/>
  <c r="I34" i="50" s="1"/>
  <c r="I78" i="48"/>
  <c r="I79" i="48" s="1"/>
  <c r="I21" i="46"/>
  <c r="G99" i="48"/>
  <c r="G100" i="48"/>
  <c r="G30" i="45"/>
  <c r="I58" i="50"/>
  <c r="AM10" i="41"/>
  <c r="AM11" i="41" s="1"/>
  <c r="AM12" i="41" s="1"/>
  <c r="AO58" i="41"/>
  <c r="AO41" i="41"/>
  <c r="AO42" i="41"/>
  <c r="K58" i="48"/>
  <c r="K59" i="48"/>
  <c r="K21" i="45"/>
  <c r="I50" i="45"/>
  <c r="I49" i="45"/>
  <c r="I32" i="49"/>
  <c r="I33" i="49" s="1"/>
  <c r="M10" i="46"/>
  <c r="K12" i="50"/>
  <c r="K13" i="50"/>
  <c r="I75" i="45"/>
  <c r="I77" i="45" s="1"/>
  <c r="H46" i="49"/>
  <c r="I46" i="49" s="1"/>
  <c r="I48" i="49" s="1"/>
  <c r="I49" i="49" s="1"/>
  <c r="I50" i="49" s="1"/>
  <c r="I21" i="48"/>
  <c r="AM144" i="41"/>
  <c r="AM145" i="41" s="1"/>
  <c r="G30" i="46"/>
  <c r="G103" i="46" s="1"/>
  <c r="AM40" i="41"/>
  <c r="K36" i="49"/>
  <c r="K40" i="49" s="1"/>
  <c r="K41" i="49" s="1"/>
  <c r="K42" i="49" s="1"/>
  <c r="F35" i="51"/>
  <c r="G35" i="51" s="1"/>
  <c r="G39" i="51" s="1"/>
  <c r="K11" i="48"/>
  <c r="K12" i="48" s="1"/>
  <c r="AO129" i="41"/>
  <c r="AO130" i="41" s="1"/>
  <c r="AO25" i="41"/>
  <c r="AO26" i="41" s="1"/>
  <c r="AO28" i="41" s="1"/>
  <c r="AK78" i="42"/>
  <c r="AK79" i="42" s="1"/>
  <c r="M40" i="45"/>
  <c r="M41" i="45" s="1"/>
  <c r="AQ42" i="41"/>
  <c r="AQ41" i="41"/>
  <c r="I70" i="46"/>
  <c r="I71" i="46" s="1"/>
  <c r="I23" i="45"/>
  <c r="I22" i="45"/>
  <c r="I21" i="49"/>
  <c r="G54" i="50"/>
  <c r="G55" i="50" s="1"/>
  <c r="AM78" i="42"/>
  <c r="AM79" i="42"/>
  <c r="G11" i="50"/>
  <c r="M99" i="46"/>
  <c r="M100" i="46" s="1"/>
  <c r="AA28" i="41"/>
  <c r="I26" i="43"/>
  <c r="G103" i="45"/>
  <c r="G104" i="45" s="1"/>
  <c r="G105" i="45" s="1"/>
  <c r="I31" i="48"/>
  <c r="I32" i="48" s="1"/>
  <c r="K75" i="45"/>
  <c r="K77" i="45" s="1"/>
  <c r="J46" i="49"/>
  <c r="I89" i="45"/>
  <c r="I90" i="45" s="1"/>
  <c r="K21" i="49"/>
  <c r="AS10" i="41"/>
  <c r="AS11" i="41" s="1"/>
  <c r="AS12" i="41" s="1"/>
  <c r="AM113" i="41"/>
  <c r="AM114" i="41" s="1"/>
  <c r="AM24" i="41"/>
  <c r="AM25" i="41" s="1"/>
  <c r="AM26" i="41" s="1"/>
  <c r="AM28" i="41" s="1"/>
  <c r="G99" i="46"/>
  <c r="G100" i="46"/>
  <c r="G30" i="48"/>
  <c r="M99" i="48"/>
  <c r="M100" i="48" s="1"/>
  <c r="AK111" i="42"/>
  <c r="AK112" i="42" s="1"/>
  <c r="AI18" i="42"/>
  <c r="AI19" i="42" s="1"/>
  <c r="AI21" i="42" s="1"/>
  <c r="AE18" i="42"/>
  <c r="AE19" i="42"/>
  <c r="AE21" i="42" s="1"/>
  <c r="M27" i="43"/>
  <c r="M28" i="43" s="1"/>
  <c r="K27" i="43"/>
  <c r="K28" i="43" s="1"/>
  <c r="M27" i="44"/>
  <c r="M28" i="44" s="1"/>
  <c r="M60" i="49"/>
  <c r="I27" i="43"/>
  <c r="I28" i="43" s="1"/>
  <c r="G26" i="43"/>
  <c r="H60" i="53"/>
  <c r="AK89" i="42"/>
  <c r="AK90" i="42" s="1"/>
  <c r="AM117" i="42" s="1"/>
  <c r="M56" i="49"/>
  <c r="M57" i="49" s="1"/>
  <c r="M104" i="48"/>
  <c r="M105" i="48" s="1"/>
  <c r="AG89" i="42"/>
  <c r="AG90" i="42"/>
  <c r="AE66" i="42"/>
  <c r="AE67" i="42"/>
  <c r="G11" i="46"/>
  <c r="G12" i="46"/>
  <c r="K59" i="50"/>
  <c r="K60" i="50" s="1"/>
  <c r="K27" i="44"/>
  <c r="K28" i="44" s="1"/>
  <c r="I26" i="44"/>
  <c r="M104" i="45"/>
  <c r="M105" i="45"/>
  <c r="AG9" i="42"/>
  <c r="AG10" i="42" s="1"/>
  <c r="G26" i="44"/>
  <c r="K104" i="46"/>
  <c r="K105" i="46" s="1"/>
  <c r="AG18" i="42"/>
  <c r="AG19" i="42" s="1"/>
  <c r="G53" i="54"/>
  <c r="G54" i="54" s="1"/>
  <c r="AI89" i="42"/>
  <c r="AI90" i="42" s="1"/>
  <c r="AE89" i="42"/>
  <c r="AE90" i="42" s="1"/>
  <c r="AO150" i="41" l="1"/>
  <c r="K22" i="49"/>
  <c r="K23" i="49"/>
  <c r="K78" i="45"/>
  <c r="K79" i="45" s="1"/>
  <c r="G55" i="49"/>
  <c r="G11" i="49"/>
  <c r="G12" i="49" s="1"/>
  <c r="G31" i="48"/>
  <c r="G32" i="48" s="1"/>
  <c r="G103" i="48"/>
  <c r="G12" i="50"/>
  <c r="G13" i="50" s="1"/>
  <c r="G58" i="50"/>
  <c r="AM41" i="41"/>
  <c r="AM42" i="41" s="1"/>
  <c r="AM150" i="41" s="1"/>
  <c r="AM58" i="41"/>
  <c r="I22" i="48"/>
  <c r="I23" i="48" s="1"/>
  <c r="I103" i="48"/>
  <c r="I104" i="48" s="1"/>
  <c r="I105" i="48" s="1"/>
  <c r="K22" i="48"/>
  <c r="K23" i="48"/>
  <c r="G31" i="46"/>
  <c r="G32" i="46"/>
  <c r="M11" i="46"/>
  <c r="M12" i="46" s="1"/>
  <c r="M103" i="46"/>
  <c r="I59" i="50"/>
  <c r="I60" i="50"/>
  <c r="I22" i="46"/>
  <c r="I23" i="46"/>
  <c r="I103" i="46"/>
  <c r="I104" i="46" s="1"/>
  <c r="I105" i="46" s="1"/>
  <c r="AK117" i="42"/>
  <c r="I22" i="49"/>
  <c r="I23" i="49"/>
  <c r="I55" i="49"/>
  <c r="I56" i="49" s="1"/>
  <c r="I57" i="49" s="1"/>
  <c r="I63" i="50" s="1"/>
  <c r="K46" i="49"/>
  <c r="K48" i="49" s="1"/>
  <c r="K49" i="49" s="1"/>
  <c r="K50" i="49" s="1"/>
  <c r="F45" i="51"/>
  <c r="G45" i="51" s="1"/>
  <c r="G47" i="51" s="1"/>
  <c r="G40" i="51"/>
  <c r="G41" i="51" s="1"/>
  <c r="I78" i="45"/>
  <c r="I79" i="45" s="1"/>
  <c r="I103" i="45"/>
  <c r="K22" i="45"/>
  <c r="K23" i="45" s="1"/>
  <c r="K103" i="45"/>
  <c r="K104" i="45" s="1"/>
  <c r="K105" i="45" s="1"/>
  <c r="G32" i="45"/>
  <c r="G31" i="45"/>
  <c r="AG117" i="42"/>
  <c r="H54" i="54"/>
  <c r="G57" i="54"/>
  <c r="G59" i="54" s="1"/>
  <c r="K60" i="49"/>
  <c r="G57" i="51"/>
  <c r="AI117" i="42"/>
  <c r="M63" i="50"/>
  <c r="M65" i="50" s="1"/>
  <c r="M69" i="50" s="1"/>
  <c r="M62" i="49"/>
  <c r="M67" i="49" s="1"/>
  <c r="I27" i="44"/>
  <c r="I28" i="44" s="1"/>
  <c r="AG21" i="42"/>
  <c r="G27" i="43"/>
  <c r="G28" i="43" s="1"/>
  <c r="G27" i="44"/>
  <c r="G28" i="44" s="1"/>
  <c r="G104" i="46"/>
  <c r="G105" i="46"/>
  <c r="M104" i="46" l="1"/>
  <c r="M105" i="46" s="1"/>
  <c r="G56" i="49"/>
  <c r="G57" i="49" s="1"/>
  <c r="G63" i="50" s="1"/>
  <c r="I104" i="45"/>
  <c r="I105" i="45"/>
  <c r="G48" i="51"/>
  <c r="G49" i="51" s="1"/>
  <c r="G52" i="51"/>
  <c r="G53" i="51" s="1"/>
  <c r="G54" i="51" s="1"/>
  <c r="G104" i="48"/>
  <c r="G105" i="48" s="1"/>
  <c r="I65" i="50"/>
  <c r="I69" i="50" s="1"/>
  <c r="I60" i="49"/>
  <c r="I62" i="49" s="1"/>
  <c r="I67" i="49" s="1"/>
  <c r="G59" i="50"/>
  <c r="G60" i="50" s="1"/>
  <c r="G60" i="49" s="1"/>
  <c r="G62" i="49" s="1"/>
  <c r="G67" i="49" s="1"/>
  <c r="K55" i="49"/>
  <c r="G65" i="50" l="1"/>
  <c r="G69" i="50" s="1"/>
  <c r="K56" i="49"/>
  <c r="K57" i="49" s="1"/>
  <c r="H54" i="51"/>
  <c r="G59" i="51"/>
  <c r="K63" i="50" l="1"/>
  <c r="K65" i="50" s="1"/>
  <c r="K69" i="50" s="1"/>
  <c r="G62" i="53"/>
  <c r="G64" i="53" s="1"/>
  <c r="G68" i="53" s="1"/>
  <c r="K62" i="49"/>
  <c r="K67" i="49" s="1"/>
</calcChain>
</file>

<file path=xl/sharedStrings.xml><?xml version="1.0" encoding="utf-8"?>
<sst xmlns="http://schemas.openxmlformats.org/spreadsheetml/2006/main" count="2394" uniqueCount="199">
  <si>
    <t>TOTAL</t>
  </si>
  <si>
    <t>Ha</t>
  </si>
  <si>
    <t>Ml</t>
  </si>
  <si>
    <t>Rondas</t>
  </si>
  <si>
    <t>Valor Unitario</t>
  </si>
  <si>
    <t>Cant</t>
  </si>
  <si>
    <t>Und</t>
  </si>
  <si>
    <t xml:space="preserve">DESCRIPCIÓN </t>
  </si>
  <si>
    <t>ÍTEM</t>
  </si>
  <si>
    <t>ESTUDIO DE MERCADO</t>
  </si>
  <si>
    <t xml:space="preserve">Costo </t>
  </si>
  <si>
    <t>IVA del 16%</t>
  </si>
  <si>
    <t>PROMEDIO</t>
  </si>
  <si>
    <t xml:space="preserve">Mantenimiento de zonas verdes. Roceria: zonas de seguridad y demas areas del aeropuerto, incluyendo la limpieza de las áreas perimetrales internas (desde las zonas de seguridad hasta el cerramiento). Consistente en desmonte y limpieza de zonas no boscosas.  </t>
  </si>
  <si>
    <t xml:space="preserve">Limpieza (desmalezado y evacuación sedimentos) en canales (en tierra o en concreto) de evacuación aguas, retiro y disposición de material sobrante a cualquier distancia en botadero autorizado. Consistente en mantenimiento de taludes, reconstrucción de canales y limpieza de cauce a cualquier ancho de canal.  </t>
  </si>
  <si>
    <t>Limpieza de cerramiento internos y externos y limpieza a una altura maxima del cerramiento. Limpieza manual del cerramiento (mallas) con la implementación de la fumigación con un herbicida químico, en una franja de 3 metros alrededor del aeropuerto. Incluye Cargue y disposición de material sobrante a cualquier distancia en botadero autorizado</t>
  </si>
  <si>
    <t>MEDIANA</t>
  </si>
  <si>
    <t>MEDIA ARMONICA</t>
  </si>
  <si>
    <t>MEDIA GEOMETRICA</t>
  </si>
  <si>
    <t>MEDIA ARMÓNICA</t>
  </si>
  <si>
    <t>MEDIA GEOMÉTRICA</t>
  </si>
  <si>
    <t xml:space="preserve">Mantenimiento de zonas verdes. Rocería: zonas de seguridad y demás áreas del aeropuerto, incluyendo la limpieza de las áreas perimetrales internas (desde las zonas de seguridad hasta el cerramiento). Consistente en desmonte y limpieza de zonas no boscosas.  </t>
  </si>
  <si>
    <t>OSCAR MUÑOZ CORREA</t>
  </si>
  <si>
    <t>Limpieza de guarda fuegos de cerramiento internos y externos y limpieza del cerramiento a una altura máxima del cerramiento. Limpieza manual del cerramiento (mallas) con la implementación de la fumigación con un herbicida químico, en una franja de 3 metros alrededor del aeropuerto. Incluye Cargue y disposición de material sobrante a cualquier distancia en botadero autorizado</t>
  </si>
  <si>
    <t xml:space="preserve">Aplicación de matamalezas (combatran, randall o similar) a todas las zonas de seguridad incluida la base del cerramiento y los canales de drenaje  </t>
  </si>
  <si>
    <t>Limpieza de bordes de pista mediante maquinaria pesada (motoniveladora) y/o  herramientas menores (azadón etc.) Retiro de material vegetal que esta invadiendo la pista. Incluye retiro y disposición de material en botadero oficial.</t>
  </si>
  <si>
    <t>ML</t>
  </si>
  <si>
    <t>Tala de arboles y arbustos. Consistente en desmonte y limpieza de zonas boscosas.  Incluye Cargue y disposición de material sobrante a cualquier distancia en botadero autorizado. Limpieza destronque de raices. Areas en zonas de seguridad y demas areas del aeropuerto con retiro de material vegetal fuera del sitio.  Se requiere se realice el tramite ante la Corporacion ambiental de permisos de tala y poda.</t>
  </si>
  <si>
    <t>OBJETO: MANTENIMIENTO DE ZONAS DE SEGURIDAD Y CANALES DEL AEROPUERTO ALBERTO JARAMILLO DE OTÚ - REMEDIOS - ANTIOQUIA</t>
  </si>
  <si>
    <t>TOTAL (1) + (2)</t>
  </si>
  <si>
    <t>TOTAL (2)</t>
  </si>
  <si>
    <t>TOTAL (1)</t>
  </si>
  <si>
    <t>FECHA : ENERO 11 DE 2017</t>
  </si>
  <si>
    <t>PROMEDIO PROPUESTAS PRESENTADAS CONTRATACIÓN 10000047-OI 2010 INCREMENTÁNDOLAS AL IPC  3,17% DE 2010, 3,73%  DE 2011, 2,44%  DE 2012, 1,94 DE 2013, 3,66% DE 2014, 6,77% DE 2015 Y 5,75% DE 2016</t>
  </si>
  <si>
    <t>PROMEDIO PROPUESTAS PRESENTADAS CONTRATACIÓN 11000060 OR 2011 INCREMENTÁNDOLAS AL IPC 3,73%  DE 2011, 2,44%  DE 2012, 1,94 DE 2013, 3,66% DE 2014, 6,77% DE 2015 Y 5,75% DE 2016</t>
  </si>
  <si>
    <t>PROMEDIO PROPUESTAS PRESENTADAS CONTRATACIÓN 120000026 OI 2012 INCREMENTÁNDOLAS AL IPC  2,44%  DE 2012, 1,94 DE 2013, 3,66% DE 2014, 6,77% DE 2015 Y 5,75% DE 2016</t>
  </si>
  <si>
    <t>PROMEDIO PROPUESTAS PRESENTADAS CONTRATACIÓN 130000027 OI 2013 INCREMENTÁNDOLAS AL IPC 2,44%  DE 2012, 1,94 DE 2013, 3,66% DE 2014, 6,77% DE 2015 Y 5,75% DE 2016</t>
  </si>
  <si>
    <t>PROMEDIO PROPUESTAS PRESENTADAS CONTRATACIÒN 14000024 OI 2014 INCREMENTADOLAS AL IPC 3,66% DE 2014, 6,77% DE 2015 Y 5,75% DE 2016</t>
  </si>
  <si>
    <t>PROMEDIO PROPUESTAS PRESENTADAS CONTRATACIÒN 15000049 OI 2015 INCREMENTADOLAS AL IPC 6,77% DE 2015 Y 5,75% DE 2016</t>
  </si>
  <si>
    <t>PROMEDIO PROPUESTAS PRESENTADAS CONTRATACIÒN 30016019 INCREMENTADOLAS AL IPC 5,75%  DE 2015.</t>
  </si>
  <si>
    <t>FRANCISCO ALVAREZ PEREZ</t>
  </si>
  <si>
    <t>CARLOS SALAZAR GÓMEZ</t>
  </si>
  <si>
    <t>CARLOS CASTRO VEGA</t>
  </si>
  <si>
    <t>JUAN CARLOS ORTIZ LÓPEZ</t>
  </si>
  <si>
    <t>OBJETO: CONTRATAR EL MANTENIMIENTO DE LAS ZONAS DE SEGURIDAD Y CANALES DEL AEROPUERTO EL RIO DE AMALFI-ANTIOQUIA</t>
  </si>
  <si>
    <t>PROMEDIO PROPUESTAS PRESENTADAS CONTRATACIÒN 10000044-OI 2010 INCREMENTADOLAS AL IPC 3,17% DE 2010, 3,73%  DE 2011, 2,44%  DE 2012, 1,94 DE 2013, 3,66% DE 2014, 6,77% DE 2015 Y 5,75% DE 2016</t>
  </si>
  <si>
    <t>Aplicación de matamatelezas (combatran, randall o similar) a todas las zonas de seguridad incluida la base del cerramiento y los canales de drenaje</t>
  </si>
  <si>
    <t>PROMEDIO PROPUESTAS PRESENTADAS CONTRATACIÒN 11000049 OR 2011 INCREMENTADOLAS AL IPC 3,73%  DE 2011, 2,44%  DE 2012, 1,94 DE 2013, 3,66% DE 2014, 6,77% DE 2015 Y 5,75% DE 2016</t>
  </si>
  <si>
    <t>PROMEDIO PROPUESTAS PRESENTADAS CONTRATACIÒN 120000133 OR 2012 INCREMENTADOLAS AL IPC 2,44%  DE 2012, 1,94 DE 2013, 3,66% DE 2014, 6,77% DE 2015 Y 5,75% DE 2016</t>
  </si>
  <si>
    <t>PROMEDIO PROPUESTAS PRESENTADAS CONTRATACIÒN 130000198 OR 2013 INCREMENTADOLAS AL IPC 1,94 DE 2013, 3,66% DE 2014, 6,77% DE 2015 Y 5,75% DE 2016</t>
  </si>
  <si>
    <t>PROMEDIO PROPUESTAS PRESENTADAS CONTRATACIÒN 130000198 A OR 2013 INCREMENTADOLAS AL IPC 1,94 DE 2013, 3,66% DE 2014, 6,77% DE 2015 Y 5,75% DE 2016</t>
  </si>
  <si>
    <t>FECHA : ENERO 12 DE 2017</t>
  </si>
  <si>
    <t>PROMEDIO PROPUESTAS PRESENTADAS CONTRATACIÒN 11000071-OR DE 2011 INCREMENTADOLAS AL IPC 3,73%  DE 2011, 2,44%  DE 2012, 1,94 DE 2013, 3,66% DE 2014, 6,77% DE 2015 Y 5,75% DE 2016</t>
  </si>
  <si>
    <t>PROMEDIO PROPUESTAS PRESENTADAS CONTRATACIÒN 120000199 OR 2012 INCREMENTADOLAS AL IPC 2,44%  DE 2012, 1,94 DE 2013, 3,66% DE 2014, 6,77% DE 2015 Y 5,75% DE 2016</t>
  </si>
  <si>
    <t>PROMEDIO PROPUESTAS PRESENTADAS CONTRATACIÒN 13000209 OR 2013 INCREMENTADOLAS AL IPC 1,94 DE 2013, 3,66% DE 2014, 6,77% DE 2015 Y 5,75% DE 2016</t>
  </si>
  <si>
    <t>PROMEDIO PROPUESTAS PRESENTADAS CONTRATACIÒN 13000209 A OR 2013 INCREMENTADOLAS AL IPC 1,94 DE 2013, 3,66% DE 2014, 6,77% DE 2015 Y 5,75% DE 2016</t>
  </si>
  <si>
    <t>PROMEDIO PROPUESTAS PRESENTADAS CONTRATACIÒN 14000028 OI 2014 INCREMENTADOLAS AL IPC 3,66% DE 2014, 6,77% DE 2015 Y 5,75% DE 2016</t>
  </si>
  <si>
    <t>PROMEDIO PROPUESTAS PRESENTADAS CONTRATACIÒN 150000050 OI 2015 INCREMENTADOLAS AL IPC 6,77% DE 2015 Y 5,75% DE 2016</t>
  </si>
  <si>
    <t>PROMEDIO PROPUESTAS PRESENTADAS CONTRATACIÒN 30016030 INCREMENTADOLAS AL IPC 5,75%  DE 2015.</t>
  </si>
  <si>
    <t>Limpieza de guarda fuegos de cerramiento internos y externos y limpieza del cerramiento a una altura maxima del cerramiento. Limpieza manual del cerramiento (mallas) con la implementación de la fumigación con un herbicida químico, en una franja de 3 metros alrededor del aeropuerto. Incluye Cargue y disposición de material sobrante a cualquier distancia en botadero autorizado</t>
  </si>
  <si>
    <t>PROMEDIO PROPUESTAS PRESENTADAS CONTRATACIÒN 13000517 OR 2013 INCREMENTÁNDOLAS AL IPC 2,44%  DE 2012, 1,94 DE 2013, 3,66% DE 2014, 6,77% DE 2015 Y 5,75% DE 2016</t>
  </si>
  <si>
    <t>Limpieza de bordes de pista mediante maquiaria pesada (motoniveladora) y/o  herramientas menores (azadon etc) Retiro de material vegetal que esta invadiendoo la pista. Incluye retiro y disposición de material en botadero oficial.</t>
  </si>
  <si>
    <t>PROMEDIO PROPUESTAS PRESENTADAS CONTRATACIÒN 10000042-OI 2010 INCREMENTADOLAS AL IPC 3,17% DE 2010, 3,73%  DE 2011, 2,44%  DE 2012, 1,94 DE 2013, 3,66% DE 2014, 6,77% DE 2015 Y 5,75% DE 2016</t>
  </si>
  <si>
    <t>PROMEDIO PROPUESTAS PRESENTADAS CONTRATACIÒN 11000168 OI 2011 INCREMENTADOLAS AL IPC 3,73%  DE 2011, 2,44%  DE 2012, 1,94 DE 2013, 3,66% DE 2014, 6,77% DE 2015 Y 5,75% DE 2016</t>
  </si>
  <si>
    <t>PROMEDIO PROPUESTAS PRESENTADAS CONTRATACIÒN 120000065 OI 2012 INCREMENTADOLAS AL IPC 2,44%  DE 2012, 1,94 DE 2013, 3,66% DE 2014, 6,77% DE 2015 Y 5,75% DE 2016</t>
  </si>
  <si>
    <t>PROMEDIO PROPUESTAS PRESENTADAS CONTRATACIÒN 130000030 OI 2013 INCREMENTADOLAS AL IPC 1,94 DE 2013, 3,66% DE 2014, 6,77% DE 2015 Y 5,75% DE 2016</t>
  </si>
  <si>
    <t>PROMEDIO PROPUESTAS PRESENTADAS CONTRATACIÒN 140000026 OI 2014 INCREMENTADOLAS AL IPC 3,66% DE 2014, 6,77% DE 2015 Y 5,75% DE 2016</t>
  </si>
  <si>
    <t>PROMEDIO PROPUESTAS PRESENTADAS CONTRATACIÒN 150000048 OI 2015 INCREMENTADOLAS AL IPC 6,77% DE 2015 Y 5,75% DE 2016</t>
  </si>
  <si>
    <t>PROMEDIO PROPUESTAS PRESENTADAS CONTRATACIÒN 10000248 OR 2010 INCREMENTÁNDOLAS AL IPC  3,17% DE 2010, 3,73%  DE 2011, 2,44%  DE 2012, 1,94 DE 2013, 3,66% DE 2014, 6,77% DE 2015 Y 5,75% DE 2016</t>
  </si>
  <si>
    <t>PROMEDIO PROPUESTAS PRESENTADAS CONTRATACIÒN 11000064-OR DE 2011 INCREMENTÁNDOLAS AL IPC 3,73%  DE 2011, 2,44%  DE 2012, 1,94 DE 2013, 3,66% DE 2014, 6,77% DE 2015 Y 5,75% DE 2016</t>
  </si>
  <si>
    <t>PROMEDIO PROPUESTAS PRESENTADAS CONTRATACIÒN 120000179 OR 2012 INCREMENTÁNDOLAS AL IPC  2,44%  DE 2012, 1,94 DE 2013, 3,66% DE 2014, 6,77% DE 2015 Y 5,75% DE 2016</t>
  </si>
  <si>
    <t>PROMEDIO PROPUESTAS PRESENTADAS CONTRATACIÒN 13000208 OR 2013 INCREMENTÁNDOLAS AL IPC 2,44%  DE 2012, 1,94 DE 2013, 3,66% DE 2014, 6,77% DE 2015 Y 5,75% DE 2016</t>
  </si>
  <si>
    <t>PROMEDIO PROPUESTAS PRESENTADAS CONTRATACIÒN 14000026 OI 2014 INCREMENTADOLAS AL IPC 3,66% DE 2014, 6,77% DE 2015 Y 5,75% DE 2016</t>
  </si>
  <si>
    <t>PROMEDIO PROPUESTAS PRESENTADAS CONTRATACIÒN 10000040-OI 2010 INCREMENTADOLAS AL IPC 3,17% DE 2010, 3,73%  DE 2011, 2,44%  DE 2012, 1,94 DE 2013, 3,66% DE 2014, 6,77% DE 2015 Y 5,75% DE 2016</t>
  </si>
  <si>
    <t>PROMEDIO PROPUESTAS PRESENTADAS CONTRATACIÒN 11000008 OI 2011 INCREMENTADOLAS AL IPC 3,73%  DE 2011, 2,44%  DE 2012, 1,94 DE 2013, 3,66% DE 2014, 6,77% DE 2015 Y 5,75% DE 2016</t>
  </si>
  <si>
    <t>PROMEDIO PROPUESTAS PRESENTADAS CONTRATACIÒN 120000016 OI 2012 INCREMENTADOLAS AL IPC 2,44%  DE 2012, 1,94 DE 2013, 3,66% DE 2014, 6,77% DE 2015 Y 5,75% DE 2016</t>
  </si>
  <si>
    <t>PROMEDIO PROPUESTAS PRESENTADAS CONTRATACIÒN 130000029 OI 2013 INCREMENTADOLAS AL IPC 1,94 DE 2013, 3,66% DE 2014, 6,77% DE 2015 Y 5,75% DE 2016</t>
  </si>
  <si>
    <t>PROMEDIO PROPUESTAS PRESENTADAS CONTRATACIÒN 140000029 OI 2014 INCREMENTADOLAS AL IPC 3,66% DE 2014, 6,77% DE 2015 Y 5,75% DE 2016</t>
  </si>
  <si>
    <t>PROMEDIO PROPUESTAS PRESENTADAS CONTRATACIÒN 150000047 OI 2015 INCREMENTADOLAS AL IPC 6,77% DE 2015 Y 5,75% DE 2016</t>
  </si>
  <si>
    <t>PROMEDIO PROPUESTAS PRESENTADAS CONTRATACIÒN 30016021 INCREMENTADOLAS AL IPC 5,75%  DE 2015.</t>
  </si>
  <si>
    <t>Limpieza con maquinaria pesada  de caños para evacuación aguas, evacuación sedimentos, restituir la geometria del canal mediante reconstrucción de canales, corte de taludes a ambos lados, limpieza de cauce a cualquier ancho de canal, retiro y disposición de material sobrante a cualquier distancia en botadero autorizado.</t>
  </si>
  <si>
    <t>Aplicación de matamalezas (combatran, randall o similar) a todas las zonas de seguridad incluida la base del cerramiento y los canales de drenaje</t>
  </si>
  <si>
    <t>PROMEDIO PROPUESTAS PRESENTADAS CONTRATACIÒN 140000036 OI 2014 INCREMENTADOLAS AL IPC 3,66% DE 2014, 6,77% DE 2015 Y 5,75% DE 2016</t>
  </si>
  <si>
    <t>Mantenimiento de zonas verdes. Roceria: zonas de seguridad y demas areas del aeropuerto, incluyendo la limpieza de las áreas perimetrales internas (desde las zonas de seguridad hasta el cerramiento). Consistente en desmonte y limpieza de zonas no boscosas.  Vía de acceso al aeropuerto, vía de acceso a Casa Vacacional Rionego y Casa Vacacional Rionegro.</t>
  </si>
  <si>
    <t>Limpieza (desmalezado y evacuación sedimentos) en canales (en tierra o en concreto) de evacuación aguas, retiro y disposición de material sobrante a cualquier distancia en botadero autorizado. Consistente en mantenimiento de taludes, reconstrucción de canales y limpieza de cauce a cualquier ancho de canal.  Vía de acceso al aeropuerto y vía de acceso a Casa Vacacional Rionego</t>
  </si>
  <si>
    <t>Mantenimiento de jardines, suministro de material vegetal y ornamental. Incluye poda, abono, fertilización, fumigación, limpieza y plantación de especies vegetales. Tierra Negra, Cisco de arroz, Abono orgánico compostado, Abono químico 15-15-15, Cal agrícola. Area aproximada 2000 m2 Vía de acceso al aeropuerto Rionego</t>
  </si>
  <si>
    <t>Global</t>
  </si>
  <si>
    <t>FECHA : ENERO 13 DE 2017</t>
  </si>
  <si>
    <t>PROMEDIO PROPUESTAS PRESENTADAS CONTRATACIÒN 10000041-OI 2010 INCREMENTADOLAS AL IPC 3,17% DE 2010, 3,73%  DE 2011, 2,44%  DE 2012, 1,94 DE 2013, 3,66% DE 2014, 6,77% DE 2015 Y 5,75% DE 2016</t>
  </si>
  <si>
    <t>PROMEDIO PROPUESTAS PRESENTADAS CONTRATACIÒN 11000173 OI 2011 INCREMENTADOLAS AL IPC 3,73%  DE 2011, 2,44%  DE 2012, 1,94 DE 2013, 3,66% DE 2014, 6,77% DE 2015 Y 5,75% DE 2016</t>
  </si>
  <si>
    <t>PROMEDIO PROPUESTAS PRESENTADAS CONTRATACIÒN 120000018 OI 2012 INCREMENTADOLAS AL IPC 2,44%  DE 2012, 1,94 DE 2013, 3,66% DE 2014, 6,77% DE 2015 Y 5,75% DE 2016</t>
  </si>
  <si>
    <t>PROMEDIO PROPUESTAS PRESENTADAS CONTRATACIÒN 130000028 OI 2013 INCREMENTADOLAS AL IPC 1,94 DE 2013, 3,66% DE 2014, 6,77% DE 2015 Y 5,75% DE 2016</t>
  </si>
  <si>
    <t>PROMEDIO PROPUESTAS PRESENTADAS CONTRATACIÒN 140000033 OI 2014 INCREMENTADOLAS AL IPC 3,66% DE 2014, 6,77% DE 2015 Y 5,75% DE 2016</t>
  </si>
  <si>
    <t>PROMEDIO PROPUESTAS PRESENTADAS CONTRATACIÒN 150000051 OI 2015 INCREMENTADOLAS AL IPC 6,77% DE 2015 Y 5,75% DE 2016</t>
  </si>
  <si>
    <t>PROMEDIO PROPUESTAS PRESENTADAS CONTRATACIÒN 30016032 INCREMENTADOLAS AL IPC 5,75%  DE 2015.</t>
  </si>
  <si>
    <t>Tala de arboles y arbustos. Consistente en desmonte y limpieza de zonas boscosas.  El área demarcada se limpiará y despejará de árboles, matorrales, arbustos, árboles caídos, madera en descomposición, vegetación, escombros y desechos, y de todos los materiales extraños que obstaculicen las labores posteriores. Si es necesario deben solicitarse los permisos necesarios ante las entidades competentes. Incluye Cargue y disposición de material sobrante a cualquier distancia en botadero autorizado. Se requiere se realice el tramite ante la Corporacion ambiental de permisos de tala y poda. No se permitirá la quema de materiales resultantes de esta actividad.</t>
  </si>
  <si>
    <t>PROMEDIO PROPUESTAS PRESENTADAS CONTRATACIÒN 10000246 OR 2010 INCREMENTÁNDOLAS AL IPC  3,17% DE 2010, 3,73%  DE 2011, 2,44%  DE 2012, 1,94 DE 2013, 3,66% DE 2014, 6,77% DE 2015 Y 5,75% DE 2016</t>
  </si>
  <si>
    <t>PROMEDIO PROPUESTAS PRESENTADAS CONTRATACIÒN 11000061-OR DE 2011 INCREMENTÁNDOLAS AL IPC 3,73%  DE 2011, 2,44%  DE 2012, 1,94 DE 2013, 3,66% DE 2014, 6,77% DE 2015 Y 5,75% DE 2016</t>
  </si>
  <si>
    <t>PROMEDIO PROPUESTAS PRESENTADAS CONTRATACIÒN 120000193 OR 2012 INCREMENTÁNDOLAS AL IPC  2,44%  DE 2012, 1,94 DE 2013, 3,66% DE 2014, 6,77% DE 2015 Y 5,75% DE 2016</t>
  </si>
  <si>
    <t>PROMEDIO PROPUESTAS PRESENTADAS CONTRATACIÒN 13000196 OR 2013 INCREMENTÁNDOLAS AL IPC 2,44%  DE 2012, 1,94 DE 2013, 3,66% DE 2014, 6,77% DE 2015 Y 5,75% DE 2016</t>
  </si>
  <si>
    <t>PROMEDIO PROPUESTAS PRESENTADAS CONTRATACIÒN 13000196 A OR 2013 INCREMENTADOLAS AL IPC 3,66% DE 2014, 6,77% DE 2015 Y 5,75% DE 2016</t>
  </si>
  <si>
    <t>PROMEDIO PROPUESTAS PRESENTADAS CONTRATACIÒN 14000036 OI 2014 INCREMENTADOLAS AL IPC 6,77% DE 2015 Y 5,75% DE 2016</t>
  </si>
  <si>
    <t>PROMEDIO PROPUESTAS PRESENTADAS CONTRATACIÒN 150000051 OI 2015 INCREMENTADOLAS AL IPC 5,75%  DE 2015.</t>
  </si>
  <si>
    <t>AEROPUERTO EL RIO DE AMALFI-ANTIOQUIA</t>
  </si>
  <si>
    <t>AEROPUERTO ALBERTO JARAMILLO DE OTÚ - REMEDIOS - ANTIOQUIA</t>
  </si>
  <si>
    <t>AEROPUERTO JOSE MARIA CORDOVA DE RIONEGRO</t>
  </si>
  <si>
    <t>AEROPUERTO ALI PIEDRAHITA DE URRAO - ANTIOQUIA</t>
  </si>
  <si>
    <t xml:space="preserve">TOTAL </t>
  </si>
  <si>
    <t>OBJETO: CONTRATAR EL MANTENIMIENTO DE LAS ZONAS DE SEGURIDAD Y CANALES DE LOS AEROPUERTOS DE LA REGIONAL ANTIOQUIA</t>
  </si>
  <si>
    <t>FECHA : ENERO 16 DE 2017</t>
  </si>
  <si>
    <t>Costo (1)</t>
  </si>
  <si>
    <t>Costo (2)</t>
  </si>
  <si>
    <t>Costo (3)</t>
  </si>
  <si>
    <t>TOTAL (3)</t>
  </si>
  <si>
    <t>Costo (4)</t>
  </si>
  <si>
    <t>TOTAL (4)</t>
  </si>
  <si>
    <t>Costo (5)</t>
  </si>
  <si>
    <t>TOTAL (5)</t>
  </si>
  <si>
    <t>Costo (6)</t>
  </si>
  <si>
    <t>TOTAL (6)</t>
  </si>
  <si>
    <t>Costo (7)</t>
  </si>
  <si>
    <t>TOTAL (7)</t>
  </si>
  <si>
    <t>Costo (8)</t>
  </si>
  <si>
    <t>TOTAL (8)</t>
  </si>
  <si>
    <t>Costo (9)</t>
  </si>
  <si>
    <t>TOTAL (9)</t>
  </si>
  <si>
    <t>Costo (10)</t>
  </si>
  <si>
    <t>TOTAL (10)</t>
  </si>
  <si>
    <t>Costo (1)+(2)+(3)+(4)+(5)+(6)+(7)+(8)+(9)+(10)</t>
  </si>
  <si>
    <t>TOTAL  (1)+(2)+(3)+(4)+(5)+(6)+(7)+(8)+(9)+(10)</t>
  </si>
  <si>
    <t>ALFONSO ANTONIO PEREA HURTADO</t>
  </si>
  <si>
    <t>PROMEDIO PROPUESTAS PRESENTADAS CONTRATACIÒN 150000051 OI 2015 INCREMENTADOLAS AL IPC 5,75%  DE 2016.</t>
  </si>
  <si>
    <t>PROMEDIO PROPUESTAS PRESENTADAS CONTRATACIÒN 30016032 INCREMENTADOLAS AL IPC 5,75%  DE 2016.</t>
  </si>
  <si>
    <t>ARIETE SAS CARLOS AUGUSTO DÍAZ HERRERA</t>
  </si>
  <si>
    <t>IVA SOBRE LA U= 19%</t>
  </si>
  <si>
    <t>COSTO TOTAL  (1)</t>
  </si>
  <si>
    <t>FECHA : FEBRERO 15 DE 2017</t>
  </si>
  <si>
    <t>º</t>
  </si>
  <si>
    <t>B&amp;C INGNIERIA INTEGRAL</t>
  </si>
  <si>
    <t>COSTO TOTAL  (10)</t>
  </si>
  <si>
    <t>COSTO TOTAL  (9)</t>
  </si>
  <si>
    <t>COSTO TOTAL  (8)</t>
  </si>
  <si>
    <t>COSTO TOTAL  (7)</t>
  </si>
  <si>
    <t>COSTO TOTAL  (6)</t>
  </si>
  <si>
    <t>COSTO TOTAL  (5)</t>
  </si>
  <si>
    <t>COSTO TOTAL  (4)</t>
  </si>
  <si>
    <t>COSTO TOTAL  (3)</t>
  </si>
  <si>
    <t>COSTO TOTAL  (2)</t>
  </si>
  <si>
    <t>PRESUPUESTO</t>
  </si>
  <si>
    <t>Limpieza de bordes de pista mediante maquinaria pesada (motoniveladora) y/o  herramientas menores (azadón etc.). Cinco (5) metros a cada lado. Retiro de material vegetal que esta invadiendo la pista. Incluye retiro y disposición de material en botadero oficial.</t>
  </si>
  <si>
    <t>SUB TOTAL</t>
  </si>
  <si>
    <t>IVA del 19%</t>
  </si>
  <si>
    <t>SUB TOTAL (1)+(2)+(3)+(4)+(5)+(6)+(7)+(8)+(9)+(10)</t>
  </si>
  <si>
    <t>COSTO TOTAL  (1)+(2)+(3)+(4)+(5)+(6)+(7)+(8)+(9)+(10)</t>
  </si>
  <si>
    <t>OBJETO: CONTRATAR EL MANTENIMIENTO DE LAS ZONAS DE SEGURIDAD Y CANALES DE LOS AEROPUERTOS AMALFI, CIMITARRADE LA REGIONAL ANTIOQUIA</t>
  </si>
  <si>
    <t>SUB TOTAL (1)+(2)+(3)+(4)+(5)</t>
  </si>
  <si>
    <t>COSTO TOTAL  (1)+(2)+(3)+(4)+(5)</t>
  </si>
  <si>
    <t>OBJETO: CONTRATAR EL MANTENIMIENTO DE LAS ZONAS DE SEGURIDAD Y CANALES DE LOS AEROPUERTOS DE CIENAGA DE ORO, MONTELIBANO EN EL DEPARTAMENTO DE CORDOBA, CONDOTO, NUQUI EN EL DEPARTAMENTO DE CHOCÓ Y URRAO EN EL DEPARTAMENTO DE ANTIOQUIA</t>
  </si>
  <si>
    <t xml:space="preserve">OBJETO: CONTRATAR EL MANTENIMIENTO DE LAS ZONAS DE SEGURIDAD Y CANALES DE LOS AEROPUERTOS DE AMALFI, OTU - REMEDIOS, RIONEGRO Y PUERTO BERRIO EN  ANTIOQUIA Y CIMITARRA - SANTANDER, </t>
  </si>
  <si>
    <t xml:space="preserve">FECHA : </t>
  </si>
  <si>
    <t>FORMATO No 7</t>
  </si>
  <si>
    <t>Formato No. 7. Propuesta Economica o Items a Cotizar</t>
  </si>
  <si>
    <t>Jornal</t>
  </si>
  <si>
    <t xml:space="preserve"> UNIDAD ADMINISTRATIVA ESPECIAL DE AERONAUTICA CIVIL</t>
  </si>
  <si>
    <t>FORMATO   18                                                                                           ANÁLISIS DE PRECIOS UNITARIOS</t>
  </si>
  <si>
    <t xml:space="preserve">No. De ÍTEM:  </t>
  </si>
  <si>
    <t>Descripción del ítem:</t>
  </si>
  <si>
    <t xml:space="preserve">Contratación No____________ </t>
  </si>
  <si>
    <t>UNIDAD:</t>
  </si>
  <si>
    <t xml:space="preserve">   I. EQUIPO</t>
  </si>
  <si>
    <t>Descripción</t>
  </si>
  <si>
    <t>Tipo</t>
  </si>
  <si>
    <t>Tarifa/Hora</t>
  </si>
  <si>
    <t>Rendimiento</t>
  </si>
  <si>
    <t>Valor-Total</t>
  </si>
  <si>
    <t>Sub-Total</t>
  </si>
  <si>
    <t xml:space="preserve">   II. MATERIALES EN OBRA</t>
  </si>
  <si>
    <t xml:space="preserve">   Descripción</t>
  </si>
  <si>
    <t>Unidad</t>
  </si>
  <si>
    <t>Precio-Unit.</t>
  </si>
  <si>
    <t>Cantidad</t>
  </si>
  <si>
    <t>Valor - Unit</t>
  </si>
  <si>
    <t xml:space="preserve">   III. TRANSPORTES</t>
  </si>
  <si>
    <t>M3-Km</t>
  </si>
  <si>
    <t>Tarifa</t>
  </si>
  <si>
    <t xml:space="preserve">   IV. MANO DE OBRA</t>
  </si>
  <si>
    <t>Trabajador</t>
  </si>
  <si>
    <t>Prestaciones</t>
  </si>
  <si>
    <t>Jornal  Total</t>
  </si>
  <si>
    <t>Total Costo Directo</t>
  </si>
  <si>
    <t>Precio unitario total aproximado al peso</t>
  </si>
  <si>
    <t>NOMBRE DEL PROPONENTE:</t>
  </si>
  <si>
    <t>Fecha:</t>
  </si>
  <si>
    <t>FIRMA DEL PROPONENTE:</t>
  </si>
  <si>
    <t>Contratación No.</t>
  </si>
  <si>
    <t>FECHA DE REALIZACIÓN:___Abril 2018_________</t>
  </si>
  <si>
    <t>Suministro e Instalación de Caseta de Vigilancia prefabricada. Incluye 4 ventanas en aluminio crudo con vidrios de 4 mm. De espesor.  De 1,00 x 1,00 m (3 UN) . Una (1) ventana de 0,80 x 1,00 m. Incluye una (1) puerta en aluminio natural y vidrio incoloro, incluye marco y cerradura con chapa doble macho, de 0,80 x 2,10 m. Incluye estructura en madera cepillada y canteada para techo, cubierta en teja de fibro cemento perfil 7, a dos (2) aguas, con pendiente de 24%. Muros en paneles de concreto minimo de 34 mm. de espesor, vibro compactados y reforzados con hierro interno postensado, altura minima de 2,40 m.</t>
  </si>
  <si>
    <t>UND</t>
  </si>
  <si>
    <t>CONTRATAR  MANTENIMIENTO DE OBRAS COMPLEMENTARIAS DEL AEROPUERTO DE CIMITARRA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</si>
</sst>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 * #,##0.00_ ;_ * \-#,##0.00_ ;_ * &quot;-&quot;??_ ;_ @_ "/>
    <numFmt numFmtId="167" formatCode="_([$€]* #,##0.00_);_([$€]* \(#,##0.00\);_([$€]* &quot;-&quot;??_);_(@_)"/>
    <numFmt numFmtId="168" formatCode="&quot;$&quot;#,##0"/>
    <numFmt numFmtId="169" formatCode="#.00"/>
    <numFmt numFmtId="170" formatCode="#,##0.00_ ;[Red]\-#,##0.00\ "/>
    <numFmt numFmtId="171" formatCode="_ * #,##0_ ;_ * \-#,##0_ ;_ * &quot;-&quot;??_ ;_ @_ "/>
    <numFmt numFmtId="172" formatCode="0.0000"/>
  </numFmts>
  <fonts count="5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color indexed="8"/>
      <name val="Arial"/>
      <family val="2"/>
    </font>
    <font>
      <b/>
      <sz val="10"/>
      <name val="Arial"/>
      <family val="2"/>
    </font>
    <font>
      <sz val="9"/>
      <name val="Calibri"/>
      <family val="2"/>
    </font>
    <font>
      <sz val="10"/>
      <color indexed="8"/>
      <name val="Calibri"/>
      <family val="2"/>
    </font>
    <font>
      <b/>
      <sz val="10"/>
      <name val="Calibri"/>
      <family val="2"/>
    </font>
    <font>
      <sz val="11"/>
      <name val="Arial"/>
      <family val="2"/>
    </font>
    <font>
      <sz val="10"/>
      <name val="Calibri"/>
      <family val="2"/>
    </font>
    <font>
      <b/>
      <sz val="11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9"/>
      <color indexed="8"/>
      <name val="Arial"/>
      <family val="2"/>
    </font>
    <font>
      <sz val="12"/>
      <name val="Arial"/>
      <family val="2"/>
    </font>
    <font>
      <b/>
      <sz val="20"/>
      <name val="Calibri"/>
      <family val="2"/>
    </font>
    <font>
      <b/>
      <sz val="12"/>
      <name val="Arial"/>
      <family val="2"/>
    </font>
    <font>
      <b/>
      <sz val="16"/>
      <name val="Calibri"/>
      <family val="2"/>
    </font>
    <font>
      <b/>
      <sz val="12"/>
      <color indexed="8"/>
      <name val="Calibri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color rgb="FFFF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9">
    <xf numFmtId="0" fontId="0" fillId="0" borderId="0"/>
    <xf numFmtId="0" fontId="9" fillId="0" borderId="0">
      <protection locked="0"/>
    </xf>
    <xf numFmtId="167" fontId="3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169" fontId="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6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34" fillId="0" borderId="0"/>
    <xf numFmtId="0" fontId="3" fillId="0" borderId="0"/>
    <xf numFmtId="0" fontId="34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1" fillId="0" borderId="0"/>
  </cellStyleXfs>
  <cellXfs count="370">
    <xf numFmtId="0" fontId="0" fillId="0" borderId="0" xfId="0"/>
    <xf numFmtId="0" fontId="34" fillId="0" borderId="0" xfId="21" applyAlignment="1">
      <alignment vertical="center" wrapText="1"/>
    </xf>
    <xf numFmtId="4" fontId="34" fillId="0" borderId="0" xfId="21" applyNumberFormat="1" applyAlignment="1">
      <alignment vertical="center" wrapText="1"/>
    </xf>
    <xf numFmtId="0" fontId="8" fillId="0" borderId="1" xfId="21" applyFont="1" applyBorder="1" applyAlignment="1">
      <alignment vertical="center" wrapText="1"/>
    </xf>
    <xf numFmtId="0" fontId="8" fillId="0" borderId="1" xfId="21" applyFont="1" applyBorder="1" applyAlignment="1">
      <alignment horizontal="center" vertical="center" wrapText="1"/>
    </xf>
    <xf numFmtId="4" fontId="8" fillId="0" borderId="1" xfId="21" applyNumberFormat="1" applyFont="1" applyBorder="1" applyAlignment="1">
      <alignment vertical="center" wrapText="1"/>
    </xf>
    <xf numFmtId="3" fontId="8" fillId="0" borderId="1" xfId="21" applyNumberFormat="1" applyFont="1" applyBorder="1" applyAlignment="1">
      <alignment vertical="center" wrapText="1"/>
    </xf>
    <xf numFmtId="9" fontId="8" fillId="0" borderId="1" xfId="24" applyNumberFormat="1" applyFont="1" applyBorder="1" applyAlignment="1">
      <alignment vertical="center" wrapText="1"/>
    </xf>
    <xf numFmtId="0" fontId="34" fillId="0" borderId="0" xfId="21" applyAlignment="1">
      <alignment horizontal="center" vertical="center" wrapText="1"/>
    </xf>
    <xf numFmtId="166" fontId="34" fillId="0" borderId="0" xfId="13" applyFont="1" applyAlignment="1">
      <alignment vertical="center" wrapText="1"/>
    </xf>
    <xf numFmtId="0" fontId="12" fillId="0" borderId="1" xfId="21" applyFont="1" applyBorder="1" applyAlignment="1">
      <alignment vertical="center" wrapText="1"/>
    </xf>
    <xf numFmtId="9" fontId="12" fillId="0" borderId="1" xfId="21" applyNumberFormat="1" applyFont="1" applyBorder="1" applyAlignment="1">
      <alignment horizontal="center" vertical="center" wrapText="1"/>
    </xf>
    <xf numFmtId="0" fontId="35" fillId="0" borderId="0" xfId="21" applyFont="1" applyAlignment="1">
      <alignment vertical="center" wrapText="1"/>
    </xf>
    <xf numFmtId="4" fontId="4" fillId="0" borderId="1" xfId="21" applyNumberFormat="1" applyFont="1" applyBorder="1" applyAlignment="1">
      <alignment vertical="center" wrapText="1"/>
    </xf>
    <xf numFmtId="3" fontId="4" fillId="0" borderId="1" xfId="21" applyNumberFormat="1" applyFont="1" applyBorder="1" applyAlignment="1">
      <alignment vertical="center" wrapText="1"/>
    </xf>
    <xf numFmtId="0" fontId="4" fillId="0" borderId="1" xfId="21" applyFont="1" applyBorder="1" applyAlignment="1">
      <alignment vertical="center" wrapText="1"/>
    </xf>
    <xf numFmtId="9" fontId="4" fillId="0" borderId="1" xfId="24" applyNumberFormat="1" applyFont="1" applyBorder="1" applyAlignment="1">
      <alignment vertical="center" wrapText="1"/>
    </xf>
    <xf numFmtId="4" fontId="14" fillId="0" borderId="1" xfId="21" applyNumberFormat="1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3" fontId="17" fillId="0" borderId="1" xfId="21" applyNumberFormat="1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3" fontId="17" fillId="5" borderId="1" xfId="21" applyNumberFormat="1" applyFont="1" applyFill="1" applyBorder="1" applyAlignment="1">
      <alignment vertical="center" wrapText="1"/>
    </xf>
    <xf numFmtId="3" fontId="36" fillId="5" borderId="1" xfId="21" applyNumberFormat="1" applyFont="1" applyFill="1" applyBorder="1" applyAlignment="1">
      <alignment vertical="center" wrapText="1"/>
    </xf>
    <xf numFmtId="3" fontId="8" fillId="5" borderId="1" xfId="21" applyNumberFormat="1" applyFont="1" applyFill="1" applyBorder="1" applyAlignment="1">
      <alignment vertical="center" wrapText="1"/>
    </xf>
    <xf numFmtId="0" fontId="8" fillId="5" borderId="1" xfId="21" applyFont="1" applyFill="1" applyBorder="1" applyAlignment="1">
      <alignment vertical="center" wrapText="1"/>
    </xf>
    <xf numFmtId="4" fontId="8" fillId="5" borderId="1" xfId="21" applyNumberFormat="1" applyFont="1" applyFill="1" applyBorder="1" applyAlignment="1">
      <alignment vertical="center" wrapText="1"/>
    </xf>
    <xf numFmtId="9" fontId="8" fillId="5" borderId="1" xfId="24" applyNumberFormat="1" applyFont="1" applyFill="1" applyBorder="1" applyAlignment="1">
      <alignment vertical="center" wrapText="1"/>
    </xf>
    <xf numFmtId="3" fontId="36" fillId="6" borderId="1" xfId="21" applyNumberFormat="1" applyFont="1" applyFill="1" applyBorder="1" applyAlignment="1">
      <alignment vertical="center" wrapText="1"/>
    </xf>
    <xf numFmtId="3" fontId="17" fillId="7" borderId="1" xfId="21" applyNumberFormat="1" applyFont="1" applyFill="1" applyBorder="1" applyAlignment="1">
      <alignment vertical="center" wrapText="1"/>
    </xf>
    <xf numFmtId="3" fontId="36" fillId="7" borderId="1" xfId="21" applyNumberFormat="1" applyFont="1" applyFill="1" applyBorder="1" applyAlignment="1">
      <alignment vertical="center" wrapText="1"/>
    </xf>
    <xf numFmtId="3" fontId="8" fillId="7" borderId="1" xfId="21" applyNumberFormat="1" applyFont="1" applyFill="1" applyBorder="1" applyAlignment="1">
      <alignment vertical="center" wrapText="1"/>
    </xf>
    <xf numFmtId="0" fontId="8" fillId="7" borderId="1" xfId="21" applyFont="1" applyFill="1" applyBorder="1" applyAlignment="1">
      <alignment vertical="center" wrapText="1"/>
    </xf>
    <xf numFmtId="4" fontId="8" fillId="7" borderId="1" xfId="21" applyNumberFormat="1" applyFont="1" applyFill="1" applyBorder="1" applyAlignment="1">
      <alignment vertical="center" wrapText="1"/>
    </xf>
    <xf numFmtId="9" fontId="8" fillId="7" borderId="1" xfId="24" applyNumberFormat="1" applyFont="1" applyFill="1" applyBorder="1" applyAlignment="1">
      <alignment vertical="center" wrapText="1"/>
    </xf>
    <xf numFmtId="3" fontId="17" fillId="8" borderId="1" xfId="21" applyNumberFormat="1" applyFont="1" applyFill="1" applyBorder="1" applyAlignment="1">
      <alignment vertical="center" wrapText="1"/>
    </xf>
    <xf numFmtId="0" fontId="17" fillId="8" borderId="1" xfId="21" applyFont="1" applyFill="1" applyBorder="1" applyAlignment="1">
      <alignment vertical="center" wrapText="1"/>
    </xf>
    <xf numFmtId="4" fontId="17" fillId="8" borderId="1" xfId="21" applyNumberFormat="1" applyFont="1" applyFill="1" applyBorder="1" applyAlignment="1">
      <alignment vertical="center" wrapText="1"/>
    </xf>
    <xf numFmtId="9" fontId="17" fillId="8" borderId="1" xfId="24" applyNumberFormat="1" applyFont="1" applyFill="1" applyBorder="1" applyAlignment="1">
      <alignment vertical="center" wrapText="1"/>
    </xf>
    <xf numFmtId="3" fontId="17" fillId="9" borderId="1" xfId="21" applyNumberFormat="1" applyFont="1" applyFill="1" applyBorder="1" applyAlignment="1">
      <alignment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3" fontId="14" fillId="0" borderId="1" xfId="21" applyNumberFormat="1" applyFont="1" applyBorder="1" applyAlignment="1">
      <alignment vertical="center" wrapText="1"/>
    </xf>
    <xf numFmtId="0" fontId="19" fillId="0" borderId="1" xfId="21" applyFont="1" applyBorder="1" applyAlignment="1">
      <alignment vertical="center" wrapText="1"/>
    </xf>
    <xf numFmtId="4" fontId="17" fillId="10" borderId="1" xfId="21" applyNumberFormat="1" applyFont="1" applyFill="1" applyBorder="1" applyAlignment="1">
      <alignment vertical="center" wrapText="1"/>
    </xf>
    <xf numFmtId="0" fontId="17" fillId="10" borderId="1" xfId="21" applyFont="1" applyFill="1" applyBorder="1" applyAlignment="1">
      <alignment vertical="center" wrapText="1"/>
    </xf>
    <xf numFmtId="0" fontId="14" fillId="10" borderId="1" xfId="21" applyFont="1" applyFill="1" applyBorder="1" applyAlignment="1">
      <alignment vertical="center" wrapText="1"/>
    </xf>
    <xf numFmtId="9" fontId="17" fillId="10" borderId="1" xfId="24" applyNumberFormat="1" applyFont="1" applyFill="1" applyBorder="1" applyAlignment="1">
      <alignment vertical="center" wrapText="1"/>
    </xf>
    <xf numFmtId="9" fontId="14" fillId="10" borderId="1" xfId="24" applyNumberFormat="1" applyFont="1" applyFill="1" applyBorder="1" applyAlignment="1">
      <alignment vertical="center" wrapText="1"/>
    </xf>
    <xf numFmtId="4" fontId="3" fillId="0" borderId="1" xfId="2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3" fontId="36" fillId="11" borderId="1" xfId="21" applyNumberFormat="1" applyFont="1" applyFill="1" applyBorder="1" applyAlignment="1">
      <alignment vertical="center" wrapText="1"/>
    </xf>
    <xf numFmtId="3" fontId="36" fillId="12" borderId="1" xfId="21" applyNumberFormat="1" applyFont="1" applyFill="1" applyBorder="1" applyAlignment="1">
      <alignment vertical="center" wrapText="1"/>
    </xf>
    <xf numFmtId="0" fontId="5" fillId="3" borderId="1" xfId="21" applyFont="1" applyFill="1" applyBorder="1" applyAlignment="1">
      <alignment horizontal="center" vertical="center"/>
    </xf>
    <xf numFmtId="0" fontId="5" fillId="3" borderId="1" xfId="21" applyFont="1" applyFill="1" applyBorder="1" applyAlignment="1">
      <alignment horizontal="center" vertical="center" wrapText="1"/>
    </xf>
    <xf numFmtId="0" fontId="5" fillId="7" borderId="1" xfId="21" applyFont="1" applyFill="1" applyBorder="1" applyAlignment="1">
      <alignment horizontal="center" vertical="center" wrapText="1"/>
    </xf>
    <xf numFmtId="0" fontId="5" fillId="7" borderId="1" xfId="21" applyFont="1" applyFill="1" applyBorder="1" applyAlignment="1">
      <alignment horizontal="center" vertical="center"/>
    </xf>
    <xf numFmtId="0" fontId="5" fillId="5" borderId="1" xfId="21" applyFont="1" applyFill="1" applyBorder="1" applyAlignment="1">
      <alignment horizontal="center" vertical="center" wrapText="1"/>
    </xf>
    <xf numFmtId="0" fontId="5" fillId="5" borderId="1" xfId="21" applyFont="1" applyFill="1" applyBorder="1" applyAlignment="1">
      <alignment horizontal="center" vertical="center"/>
    </xf>
    <xf numFmtId="0" fontId="5" fillId="8" borderId="1" xfId="21" applyFont="1" applyFill="1" applyBorder="1" applyAlignment="1">
      <alignment horizontal="center" vertical="center" wrapText="1"/>
    </xf>
    <xf numFmtId="0" fontId="5" fillId="8" borderId="1" xfId="21" applyFont="1" applyFill="1" applyBorder="1" applyAlignment="1">
      <alignment horizontal="center" vertical="center"/>
    </xf>
    <xf numFmtId="0" fontId="5" fillId="11" borderId="1" xfId="21" applyFont="1" applyFill="1" applyBorder="1" applyAlignment="1">
      <alignment horizontal="center" vertical="center" wrapText="1"/>
    </xf>
    <xf numFmtId="0" fontId="5" fillId="11" borderId="1" xfId="21" applyFont="1" applyFill="1" applyBorder="1" applyAlignment="1">
      <alignment horizontal="center" vertical="center"/>
    </xf>
    <xf numFmtId="0" fontId="5" fillId="12" borderId="1" xfId="21" applyFont="1" applyFill="1" applyBorder="1" applyAlignment="1">
      <alignment horizontal="center" vertical="center" wrapText="1"/>
    </xf>
    <xf numFmtId="0" fontId="5" fillId="12" borderId="1" xfId="21" applyFont="1" applyFill="1" applyBorder="1" applyAlignment="1">
      <alignment horizontal="center" vertical="center"/>
    </xf>
    <xf numFmtId="0" fontId="5" fillId="6" borderId="1" xfId="21" applyFont="1" applyFill="1" applyBorder="1" applyAlignment="1">
      <alignment horizontal="center" vertical="center" wrapText="1"/>
    </xf>
    <xf numFmtId="0" fontId="5" fillId="6" borderId="1" xfId="21" applyFont="1" applyFill="1" applyBorder="1" applyAlignment="1">
      <alignment horizontal="center" vertical="center"/>
    </xf>
    <xf numFmtId="0" fontId="3" fillId="0" borderId="1" xfId="18" applyFont="1" applyBorder="1" applyAlignment="1">
      <alignment horizontal="justify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5" fillId="3" borderId="1" xfId="21" applyFont="1" applyFill="1" applyBorder="1" applyAlignment="1">
      <alignment horizontal="justify" vertical="center"/>
    </xf>
    <xf numFmtId="3" fontId="34" fillId="0" borderId="0" xfId="21" applyNumberFormat="1" applyAlignment="1">
      <alignment vertical="center" wrapText="1"/>
    </xf>
    <xf numFmtId="4" fontId="21" fillId="10" borderId="1" xfId="21" applyNumberFormat="1" applyFont="1" applyFill="1" applyBorder="1" applyAlignment="1">
      <alignment vertical="center" wrapText="1"/>
    </xf>
    <xf numFmtId="9" fontId="21" fillId="10" borderId="1" xfId="24" applyNumberFormat="1" applyFont="1" applyFill="1" applyBorder="1" applyAlignment="1">
      <alignment vertical="center" wrapText="1"/>
    </xf>
    <xf numFmtId="0" fontId="21" fillId="10" borderId="1" xfId="21" applyFont="1" applyFill="1" applyBorder="1" applyAlignment="1">
      <alignment vertical="center" wrapText="1"/>
    </xf>
    <xf numFmtId="0" fontId="36" fillId="11" borderId="1" xfId="21" applyFont="1" applyFill="1" applyBorder="1" applyAlignment="1">
      <alignment vertical="center" wrapText="1"/>
    </xf>
    <xf numFmtId="4" fontId="36" fillId="11" borderId="1" xfId="21" applyNumberFormat="1" applyFont="1" applyFill="1" applyBorder="1" applyAlignment="1">
      <alignment vertical="center" wrapText="1"/>
    </xf>
    <xf numFmtId="9" fontId="36" fillId="11" borderId="1" xfId="24" applyNumberFormat="1" applyFont="1" applyFill="1" applyBorder="1" applyAlignment="1">
      <alignment vertical="center" wrapText="1"/>
    </xf>
    <xf numFmtId="0" fontId="36" fillId="10" borderId="1" xfId="21" applyFont="1" applyFill="1" applyBorder="1" applyAlignment="1">
      <alignment vertical="center" wrapText="1"/>
    </xf>
    <xf numFmtId="4" fontId="36" fillId="10" borderId="1" xfId="21" applyNumberFormat="1" applyFont="1" applyFill="1" applyBorder="1" applyAlignment="1">
      <alignment vertical="center" wrapText="1"/>
    </xf>
    <xf numFmtId="9" fontId="36" fillId="10" borderId="1" xfId="24" applyNumberFormat="1" applyFont="1" applyFill="1" applyBorder="1" applyAlignment="1">
      <alignment vertical="center" wrapText="1"/>
    </xf>
    <xf numFmtId="0" fontId="36" fillId="12" borderId="1" xfId="21" applyFont="1" applyFill="1" applyBorder="1" applyAlignment="1">
      <alignment vertical="center" wrapText="1"/>
    </xf>
    <xf numFmtId="4" fontId="36" fillId="12" borderId="1" xfId="21" applyNumberFormat="1" applyFont="1" applyFill="1" applyBorder="1" applyAlignment="1">
      <alignment vertical="center" wrapText="1"/>
    </xf>
    <xf numFmtId="9" fontId="36" fillId="12" borderId="1" xfId="24" applyNumberFormat="1" applyFont="1" applyFill="1" applyBorder="1" applyAlignment="1">
      <alignment vertical="center" wrapText="1"/>
    </xf>
    <xf numFmtId="0" fontId="36" fillId="0" borderId="1" xfId="21" applyFont="1" applyBorder="1" applyAlignment="1">
      <alignment vertical="center" wrapText="1"/>
    </xf>
    <xf numFmtId="4" fontId="36" fillId="0" borderId="1" xfId="21" applyNumberFormat="1" applyFont="1" applyBorder="1" applyAlignment="1">
      <alignment vertical="center" wrapText="1"/>
    </xf>
    <xf numFmtId="0" fontId="36" fillId="6" borderId="1" xfId="21" applyFont="1" applyFill="1" applyBorder="1" applyAlignment="1">
      <alignment vertical="center" wrapText="1"/>
    </xf>
    <xf numFmtId="4" fontId="36" fillId="6" borderId="1" xfId="21" applyNumberFormat="1" applyFont="1" applyFill="1" applyBorder="1" applyAlignment="1">
      <alignment vertical="center" wrapText="1"/>
    </xf>
    <xf numFmtId="9" fontId="36" fillId="6" borderId="1" xfId="24" applyNumberFormat="1" applyFont="1" applyFill="1" applyBorder="1" applyAlignment="1">
      <alignment vertical="center" wrapText="1"/>
    </xf>
    <xf numFmtId="0" fontId="36" fillId="5" borderId="1" xfId="21" applyFont="1" applyFill="1" applyBorder="1" applyAlignment="1">
      <alignment vertical="center" wrapText="1"/>
    </xf>
    <xf numFmtId="4" fontId="36" fillId="5" borderId="1" xfId="21" applyNumberFormat="1" applyFont="1" applyFill="1" applyBorder="1" applyAlignment="1">
      <alignment vertical="center" wrapText="1"/>
    </xf>
    <xf numFmtId="9" fontId="36" fillId="5" borderId="1" xfId="24" applyNumberFormat="1" applyFont="1" applyFill="1" applyBorder="1" applyAlignment="1">
      <alignment vertical="center" wrapText="1"/>
    </xf>
    <xf numFmtId="0" fontId="36" fillId="7" borderId="1" xfId="21" applyFont="1" applyFill="1" applyBorder="1" applyAlignment="1">
      <alignment vertical="center" wrapText="1"/>
    </xf>
    <xf numFmtId="4" fontId="36" fillId="7" borderId="1" xfId="21" applyNumberFormat="1" applyFont="1" applyFill="1" applyBorder="1" applyAlignment="1">
      <alignment vertical="center" wrapText="1"/>
    </xf>
    <xf numFmtId="9" fontId="36" fillId="7" borderId="1" xfId="24" applyNumberFormat="1" applyFont="1" applyFill="1" applyBorder="1" applyAlignment="1">
      <alignment vertical="center" wrapText="1"/>
    </xf>
    <xf numFmtId="3" fontId="17" fillId="12" borderId="1" xfId="21" applyNumberFormat="1" applyFont="1" applyFill="1" applyBorder="1" applyAlignment="1">
      <alignment vertical="center" wrapText="1"/>
    </xf>
    <xf numFmtId="3" fontId="17" fillId="6" borderId="1" xfId="21" applyNumberFormat="1" applyFont="1" applyFill="1" applyBorder="1" applyAlignment="1">
      <alignment vertical="center" wrapText="1"/>
    </xf>
    <xf numFmtId="4" fontId="4" fillId="10" borderId="1" xfId="21" applyNumberFormat="1" applyFont="1" applyFill="1" applyBorder="1" applyAlignment="1">
      <alignment vertical="center" wrapText="1"/>
    </xf>
    <xf numFmtId="0" fontId="37" fillId="0" borderId="0" xfId="21" applyFont="1" applyAlignment="1">
      <alignment horizontal="center" vertical="center" wrapText="1"/>
    </xf>
    <xf numFmtId="0" fontId="38" fillId="0" borderId="0" xfId="21" applyFont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2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3" fillId="0" borderId="1" xfId="21" applyFont="1" applyBorder="1" applyAlignment="1">
      <alignment horizontal="center" vertical="center" wrapText="1"/>
    </xf>
    <xf numFmtId="3" fontId="36" fillId="10" borderId="1" xfId="21" applyNumberFormat="1" applyFont="1" applyFill="1" applyBorder="1" applyAlignment="1">
      <alignment vertical="center" wrapText="1"/>
    </xf>
    <xf numFmtId="0" fontId="13" fillId="10" borderId="1" xfId="22" applyFont="1" applyFill="1" applyBorder="1" applyAlignment="1">
      <alignment horizontal="center" vertical="center" wrapText="1"/>
    </xf>
    <xf numFmtId="4" fontId="3" fillId="10" borderId="1" xfId="22" applyNumberFormat="1" applyFont="1" applyFill="1" applyBorder="1" applyAlignment="1">
      <alignment horizontal="center" vertical="center" wrapText="1"/>
    </xf>
    <xf numFmtId="0" fontId="3" fillId="10" borderId="1" xfId="22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/>
    </xf>
    <xf numFmtId="4" fontId="20" fillId="0" borderId="1" xfId="0" applyNumberFormat="1" applyFont="1" applyBorder="1" applyAlignment="1">
      <alignment horizontal="right" vertical="center"/>
    </xf>
    <xf numFmtId="0" fontId="3" fillId="0" borderId="2" xfId="18" applyFont="1" applyBorder="1" applyAlignment="1">
      <alignment horizontal="center" vertical="center" wrapText="1"/>
    </xf>
    <xf numFmtId="0" fontId="3" fillId="0" borderId="5" xfId="18" applyFont="1" applyBorder="1" applyAlignment="1">
      <alignment horizontal="justify" vertical="center" wrapText="1"/>
    </xf>
    <xf numFmtId="0" fontId="3" fillId="0" borderId="5" xfId="18" applyFont="1" applyBorder="1" applyAlignment="1">
      <alignment horizontal="center" vertical="center" wrapText="1"/>
    </xf>
    <xf numFmtId="4" fontId="3" fillId="0" borderId="5" xfId="18" applyNumberFormat="1" applyFont="1" applyBorder="1" applyAlignment="1">
      <alignment horizontal="right" vertical="center"/>
    </xf>
    <xf numFmtId="0" fontId="3" fillId="0" borderId="1" xfId="18" applyFont="1" applyBorder="1" applyAlignment="1">
      <alignment horizontal="center" vertical="center" wrapText="1"/>
    </xf>
    <xf numFmtId="4" fontId="3" fillId="0" borderId="1" xfId="18" applyNumberFormat="1" applyFont="1" applyBorder="1" applyAlignment="1">
      <alignment horizontal="right" vertical="center"/>
    </xf>
    <xf numFmtId="4" fontId="3" fillId="0" borderId="4" xfId="18" applyNumberFormat="1" applyFont="1" applyBorder="1" applyAlignment="1">
      <alignment horizontal="right" vertical="center"/>
    </xf>
    <xf numFmtId="0" fontId="3" fillId="0" borderId="1" xfId="18" applyFont="1" applyBorder="1" applyAlignment="1">
      <alignment vertical="center" wrapText="1"/>
    </xf>
    <xf numFmtId="0" fontId="25" fillId="0" borderId="1" xfId="0" applyFont="1" applyBorder="1" applyAlignment="1">
      <alignment horizontal="justify" vertical="center" wrapText="1"/>
    </xf>
    <xf numFmtId="4" fontId="20" fillId="0" borderId="1" xfId="0" applyNumberFormat="1" applyFont="1" applyBorder="1" applyAlignment="1">
      <alignment horizontal="right" vertical="center" wrapText="1"/>
    </xf>
    <xf numFmtId="0" fontId="20" fillId="0" borderId="1" xfId="2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166" fontId="26" fillId="10" borderId="1" xfId="13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6" fillId="0" borderId="1" xfId="18" applyFont="1" applyBorder="1" applyAlignment="1">
      <alignment horizontal="center" vertical="center" wrapText="1"/>
    </xf>
    <xf numFmtId="0" fontId="26" fillId="0" borderId="1" xfId="21" applyFont="1" applyBorder="1" applyAlignment="1">
      <alignment horizontal="center" vertical="center" wrapText="1"/>
    </xf>
    <xf numFmtId="0" fontId="3" fillId="0" borderId="6" xfId="18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3" fontId="17" fillId="11" borderId="1" xfId="21" applyNumberFormat="1" applyFont="1" applyFill="1" applyBorder="1" applyAlignment="1">
      <alignment vertical="center" wrapText="1"/>
    </xf>
    <xf numFmtId="0" fontId="39" fillId="0" borderId="0" xfId="21" applyFont="1" applyAlignment="1">
      <alignment vertical="center" wrapText="1"/>
    </xf>
    <xf numFmtId="0" fontId="5" fillId="10" borderId="1" xfId="21" applyFont="1" applyFill="1" applyBorder="1" applyAlignment="1">
      <alignment horizontal="center" vertical="center"/>
    </xf>
    <xf numFmtId="0" fontId="5" fillId="10" borderId="1" xfId="21" applyFont="1" applyFill="1" applyBorder="1" applyAlignment="1">
      <alignment horizontal="center" vertical="center" wrapText="1"/>
    </xf>
    <xf numFmtId="0" fontId="5" fillId="10" borderId="1" xfId="21" applyFont="1" applyFill="1" applyBorder="1" applyAlignment="1">
      <alignment horizontal="left" vertical="center"/>
    </xf>
    <xf numFmtId="0" fontId="15" fillId="0" borderId="1" xfId="21" applyFont="1" applyBorder="1" applyAlignment="1">
      <alignment horizontal="center" vertical="center" wrapText="1"/>
    </xf>
    <xf numFmtId="0" fontId="20" fillId="0" borderId="2" xfId="18" applyFont="1" applyBorder="1" applyAlignment="1">
      <alignment horizontal="center" vertical="center" wrapText="1"/>
    </xf>
    <xf numFmtId="0" fontId="22" fillId="10" borderId="3" xfId="21" applyFont="1" applyFill="1" applyBorder="1" applyAlignment="1">
      <alignment horizontal="center" vertical="center"/>
    </xf>
    <xf numFmtId="0" fontId="20" fillId="0" borderId="1" xfId="18" applyFont="1" applyBorder="1" applyAlignment="1">
      <alignment horizontal="center" vertical="center" wrapText="1"/>
    </xf>
    <xf numFmtId="0" fontId="23" fillId="0" borderId="1" xfId="21" applyFont="1" applyBorder="1" applyAlignment="1">
      <alignment vertical="center" wrapText="1"/>
    </xf>
    <xf numFmtId="9" fontId="23" fillId="0" borderId="1" xfId="21" applyNumberFormat="1" applyFont="1" applyBorder="1" applyAlignment="1">
      <alignment horizontal="center" vertical="center" wrapText="1"/>
    </xf>
    <xf numFmtId="0" fontId="24" fillId="10" borderId="1" xfId="21" applyFont="1" applyFill="1" applyBorder="1" applyAlignment="1">
      <alignment vertical="center" wrapText="1"/>
    </xf>
    <xf numFmtId="4" fontId="24" fillId="10" borderId="1" xfId="21" applyNumberFormat="1" applyFont="1" applyFill="1" applyBorder="1" applyAlignment="1">
      <alignment vertical="center" wrapText="1"/>
    </xf>
    <xf numFmtId="9" fontId="24" fillId="10" borderId="1" xfId="24" applyNumberFormat="1" applyFont="1" applyFill="1" applyBorder="1" applyAlignment="1">
      <alignment vertical="center" wrapText="1"/>
    </xf>
    <xf numFmtId="4" fontId="40" fillId="0" borderId="1" xfId="21" applyNumberFormat="1" applyFont="1" applyBorder="1" applyAlignment="1">
      <alignment horizontal="center" vertical="center" wrapText="1"/>
    </xf>
    <xf numFmtId="4" fontId="40" fillId="0" borderId="1" xfId="0" applyNumberFormat="1" applyFont="1" applyBorder="1" applyAlignment="1">
      <alignment horizontal="center" vertical="center" wrapText="1"/>
    </xf>
    <xf numFmtId="4" fontId="41" fillId="0" borderId="1" xfId="21" applyNumberFormat="1" applyFont="1" applyBorder="1" applyAlignment="1">
      <alignment vertical="center" wrapText="1"/>
    </xf>
    <xf numFmtId="3" fontId="41" fillId="0" borderId="1" xfId="21" applyNumberFormat="1" applyFont="1" applyBorder="1" applyAlignment="1">
      <alignment vertical="center" wrapText="1"/>
    </xf>
    <xf numFmtId="0" fontId="15" fillId="0" borderId="3" xfId="21" applyFont="1" applyBorder="1" applyAlignment="1">
      <alignment horizontal="center" vertical="center" wrapText="1"/>
    </xf>
    <xf numFmtId="0" fontId="20" fillId="0" borderId="3" xfId="18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3" fillId="0" borderId="7" xfId="18" applyFont="1" applyBorder="1" applyAlignment="1">
      <alignment horizontal="center" vertical="center" wrapText="1"/>
    </xf>
    <xf numFmtId="4" fontId="27" fillId="13" borderId="1" xfId="21" applyNumberFormat="1" applyFont="1" applyFill="1" applyBorder="1" applyAlignment="1">
      <alignment vertical="center" wrapText="1"/>
    </xf>
    <xf numFmtId="0" fontId="27" fillId="13" borderId="1" xfId="21" applyFont="1" applyFill="1" applyBorder="1" applyAlignment="1">
      <alignment vertical="center" wrapText="1"/>
    </xf>
    <xf numFmtId="0" fontId="4" fillId="0" borderId="1" xfId="21" applyFont="1" applyBorder="1" applyAlignment="1">
      <alignment horizontal="center" vertical="center" wrapText="1"/>
    </xf>
    <xf numFmtId="0" fontId="20" fillId="0" borderId="6" xfId="18" applyFont="1" applyBorder="1" applyAlignment="1">
      <alignment horizontal="center" vertical="center" wrapText="1"/>
    </xf>
    <xf numFmtId="4" fontId="20" fillId="0" borderId="1" xfId="21" applyNumberFormat="1" applyFont="1" applyBorder="1" applyAlignment="1">
      <alignment horizontal="center" vertical="center" wrapText="1"/>
    </xf>
    <xf numFmtId="0" fontId="15" fillId="10" borderId="1" xfId="22" applyFont="1" applyFill="1" applyBorder="1" applyAlignment="1">
      <alignment horizontal="center" vertical="center" wrapText="1"/>
    </xf>
    <xf numFmtId="4" fontId="20" fillId="10" borderId="1" xfId="22" applyNumberFormat="1" applyFont="1" applyFill="1" applyBorder="1" applyAlignment="1">
      <alignment horizontal="center" vertical="center" wrapText="1"/>
    </xf>
    <xf numFmtId="0" fontId="20" fillId="10" borderId="1" xfId="22" applyFont="1" applyFill="1" applyBorder="1" applyAlignment="1">
      <alignment horizontal="center" vertical="center" wrapText="1"/>
    </xf>
    <xf numFmtId="4" fontId="20" fillId="0" borderId="4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166" fontId="17" fillId="0" borderId="1" xfId="13" applyFont="1" applyBorder="1" applyAlignment="1">
      <alignment vertical="center" wrapText="1"/>
    </xf>
    <xf numFmtId="3" fontId="17" fillId="10" borderId="1" xfId="21" applyNumberFormat="1" applyFont="1" applyFill="1" applyBorder="1" applyAlignment="1">
      <alignment vertical="center" wrapText="1"/>
    </xf>
    <xf numFmtId="165" fontId="34" fillId="0" borderId="0" xfId="21" applyNumberFormat="1" applyAlignment="1">
      <alignment vertical="center" wrapText="1"/>
    </xf>
    <xf numFmtId="0" fontId="23" fillId="10" borderId="1" xfId="21" applyFont="1" applyFill="1" applyBorder="1" applyAlignment="1">
      <alignment vertical="center" wrapText="1"/>
    </xf>
    <xf numFmtId="4" fontId="23" fillId="10" borderId="1" xfId="21" applyNumberFormat="1" applyFont="1" applyFill="1" applyBorder="1" applyAlignment="1">
      <alignment vertical="center" wrapText="1"/>
    </xf>
    <xf numFmtId="9" fontId="23" fillId="10" borderId="1" xfId="21" applyNumberFormat="1" applyFont="1" applyFill="1" applyBorder="1" applyAlignment="1">
      <alignment horizontal="center" vertical="center" wrapText="1"/>
    </xf>
    <xf numFmtId="0" fontId="42" fillId="0" borderId="0" xfId="21" applyFont="1" applyAlignment="1">
      <alignment vertical="center" wrapText="1"/>
    </xf>
    <xf numFmtId="9" fontId="24" fillId="10" borderId="1" xfId="21" applyNumberFormat="1" applyFont="1" applyFill="1" applyBorder="1" applyAlignment="1">
      <alignment horizontal="center" vertical="center" wrapText="1"/>
    </xf>
    <xf numFmtId="4" fontId="42" fillId="0" borderId="0" xfId="21" applyNumberFormat="1" applyFont="1" applyAlignment="1">
      <alignment vertical="center" wrapText="1"/>
    </xf>
    <xf numFmtId="165" fontId="42" fillId="0" borderId="0" xfId="21" applyNumberFormat="1" applyFont="1" applyAlignment="1">
      <alignment vertical="center" wrapText="1"/>
    </xf>
    <xf numFmtId="4" fontId="29" fillId="13" borderId="1" xfId="21" applyNumberFormat="1" applyFont="1" applyFill="1" applyBorder="1" applyAlignment="1">
      <alignment vertical="center" wrapText="1"/>
    </xf>
    <xf numFmtId="0" fontId="42" fillId="0" borderId="0" xfId="21" applyFont="1" applyAlignment="1">
      <alignment horizontal="center" vertical="center" wrapText="1"/>
    </xf>
    <xf numFmtId="0" fontId="43" fillId="0" borderId="0" xfId="21" applyFont="1" applyAlignment="1">
      <alignment vertical="center" wrapText="1"/>
    </xf>
    <xf numFmtId="0" fontId="17" fillId="0" borderId="1" xfId="21" applyFont="1" applyBorder="1" applyAlignment="1">
      <alignment horizontal="center" vertical="center" wrapText="1"/>
    </xf>
    <xf numFmtId="9" fontId="21" fillId="0" borderId="1" xfId="21" applyNumberFormat="1" applyFont="1" applyBorder="1" applyAlignment="1">
      <alignment horizontal="center" vertical="center" wrapText="1"/>
    </xf>
    <xf numFmtId="9" fontId="21" fillId="10" borderId="1" xfId="21" applyNumberFormat="1" applyFont="1" applyFill="1" applyBorder="1" applyAlignment="1">
      <alignment horizontal="center" vertical="center" wrapText="1"/>
    </xf>
    <xf numFmtId="0" fontId="44" fillId="0" borderId="0" xfId="21" applyFont="1" applyAlignment="1">
      <alignment horizontal="center" vertical="center" wrapText="1"/>
    </xf>
    <xf numFmtId="0" fontId="45" fillId="0" borderId="0" xfId="21" applyFont="1" applyAlignment="1">
      <alignment horizontal="center" vertical="center" wrapText="1"/>
    </xf>
    <xf numFmtId="0" fontId="17" fillId="0" borderId="1" xfId="21" applyFont="1" applyBorder="1" applyAlignment="1">
      <alignment vertical="center" wrapText="1"/>
    </xf>
    <xf numFmtId="9" fontId="19" fillId="0" borderId="1" xfId="21" applyNumberFormat="1" applyFont="1" applyBorder="1" applyAlignment="1">
      <alignment horizontal="center" vertical="center" wrapText="1"/>
    </xf>
    <xf numFmtId="3" fontId="42" fillId="0" borderId="0" xfId="21" applyNumberFormat="1" applyFont="1" applyAlignment="1">
      <alignment vertical="center" wrapText="1"/>
    </xf>
    <xf numFmtId="166" fontId="42" fillId="0" borderId="0" xfId="13" applyFont="1" applyAlignment="1">
      <alignment vertical="center" wrapText="1"/>
    </xf>
    <xf numFmtId="4" fontId="17" fillId="0" borderId="1" xfId="21" applyNumberFormat="1" applyFont="1" applyBorder="1" applyAlignment="1">
      <alignment vertical="center" wrapText="1"/>
    </xf>
    <xf numFmtId="0" fontId="46" fillId="0" borderId="0" xfId="21" applyFont="1" applyAlignment="1">
      <alignment vertical="center" wrapText="1"/>
    </xf>
    <xf numFmtId="0" fontId="44" fillId="0" borderId="0" xfId="21" applyFont="1" applyAlignment="1">
      <alignment vertical="center" wrapText="1"/>
    </xf>
    <xf numFmtId="0" fontId="45" fillId="0" borderId="0" xfId="21" applyFont="1" applyAlignment="1">
      <alignment vertical="center" wrapText="1"/>
    </xf>
    <xf numFmtId="0" fontId="44" fillId="0" borderId="8" xfId="21" applyFont="1" applyBorder="1" applyAlignment="1">
      <alignment vertical="center" wrapText="1"/>
    </xf>
    <xf numFmtId="0" fontId="30" fillId="0" borderId="1" xfId="21" applyFont="1" applyBorder="1" applyAlignment="1">
      <alignment vertical="center" wrapText="1"/>
    </xf>
    <xf numFmtId="4" fontId="14" fillId="10" borderId="1" xfId="21" applyNumberFormat="1" applyFont="1" applyFill="1" applyBorder="1" applyAlignment="1">
      <alignment vertical="center" wrapText="1"/>
    </xf>
    <xf numFmtId="9" fontId="14" fillId="10" borderId="1" xfId="21" applyNumberFormat="1" applyFont="1" applyFill="1" applyBorder="1" applyAlignment="1">
      <alignment horizontal="center" vertical="center" wrapText="1"/>
    </xf>
    <xf numFmtId="0" fontId="16" fillId="10" borderId="1" xfId="21" applyFont="1" applyFill="1" applyBorder="1" applyAlignment="1">
      <alignment horizontal="left" vertical="center"/>
    </xf>
    <xf numFmtId="0" fontId="0" fillId="0" borderId="1" xfId="0" applyFont="1" applyBorder="1" applyAlignment="1">
      <alignment horizontal="justify" vertical="center" wrapText="1"/>
    </xf>
    <xf numFmtId="170" fontId="34" fillId="0" borderId="0" xfId="13" applyNumberFormat="1" applyFont="1" applyAlignment="1">
      <alignment vertical="center" wrapText="1"/>
    </xf>
    <xf numFmtId="0" fontId="0" fillId="2" borderId="0" xfId="0" applyFill="1" applyAlignment="1">
      <alignment vertical="center"/>
    </xf>
    <xf numFmtId="171" fontId="3" fillId="2" borderId="0" xfId="16" applyNumberFormat="1" applyFill="1" applyAlignment="1">
      <alignment vertical="center"/>
    </xf>
    <xf numFmtId="4" fontId="0" fillId="2" borderId="0" xfId="0" applyNumberForma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171" fontId="3" fillId="2" borderId="13" xfId="16" applyNumberFormat="1" applyFill="1" applyBorder="1" applyAlignment="1">
      <alignment vertical="center"/>
    </xf>
    <xf numFmtId="4" fontId="0" fillId="2" borderId="13" xfId="0" applyNumberFormat="1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32" fillId="2" borderId="0" xfId="0" applyFont="1" applyFill="1" applyBorder="1" applyAlignment="1">
      <alignment vertical="center"/>
    </xf>
    <xf numFmtId="0" fontId="32" fillId="2" borderId="18" xfId="0" applyFont="1" applyFill="1" applyBorder="1" applyAlignment="1">
      <alignment vertical="center"/>
    </xf>
    <xf numFmtId="0" fontId="33" fillId="2" borderId="19" xfId="0" applyFont="1" applyFill="1" applyBorder="1" applyAlignment="1">
      <alignment vertical="center"/>
    </xf>
    <xf numFmtId="0" fontId="33" fillId="2" borderId="20" xfId="0" applyFont="1" applyFill="1" applyBorder="1" applyAlignment="1">
      <alignment horizontal="justify" vertical="center"/>
    </xf>
    <xf numFmtId="0" fontId="32" fillId="0" borderId="0" xfId="0" applyFont="1" applyBorder="1" applyAlignment="1">
      <alignment vertical="center"/>
    </xf>
    <xf numFmtId="0" fontId="33" fillId="2" borderId="0" xfId="0" applyFont="1" applyFill="1" applyBorder="1" applyAlignment="1">
      <alignment vertical="center"/>
    </xf>
    <xf numFmtId="0" fontId="33" fillId="2" borderId="0" xfId="0" applyFont="1" applyFill="1" applyBorder="1" applyAlignment="1">
      <alignment horizontal="right" vertical="center"/>
    </xf>
    <xf numFmtId="0" fontId="32" fillId="2" borderId="19" xfId="0" applyFont="1" applyFill="1" applyBorder="1" applyAlignment="1">
      <alignment vertical="center"/>
    </xf>
    <xf numFmtId="0" fontId="32" fillId="2" borderId="0" xfId="0" applyFont="1" applyFill="1" applyBorder="1" applyAlignment="1">
      <alignment horizontal="center" vertical="center"/>
    </xf>
    <xf numFmtId="171" fontId="32" fillId="2" borderId="0" xfId="16" applyNumberFormat="1" applyFont="1" applyFill="1" applyBorder="1" applyAlignment="1">
      <alignment vertical="center"/>
    </xf>
    <xf numFmtId="4" fontId="32" fillId="2" borderId="0" xfId="0" applyNumberFormat="1" applyFont="1" applyFill="1" applyBorder="1" applyAlignment="1">
      <alignment vertical="center"/>
    </xf>
    <xf numFmtId="171" fontId="32" fillId="2" borderId="0" xfId="16" applyNumberFormat="1" applyFont="1" applyFill="1" applyBorder="1" applyAlignment="1">
      <alignment horizontal="right" vertical="center"/>
    </xf>
    <xf numFmtId="0" fontId="33" fillId="2" borderId="24" xfId="0" applyFont="1" applyFill="1" applyBorder="1" applyAlignment="1">
      <alignment horizontal="center"/>
    </xf>
    <xf numFmtId="171" fontId="33" fillId="2" borderId="24" xfId="16" applyNumberFormat="1" applyFont="1" applyFill="1" applyBorder="1" applyAlignment="1">
      <alignment horizontal="center"/>
    </xf>
    <xf numFmtId="4" fontId="33" fillId="2" borderId="25" xfId="0" applyNumberFormat="1" applyFont="1" applyFill="1" applyBorder="1" applyAlignment="1">
      <alignment horizontal="center"/>
    </xf>
    <xf numFmtId="0" fontId="33" fillId="2" borderId="14" xfId="0" applyFont="1" applyFill="1" applyBorder="1" applyAlignment="1">
      <alignment horizontal="center"/>
    </xf>
    <xf numFmtId="0" fontId="0" fillId="2" borderId="18" xfId="0" applyFill="1" applyBorder="1" applyAlignment="1">
      <alignment vertical="center"/>
    </xf>
    <xf numFmtId="0" fontId="32" fillId="2" borderId="2" xfId="0" applyFont="1" applyFill="1" applyBorder="1" applyAlignment="1">
      <alignment horizontal="left"/>
    </xf>
    <xf numFmtId="0" fontId="32" fillId="2" borderId="1" xfId="0" applyFont="1" applyFill="1" applyBorder="1" applyAlignment="1">
      <alignment horizontal="center"/>
    </xf>
    <xf numFmtId="171" fontId="32" fillId="2" borderId="1" xfId="16" applyNumberFormat="1" applyFont="1" applyFill="1" applyBorder="1" applyAlignment="1">
      <alignment horizontal="center"/>
    </xf>
    <xf numFmtId="172" fontId="32" fillId="10" borderId="1" xfId="0" applyNumberFormat="1" applyFont="1" applyFill="1" applyBorder="1" applyAlignment="1">
      <alignment horizontal="center"/>
    </xf>
    <xf numFmtId="3" fontId="32" fillId="2" borderId="1" xfId="0" applyNumberFormat="1" applyFont="1" applyFill="1" applyBorder="1" applyAlignment="1">
      <alignment horizontal="center"/>
    </xf>
    <xf numFmtId="0" fontId="0" fillId="2" borderId="18" xfId="0" applyFill="1" applyBorder="1"/>
    <xf numFmtId="171" fontId="32" fillId="2" borderId="1" xfId="16" applyNumberFormat="1" applyFont="1" applyFill="1" applyBorder="1" applyAlignment="1">
      <alignment horizontal="right"/>
    </xf>
    <xf numFmtId="0" fontId="0" fillId="2" borderId="18" xfId="0" applyFill="1" applyBorder="1" applyAlignment="1">
      <alignment horizontal="right"/>
    </xf>
    <xf numFmtId="4" fontId="32" fillId="2" borderId="1" xfId="0" applyNumberFormat="1" applyFont="1" applyFill="1" applyBorder="1" applyAlignment="1">
      <alignment horizontal="right"/>
    </xf>
    <xf numFmtId="3" fontId="32" fillId="2" borderId="30" xfId="0" applyNumberFormat="1" applyFont="1" applyFill="1" applyBorder="1" applyAlignment="1">
      <alignment horizontal="right"/>
    </xf>
    <xf numFmtId="0" fontId="33" fillId="2" borderId="31" xfId="0" applyFont="1" applyFill="1" applyBorder="1" applyAlignment="1">
      <alignment horizontal="center"/>
    </xf>
    <xf numFmtId="0" fontId="33" fillId="2" borderId="25" xfId="0" applyFont="1" applyFill="1" applyBorder="1" applyAlignment="1">
      <alignment horizontal="center"/>
    </xf>
    <xf numFmtId="0" fontId="33" fillId="2" borderId="1" xfId="0" applyFont="1" applyFill="1" applyBorder="1" applyAlignment="1">
      <alignment horizontal="center"/>
    </xf>
    <xf numFmtId="171" fontId="33" fillId="2" borderId="25" xfId="16" applyNumberFormat="1" applyFont="1" applyFill="1" applyBorder="1" applyAlignment="1">
      <alignment horizontal="center"/>
    </xf>
    <xf numFmtId="0" fontId="0" fillId="2" borderId="14" xfId="0" applyFill="1" applyBorder="1" applyAlignment="1">
      <alignment horizontal="right"/>
    </xf>
    <xf numFmtId="0" fontId="32" fillId="2" borderId="18" xfId="0" applyFont="1" applyFill="1" applyBorder="1" applyAlignment="1">
      <alignment horizontal="right"/>
    </xf>
    <xf numFmtId="171" fontId="32" fillId="10" borderId="1" xfId="16" applyNumberFormat="1" applyFont="1" applyFill="1" applyBorder="1" applyAlignment="1">
      <alignment horizontal="center"/>
    </xf>
    <xf numFmtId="0" fontId="32" fillId="2" borderId="22" xfId="0" applyFont="1" applyFill="1" applyBorder="1" applyAlignment="1">
      <alignment horizontal="right"/>
    </xf>
    <xf numFmtId="4" fontId="32" fillId="2" borderId="33" xfId="0" applyNumberFormat="1" applyFont="1" applyFill="1" applyBorder="1" applyAlignment="1">
      <alignment horizontal="right"/>
    </xf>
    <xf numFmtId="3" fontId="32" fillId="2" borderId="1" xfId="0" applyNumberFormat="1" applyFont="1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1" xfId="0" applyFill="1" applyBorder="1"/>
    <xf numFmtId="0" fontId="0" fillId="2" borderId="38" xfId="0" applyFill="1" applyBorder="1" applyAlignment="1">
      <alignment horizontal="right"/>
    </xf>
    <xf numFmtId="4" fontId="32" fillId="2" borderId="30" xfId="0" applyNumberFormat="1" applyFont="1" applyFill="1" applyBorder="1" applyAlignment="1">
      <alignment horizontal="right"/>
    </xf>
    <xf numFmtId="168" fontId="32" fillId="2" borderId="1" xfId="0" applyNumberFormat="1" applyFont="1" applyFill="1" applyBorder="1" applyAlignment="1">
      <alignment horizontal="center"/>
    </xf>
    <xf numFmtId="10" fontId="32" fillId="2" borderId="1" xfId="0" applyNumberFormat="1" applyFont="1" applyFill="1" applyBorder="1" applyAlignment="1">
      <alignment horizontal="center"/>
    </xf>
    <xf numFmtId="2" fontId="32" fillId="2" borderId="1" xfId="0" applyNumberFormat="1" applyFont="1" applyFill="1" applyBorder="1" applyAlignment="1">
      <alignment horizontal="center"/>
    </xf>
    <xf numFmtId="0" fontId="0" fillId="2" borderId="39" xfId="0" applyFill="1" applyBorder="1" applyAlignment="1">
      <alignment horizontal="left"/>
    </xf>
    <xf numFmtId="0" fontId="0" fillId="2" borderId="22" xfId="0" applyFill="1" applyBorder="1" applyAlignment="1">
      <alignment horizontal="right"/>
    </xf>
    <xf numFmtId="4" fontId="32" fillId="2" borderId="0" xfId="0" applyNumberFormat="1" applyFont="1" applyFill="1" applyBorder="1" applyAlignment="1">
      <alignment horizontal="right"/>
    </xf>
    <xf numFmtId="0" fontId="0" fillId="2" borderId="19" xfId="0" applyFill="1" applyBorder="1"/>
    <xf numFmtId="0" fontId="0" fillId="2" borderId="0" xfId="0" applyFill="1" applyBorder="1"/>
    <xf numFmtId="171" fontId="3" fillId="2" borderId="0" xfId="16" applyNumberFormat="1" applyFill="1" applyBorder="1"/>
    <xf numFmtId="4" fontId="33" fillId="2" borderId="0" xfId="0" applyNumberFormat="1" applyFont="1" applyFill="1" applyBorder="1" applyAlignment="1">
      <alignment horizontal="right"/>
    </xf>
    <xf numFmtId="43" fontId="32" fillId="2" borderId="42" xfId="16" applyNumberFormat="1" applyFont="1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4" fontId="0" fillId="2" borderId="0" xfId="0" applyNumberFormat="1" applyFill="1" applyBorder="1"/>
    <xf numFmtId="4" fontId="33" fillId="2" borderId="42" xfId="0" applyNumberFormat="1" applyFont="1" applyFill="1" applyBorder="1" applyAlignment="1">
      <alignment horizontal="right"/>
    </xf>
    <xf numFmtId="0" fontId="32" fillId="2" borderId="19" xfId="0" applyFont="1" applyFill="1" applyBorder="1"/>
    <xf numFmtId="0" fontId="32" fillId="2" borderId="0" xfId="0" applyFont="1" applyFill="1" applyBorder="1" applyAlignment="1">
      <alignment horizontal="right"/>
    </xf>
    <xf numFmtId="4" fontId="0" fillId="2" borderId="43" xfId="0" applyNumberFormat="1" applyFill="1" applyBorder="1"/>
    <xf numFmtId="0" fontId="0" fillId="2" borderId="43" xfId="0" applyFill="1" applyBorder="1"/>
    <xf numFmtId="0" fontId="3" fillId="2" borderId="21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171" fontId="3" fillId="2" borderId="40" xfId="16" applyNumberFormat="1" applyFont="1" applyFill="1" applyBorder="1" applyAlignment="1">
      <alignment vertical="center"/>
    </xf>
    <xf numFmtId="4" fontId="3" fillId="2" borderId="40" xfId="0" applyNumberFormat="1" applyFont="1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0" xfId="0" applyAlignment="1">
      <alignment vertical="center"/>
    </xf>
    <xf numFmtId="171" fontId="3" fillId="0" borderId="0" xfId="16" applyNumberFormat="1" applyAlignment="1">
      <alignment vertical="center"/>
    </xf>
    <xf numFmtId="4" fontId="0" fillId="0" borderId="0" xfId="0" applyNumberFormat="1" applyAlignment="1">
      <alignment vertical="center"/>
    </xf>
    <xf numFmtId="4" fontId="32" fillId="10" borderId="1" xfId="0" applyNumberFormat="1" applyFont="1" applyFill="1" applyBorder="1" applyAlignment="1">
      <alignment horizontal="center"/>
    </xf>
    <xf numFmtId="2" fontId="32" fillId="10" borderId="1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vertical="center"/>
    </xf>
    <xf numFmtId="0" fontId="33" fillId="2" borderId="5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/>
    </xf>
    <xf numFmtId="171" fontId="32" fillId="0" borderId="1" xfId="16" applyNumberFormat="1" applyFont="1" applyFill="1" applyBorder="1" applyAlignment="1">
      <alignment horizontal="right"/>
    </xf>
    <xf numFmtId="172" fontId="32" fillId="0" borderId="1" xfId="0" applyNumberFormat="1" applyFont="1" applyFill="1" applyBorder="1" applyAlignment="1">
      <alignment horizontal="center"/>
    </xf>
    <xf numFmtId="3" fontId="32" fillId="0" borderId="1" xfId="0" applyNumberFormat="1" applyFont="1" applyFill="1" applyBorder="1" applyAlignment="1">
      <alignment horizontal="center"/>
    </xf>
    <xf numFmtId="171" fontId="32" fillId="0" borderId="1" xfId="16" applyNumberFormat="1" applyFont="1" applyFill="1" applyBorder="1" applyAlignment="1">
      <alignment horizontal="center"/>
    </xf>
    <xf numFmtId="4" fontId="32" fillId="0" borderId="1" xfId="0" applyNumberFormat="1" applyFont="1" applyFill="1" applyBorder="1" applyAlignment="1">
      <alignment horizontal="center"/>
    </xf>
    <xf numFmtId="0" fontId="47" fillId="0" borderId="4" xfId="21" applyFont="1" applyBorder="1" applyAlignment="1">
      <alignment horizontal="justify" vertical="center" wrapText="1"/>
    </xf>
    <xf numFmtId="0" fontId="16" fillId="6" borderId="10" xfId="21" applyFont="1" applyFill="1" applyBorder="1" applyAlignment="1">
      <alignment horizontal="justify" vertical="center" wrapText="1"/>
    </xf>
    <xf numFmtId="0" fontId="16" fillId="6" borderId="11" xfId="21" applyFont="1" applyFill="1" applyBorder="1" applyAlignment="1">
      <alignment horizontal="justify" vertical="center" wrapText="1"/>
    </xf>
    <xf numFmtId="0" fontId="16" fillId="5" borderId="10" xfId="21" applyFont="1" applyFill="1" applyBorder="1" applyAlignment="1">
      <alignment horizontal="justify" vertical="center" wrapText="1"/>
    </xf>
    <xf numFmtId="0" fontId="16" fillId="5" borderId="11" xfId="21" applyFont="1" applyFill="1" applyBorder="1" applyAlignment="1">
      <alignment horizontal="justify" vertical="center" wrapText="1"/>
    </xf>
    <xf numFmtId="0" fontId="16" fillId="12" borderId="10" xfId="21" applyFont="1" applyFill="1" applyBorder="1" applyAlignment="1">
      <alignment horizontal="justify" vertical="center" wrapText="1"/>
    </xf>
    <xf numFmtId="0" fontId="16" fillId="12" borderId="11" xfId="21" applyFont="1" applyFill="1" applyBorder="1" applyAlignment="1">
      <alignment horizontal="justify" vertical="center" wrapText="1"/>
    </xf>
    <xf numFmtId="0" fontId="16" fillId="7" borderId="10" xfId="21" applyFont="1" applyFill="1" applyBorder="1" applyAlignment="1">
      <alignment horizontal="justify" vertical="center" wrapText="1"/>
    </xf>
    <xf numFmtId="0" fontId="16" fillId="7" borderId="11" xfId="21" applyFont="1" applyFill="1" applyBorder="1" applyAlignment="1">
      <alignment horizontal="justify" vertical="center" wrapText="1"/>
    </xf>
    <xf numFmtId="0" fontId="16" fillId="5" borderId="9" xfId="21" applyFont="1" applyFill="1" applyBorder="1" applyAlignment="1">
      <alignment horizontal="justify" vertical="center" wrapText="1"/>
    </xf>
    <xf numFmtId="0" fontId="16" fillId="5" borderId="3" xfId="21" applyFont="1" applyFill="1" applyBorder="1" applyAlignment="1">
      <alignment horizontal="justify" vertical="center" wrapText="1"/>
    </xf>
    <xf numFmtId="0" fontId="47" fillId="0" borderId="9" xfId="21" applyFont="1" applyBorder="1" applyAlignment="1">
      <alignment horizontal="justify" vertical="center" wrapText="1"/>
    </xf>
    <xf numFmtId="0" fontId="47" fillId="0" borderId="3" xfId="21" applyFont="1" applyBorder="1" applyAlignment="1">
      <alignment horizontal="justify" vertical="center" wrapText="1"/>
    </xf>
    <xf numFmtId="0" fontId="16" fillId="7" borderId="9" xfId="21" applyFont="1" applyFill="1" applyBorder="1" applyAlignment="1">
      <alignment horizontal="justify" vertical="center" wrapText="1"/>
    </xf>
    <xf numFmtId="0" fontId="16" fillId="7" borderId="3" xfId="21" applyFont="1" applyFill="1" applyBorder="1" applyAlignment="1">
      <alignment horizontal="justify" vertical="center" wrapText="1"/>
    </xf>
    <xf numFmtId="0" fontId="16" fillId="12" borderId="9" xfId="21" applyFont="1" applyFill="1" applyBorder="1" applyAlignment="1">
      <alignment horizontal="justify" vertical="center" wrapText="1"/>
    </xf>
    <xf numFmtId="0" fontId="16" fillId="12" borderId="3" xfId="21" applyFont="1" applyFill="1" applyBorder="1" applyAlignment="1">
      <alignment horizontal="justify" vertical="center" wrapText="1"/>
    </xf>
    <xf numFmtId="4" fontId="48" fillId="0" borderId="0" xfId="21" applyNumberFormat="1" applyFont="1" applyAlignment="1">
      <alignment horizontal="center" vertical="center" wrapText="1"/>
    </xf>
    <xf numFmtId="0" fontId="43" fillId="10" borderId="9" xfId="0" applyFont="1" applyFill="1" applyBorder="1" applyAlignment="1">
      <alignment horizontal="justify" vertical="center"/>
    </xf>
    <xf numFmtId="0" fontId="43" fillId="10" borderId="3" xfId="0" applyFont="1" applyFill="1" applyBorder="1" applyAlignment="1">
      <alignment horizontal="justify" vertical="center"/>
    </xf>
    <xf numFmtId="0" fontId="22" fillId="10" borderId="9" xfId="21" applyFont="1" applyFill="1" applyBorder="1" applyAlignment="1">
      <alignment horizontal="justify" vertical="center" wrapText="1"/>
    </xf>
    <xf numFmtId="0" fontId="22" fillId="10" borderId="3" xfId="21" applyFont="1" applyFill="1" applyBorder="1" applyAlignment="1">
      <alignment horizontal="justify" vertical="center" wrapText="1"/>
    </xf>
    <xf numFmtId="0" fontId="16" fillId="11" borderId="9" xfId="21" applyFont="1" applyFill="1" applyBorder="1" applyAlignment="1">
      <alignment horizontal="justify" vertical="center" wrapText="1"/>
    </xf>
    <xf numFmtId="0" fontId="16" fillId="11" borderId="3" xfId="21" applyFont="1" applyFill="1" applyBorder="1" applyAlignment="1">
      <alignment horizontal="justify" vertical="center" wrapText="1"/>
    </xf>
    <xf numFmtId="0" fontId="16" fillId="6" borderId="9" xfId="21" applyFont="1" applyFill="1" applyBorder="1" applyAlignment="1">
      <alignment horizontal="justify" vertical="center" wrapText="1"/>
    </xf>
    <xf numFmtId="0" fontId="16" fillId="6" borderId="3" xfId="21" applyFont="1" applyFill="1" applyBorder="1" applyAlignment="1">
      <alignment horizontal="justify" vertical="center" wrapText="1"/>
    </xf>
    <xf numFmtId="0" fontId="16" fillId="11" borderId="10" xfId="21" applyFont="1" applyFill="1" applyBorder="1" applyAlignment="1">
      <alignment horizontal="justify" vertical="center" wrapText="1"/>
    </xf>
    <xf numFmtId="0" fontId="16" fillId="11" borderId="11" xfId="21" applyFont="1" applyFill="1" applyBorder="1" applyAlignment="1">
      <alignment horizontal="justify" vertical="center" wrapText="1"/>
    </xf>
    <xf numFmtId="0" fontId="47" fillId="0" borderId="9" xfId="21" applyFont="1" applyBorder="1" applyAlignment="1">
      <alignment horizontal="center" vertical="center" wrapText="1"/>
    </xf>
    <xf numFmtId="0" fontId="47" fillId="0" borderId="3" xfId="21" applyFont="1" applyBorder="1" applyAlignment="1">
      <alignment horizontal="center" vertical="center" wrapText="1"/>
    </xf>
    <xf numFmtId="0" fontId="44" fillId="0" borderId="0" xfId="21" applyFont="1" applyAlignment="1">
      <alignment horizontal="center" vertical="center" wrapText="1"/>
    </xf>
    <xf numFmtId="0" fontId="44" fillId="0" borderId="8" xfId="21" applyFont="1" applyBorder="1" applyAlignment="1">
      <alignment horizontal="center" vertical="center" wrapText="1"/>
    </xf>
    <xf numFmtId="0" fontId="37" fillId="0" borderId="0" xfId="21" applyFont="1" applyAlignment="1">
      <alignment horizontal="center" vertical="center" wrapText="1"/>
    </xf>
    <xf numFmtId="0" fontId="38" fillId="0" borderId="0" xfId="21" applyFont="1" applyAlignment="1">
      <alignment horizontal="center" vertical="center" wrapText="1"/>
    </xf>
    <xf numFmtId="4" fontId="49" fillId="0" borderId="0" xfId="21" applyNumberFormat="1" applyFont="1" applyAlignment="1">
      <alignment horizontal="center" vertical="center" wrapText="1"/>
    </xf>
    <xf numFmtId="0" fontId="33" fillId="2" borderId="15" xfId="0" applyFont="1" applyFill="1" applyBorder="1" applyAlignment="1">
      <alignment horizontal="right"/>
    </xf>
    <xf numFmtId="0" fontId="33" fillId="2" borderId="16" xfId="0" applyFont="1" applyFill="1" applyBorder="1" applyAlignment="1">
      <alignment horizontal="right"/>
    </xf>
    <xf numFmtId="0" fontId="33" fillId="2" borderId="32" xfId="0" applyFont="1" applyFill="1" applyBorder="1" applyAlignment="1">
      <alignment horizontal="right"/>
    </xf>
    <xf numFmtId="0" fontId="33" fillId="2" borderId="34" xfId="0" applyFont="1" applyFill="1" applyBorder="1" applyAlignment="1">
      <alignment horizontal="center"/>
    </xf>
    <xf numFmtId="0" fontId="33" fillId="2" borderId="35" xfId="0" applyFont="1" applyFill="1" applyBorder="1" applyAlignment="1">
      <alignment horizontal="center"/>
    </xf>
    <xf numFmtId="0" fontId="33" fillId="2" borderId="36" xfId="0" applyFont="1" applyFill="1" applyBorder="1" applyAlignment="1">
      <alignment horizontal="center"/>
    </xf>
    <xf numFmtId="0" fontId="32" fillId="2" borderId="9" xfId="0" applyFont="1" applyFill="1" applyBorder="1" applyAlignment="1">
      <alignment horizontal="center"/>
    </xf>
    <xf numFmtId="0" fontId="32" fillId="2" borderId="37" xfId="0" applyFont="1" applyFill="1" applyBorder="1" applyAlignment="1">
      <alignment horizontal="center"/>
    </xf>
    <xf numFmtId="0" fontId="32" fillId="2" borderId="3" xfId="0" applyFont="1" applyFill="1" applyBorder="1" applyAlignment="1">
      <alignment horizontal="center"/>
    </xf>
    <xf numFmtId="0" fontId="33" fillId="2" borderId="19" xfId="0" applyFont="1" applyFill="1" applyBorder="1" applyAlignment="1">
      <alignment horizontal="right"/>
    </xf>
    <xf numFmtId="0" fontId="33" fillId="2" borderId="0" xfId="0" applyFont="1" applyFill="1" applyBorder="1" applyAlignment="1">
      <alignment horizontal="right"/>
    </xf>
    <xf numFmtId="0" fontId="0" fillId="2" borderId="9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3" fillId="2" borderId="27" xfId="0" applyFont="1" applyFill="1" applyBorder="1" applyAlignment="1">
      <alignment horizontal="right"/>
    </xf>
    <xf numFmtId="0" fontId="33" fillId="2" borderId="28" xfId="0" applyFont="1" applyFill="1" applyBorder="1" applyAlignment="1">
      <alignment horizontal="right"/>
    </xf>
    <xf numFmtId="0" fontId="33" fillId="2" borderId="29" xfId="0" applyFont="1" applyFill="1" applyBorder="1" applyAlignment="1">
      <alignment horizontal="right"/>
    </xf>
    <xf numFmtId="0" fontId="33" fillId="2" borderId="21" xfId="0" applyFont="1" applyFill="1" applyBorder="1" applyAlignment="1">
      <alignment horizontal="right"/>
    </xf>
    <xf numFmtId="0" fontId="33" fillId="2" borderId="40" xfId="0" applyFont="1" applyFill="1" applyBorder="1" applyAlignment="1">
      <alignment horizontal="right"/>
    </xf>
    <xf numFmtId="0" fontId="33" fillId="2" borderId="41" xfId="0" applyFont="1" applyFill="1" applyBorder="1" applyAlignment="1">
      <alignment horizontal="right"/>
    </xf>
    <xf numFmtId="0" fontId="33" fillId="2" borderId="31" xfId="0" applyFont="1" applyFill="1" applyBorder="1" applyAlignment="1">
      <alignment horizontal="center"/>
    </xf>
    <xf numFmtId="0" fontId="33" fillId="2" borderId="25" xfId="0" applyFont="1" applyFill="1" applyBorder="1" applyAlignment="1">
      <alignment horizontal="center"/>
    </xf>
    <xf numFmtId="0" fontId="32" fillId="2" borderId="2" xfId="0" applyFont="1" applyFill="1" applyBorder="1" applyAlignment="1">
      <alignment horizontal="left"/>
    </xf>
    <xf numFmtId="0" fontId="32" fillId="2" borderId="1" xfId="0" applyFont="1" applyFill="1" applyBorder="1" applyAlignment="1">
      <alignment horizontal="left"/>
    </xf>
    <xf numFmtId="0" fontId="32" fillId="0" borderId="26" xfId="0" applyFont="1" applyFill="1" applyBorder="1" applyAlignment="1">
      <alignment horizontal="left"/>
    </xf>
    <xf numFmtId="0" fontId="32" fillId="0" borderId="3" xfId="0" applyFont="1" applyFill="1" applyBorder="1" applyAlignment="1">
      <alignment horizontal="left"/>
    </xf>
    <xf numFmtId="0" fontId="32" fillId="2" borderId="26" xfId="0" applyFont="1" applyFill="1" applyBorder="1" applyAlignment="1">
      <alignment horizontal="left"/>
    </xf>
    <xf numFmtId="0" fontId="32" fillId="2" borderId="3" xfId="0" applyFont="1" applyFill="1" applyBorder="1" applyAlignment="1">
      <alignment horizontal="left"/>
    </xf>
    <xf numFmtId="0" fontId="33" fillId="2" borderId="19" xfId="0" applyFont="1" applyFill="1" applyBorder="1" applyAlignment="1">
      <alignment vertical="center"/>
    </xf>
    <xf numFmtId="0" fontId="33" fillId="2" borderId="0" xfId="0" applyFont="1" applyFill="1" applyBorder="1" applyAlignment="1">
      <alignment vertical="center"/>
    </xf>
    <xf numFmtId="4" fontId="33" fillId="2" borderId="21" xfId="0" applyNumberFormat="1" applyFont="1" applyFill="1" applyBorder="1" applyAlignment="1">
      <alignment horizontal="center" vertical="center"/>
    </xf>
    <xf numFmtId="4" fontId="33" fillId="2" borderId="22" xfId="0" applyNumberFormat="1" applyFont="1" applyFill="1" applyBorder="1" applyAlignment="1">
      <alignment horizontal="center" vertical="center"/>
    </xf>
    <xf numFmtId="0" fontId="33" fillId="2" borderId="12" xfId="0" applyFont="1" applyFill="1" applyBorder="1" applyAlignment="1">
      <alignment horizontal="left"/>
    </xf>
    <xf numFmtId="0" fontId="33" fillId="2" borderId="23" xfId="0" applyFont="1" applyFill="1" applyBorder="1" applyAlignment="1">
      <alignment horizontal="left"/>
    </xf>
    <xf numFmtId="0" fontId="31" fillId="4" borderId="45" xfId="0" applyFont="1" applyFill="1" applyBorder="1" applyAlignment="1">
      <alignment horizontal="center" vertical="center" wrapText="1"/>
    </xf>
    <xf numFmtId="0" fontId="31" fillId="4" borderId="13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33" fillId="2" borderId="19" xfId="0" applyFont="1" applyFill="1" applyBorder="1" applyAlignment="1">
      <alignment horizontal="left" vertical="center" wrapText="1"/>
    </xf>
    <xf numFmtId="0" fontId="33" fillId="2" borderId="0" xfId="0" applyFont="1" applyFill="1" applyBorder="1" applyAlignment="1">
      <alignment horizontal="left" vertical="center" wrapText="1"/>
    </xf>
    <xf numFmtId="0" fontId="37" fillId="0" borderId="0" xfId="21" applyFont="1" applyAlignment="1">
      <alignment horizontal="justify" vertical="center" wrapText="1"/>
    </xf>
    <xf numFmtId="0" fontId="38" fillId="0" borderId="0" xfId="23" applyFont="1" applyAlignment="1">
      <alignment horizontal="center" vertical="center" wrapText="1"/>
    </xf>
  </cellXfs>
  <cellStyles count="29">
    <cellStyle name="Date" xfId="1"/>
    <cellStyle name="Euro" xfId="2"/>
    <cellStyle name="F2" xfId="3"/>
    <cellStyle name="F3" xfId="4"/>
    <cellStyle name="F4" xfId="5"/>
    <cellStyle name="F5" xfId="6"/>
    <cellStyle name="F6" xfId="7"/>
    <cellStyle name="F7" xfId="8"/>
    <cellStyle name="F8" xfId="9"/>
    <cellStyle name="Fixed" xfId="10"/>
    <cellStyle name="Heading1" xfId="11"/>
    <cellStyle name="Heading2" xfId="12"/>
    <cellStyle name="Millares" xfId="13" builtinId="3"/>
    <cellStyle name="Millares 2" xfId="14"/>
    <cellStyle name="Millares 3" xfId="15"/>
    <cellStyle name="Millares_Formato 18 - APUs 2" xfId="16"/>
    <cellStyle name="Moneda0" xfId="17"/>
    <cellStyle name="Normal" xfId="0" builtinId="0"/>
    <cellStyle name="Normal 16" xfId="28"/>
    <cellStyle name="Normal 2" xfId="18"/>
    <cellStyle name="Normal 3" xfId="19"/>
    <cellStyle name="Normal 4" xfId="20"/>
    <cellStyle name="Normal 5" xfId="21"/>
    <cellStyle name="Normal 5 2" xfId="22"/>
    <cellStyle name="Normal 5 3" xfId="23"/>
    <cellStyle name="Porcentaje" xfId="24" builtinId="5"/>
    <cellStyle name="Porcentaje 2" xfId="25"/>
    <cellStyle name="Porcentual 2" xfId="26"/>
    <cellStyle name="Punto0" xfId="2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34986CAA-D783-B443-B4B4-483DA3A0E52B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43B1AC0A-F11F-9444-BDD9-CF4BCA15DD3D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C9E29AF8-054A-4146-ADF8-ABB1FE89EA2E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0591486D-9A83-F842-A315-58A81164993A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7D555AF2-8F66-9C4D-B21A-3CC51BF7F0B0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FCB2BE20-FACE-624A-9CE2-FE3527F17554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B386CE47-BB2B-2A42-BCA1-1444D5F2B823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5C2865CA-709B-C44C-8B67-1C4B5EE891C5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1067BBA4-EEB4-BA4C-9313-6109D5D90F59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B97935DA-C2F6-7A46-A5C6-3E6DD649DCCE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78518FB5-1DE9-2747-9666-7E166F1FB220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F8E8AD51-7F49-4B48-9B00-0ECD5F1C8227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5323AC2E-E075-B14A-8559-55179EF1775B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98A21CD4-17B4-DE4E-9206-5DD4690AD78C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EDB599FD-F7DB-9042-89DF-7857B5699769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CEC0F059-7074-9C44-A5E2-A70C53B1A71C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6DF0179B-BBB1-C948-8279-DB2D7CD638B2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E73B05F6-DBA4-434A-ADEE-4BAC4AC52909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714066FA-9C4E-B64E-AD2D-29C6AD8DBB63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1EEA18EF-511B-2144-AF6D-B6AA211570EA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C5533B7F-9425-744F-B483-66EA781C889F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73116542-9E61-2743-B653-FF07AA3763BA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67DCB9EC-8631-B34D-816D-418BAC406AC5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C7A02394-8C4C-F148-895F-52071CDE486D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F2523432-78E4-744A-BE49-0CDFBE2A5F0F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38530EF7-0041-2D45-8A7A-064613EE7EBF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BE4A5EB0-0CC3-9249-B84F-AFE7E063A573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75</xdr:row>
      <xdr:rowOff>0</xdr:rowOff>
    </xdr:from>
    <xdr:ext cx="184731" cy="264560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852B3005-9C37-6C42-AA39-E7F4F8CF2A04}"/>
            </a:ext>
          </a:extLst>
        </xdr:cNvPr>
        <xdr:cNvSpPr txBox="1"/>
      </xdr:nvSpPr>
      <xdr:spPr>
        <a:xfrm>
          <a:off x="4732867" y="47921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E350245F-68B3-9846-A881-E34B43348AF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E53ECFAA-76A1-E84E-AB6A-F1AC0F0DE4E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9ECBFAB6-8576-B844-A606-9C2120FE1AE0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FB149A35-E806-D54D-B20A-78EC208949E8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9D62AEAC-0124-D443-AF0B-9AEDD98097E6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49B77F57-73ED-B345-8DC6-9D274ACE2471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8BB3DD5F-C6B3-1C41-A46B-FC4D45E876E8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38933E9E-C2A2-EA4A-BDE5-495E61FDFF80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06E9C56F-2109-2A41-AB0B-8E4D9667D952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20C0AB07-E636-3B4B-8E4D-E43EE34D9621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76CEA655-A43B-4544-A8A5-6517B8E3C1BE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7D91C12E-3E9C-1447-9B81-3A0AF928976C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CE3FBEA8-288B-7742-BABC-86794B9EF89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627B8F57-8C28-1F47-B7BC-B864358897B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61A80DFF-9046-504B-93D1-FF41B11DF09B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4E6350BD-E888-A244-92A2-7481DB712D2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C6BEF0DC-B5F4-514F-BD98-018D6CC99D73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E580E11E-DD07-2C48-848B-C1A93E44E27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B30E1005-6424-6E47-8BF8-9B51613E3EDA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DA7E06C6-A251-0844-A64D-516EF697A0D3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559C8772-5B47-A34C-8D36-A5EDC78BAE4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94526061-1312-DF48-BD55-6BD04EFD102A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E6462D67-4CD9-5C4E-9F5F-4A59181D7595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FDB2BD80-BCF0-2648-A8F5-F88A4BBCB1E5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75116155-D879-CA42-A08E-3C7DDB9D33E5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072BBD8E-5C98-B54B-AD6D-DC397638E3B0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DBE5699A-5C59-9843-95E3-AEE109CDA154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B7DA00AA-2A2D-C142-B276-F2221C0E629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793EC1AB-9A14-FF4F-972C-22B5F5054D0D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AE95AA04-DBF2-4843-9127-78ED93E17C36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FD1ED696-A1CB-5C42-B8D6-A1D1DDB09A1D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E50C8B2D-51F6-E941-B39A-F4A079E073FA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57E86590-D621-0E42-9721-162508931743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A1AFC918-9FF7-CD44-B22E-E01CDB2FDE64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0397D5E7-A44B-314A-A79E-8DEB47307756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8FD46761-0288-BB48-A838-5835476D3B8D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EA56B5D9-A359-9548-BD21-9E4C03C2C288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F1E9265C-260D-304D-8A90-A438A5E12C03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2BB5882D-01BB-4945-9307-448EFFFB8F9D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DA872016-2984-0D4E-B78D-99600477F3FC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D5C96973-DBD4-2E46-9E1A-56045410FCBC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43D9D534-2552-984D-820C-E47BF243637D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F1404898-6BC4-A146-8158-22F0A6B9DBC1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3D270645-3875-6F41-B9F3-FC60050C075E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37B8F447-102A-9740-8965-ED9FE7357073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BCB32BDA-229C-E345-BDEA-2B218ADA81E0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3B681C94-E3FF-A94B-A783-B40822DD9383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7213D929-533A-D44E-906B-72E205EF870F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3DDDEDC2-5B68-8D49-AB1B-CEF4949E35FB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571CEAB1-33AE-CD45-8F27-CC282F1181B5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8AF5B759-BFBA-BF4B-A453-E75A1D546A86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383237EA-F5C7-0C4D-95D5-17696744A47D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EFAFF406-0FC2-CA4B-B846-A0853565DD90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A619F366-B0ED-7949-85A1-CF3B34C80B71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899448F7-BDE2-0A4E-9F94-487AA2E811A3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61</xdr:row>
      <xdr:rowOff>0</xdr:rowOff>
    </xdr:from>
    <xdr:ext cx="191768" cy="289640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5762168F-95B1-E545-9D39-0674DD3C5AC0}"/>
            </a:ext>
          </a:extLst>
        </xdr:cNvPr>
        <xdr:cNvSpPr txBox="1"/>
      </xdr:nvSpPr>
      <xdr:spPr>
        <a:xfrm>
          <a:off x="4248150" y="27326167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6A2BCE83-603D-CF4E-ABEC-5F26AE6AFE40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73445B1F-38C7-6A4E-B298-4C22558063A5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F50D6317-C8BB-E34B-87E6-D14DCB8450B3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F882A312-5A93-1840-8ED6-5CCD85624B46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B3AEB6A2-16F1-4D47-84E5-05A0C11FC355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AF4A6997-A73F-A942-9933-2D8F4B376485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A1C15322-FA6A-AF4B-ACAD-D4D3EF54EA3F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607B40EA-EEE7-BC4D-BC6E-EF609577D541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7ADAC973-2E2D-B34E-B6FB-38D239B1A6F1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95CFFE63-FC24-D149-94D7-32EFF4DE7170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E978311D-5822-FF44-9109-0628999B79B3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D662A6BB-4092-514B-92B0-E9AB550D90CE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AC3C9F2B-03FF-A741-AA83-BA4DF02BF223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F16B3C55-6AF2-D441-9EC0-FD9A252B0E53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99E07ABD-3842-0642-9FEA-FF31FBFF51C2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B2E5D440-BCE6-B24D-8E79-B6B709315BCC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6D5AC6DA-A6FD-0246-86C9-688E69153B05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F71B5DC8-F979-8047-9875-B4E6AA661816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A8EE7DE5-94DE-B649-8257-EB42617D9D79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7320F7C0-F8F8-0545-84FB-09C2560DABA1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8C9909A3-54CA-3241-B28C-28AF4CAA678B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AB45A281-E0B8-6E48-9AF5-C47F534E6EA7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18233E5C-AE4D-0B4E-A162-F5CCD1AF260B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CF117BD9-7CF8-3D42-9420-CF8A521DA723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EECDA5E6-5924-0044-8D86-5DF270162405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34F10940-6DE0-5142-AD69-6788855B1F5D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C61C4BDD-944D-5844-A05E-4AD148A3CDDA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9B4500BF-7DEF-754C-92E2-73244CB1E79D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05F3AB6B-CD6A-7049-B3DF-8C7A2C9C4CC8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74BEAAF4-045B-A94A-AFD0-DA1070542531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22A25920-FFE4-9348-9F4B-E60E10B613E7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0A41D5A6-79C7-8948-A414-EE0BFE8C6A36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D823D246-0FA2-3F47-A694-786B9BDB1D3B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625063B3-6DBC-3748-8DC9-63138079A869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348C8B69-C0FF-924C-88E7-3FC42555BB9F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CCA4E104-310A-614F-908B-7BC378104337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7A82F91F-E389-974C-9EAA-BF946DEE8F05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9EFDFC4D-6F7F-9042-9B3F-0C28D22CEBB6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9133E732-30DA-E24B-9B59-965527E6937A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E96CA8E4-DA42-E74E-BD34-9F0573AC7410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D27F32BB-A047-8843-97F6-D037625E88BD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F20117BF-87A3-C643-B023-62362FEA2828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7EBA9CA6-A718-DE46-A434-12B3C362358E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14B02657-9E99-6447-A9AC-BA3FBA6A635B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E0011E0F-85C4-C142-82F0-6A286C56FB69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C9C32FF0-C22F-204E-9825-DE58AAE83B41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29D68036-90F2-714F-A082-720837ED973C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512F2949-B5D1-AA49-B46B-224D19C611A2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D25BB3B9-EBCD-D54B-A3DB-E41D01BC14DB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86B30BE1-A1E4-C44E-B149-F00083DB8AEF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AF4AE948-C78E-6A42-A4B1-0334776B81A6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A1F238AB-D0B7-BF43-8506-9CC4E5564C67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A23D195B-D45A-6048-A61F-E995BD2B00FE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1C1F7DED-DCF6-CF42-8243-D0FE39A56F21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8A1BAF5C-FB48-AB43-8121-1F49F540F660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15</xdr:row>
      <xdr:rowOff>0</xdr:rowOff>
    </xdr:from>
    <xdr:ext cx="199939" cy="293643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1A770235-A36D-624D-9AF4-A62097F1168A}"/>
            </a:ext>
          </a:extLst>
        </xdr:cNvPr>
        <xdr:cNvSpPr txBox="1"/>
      </xdr:nvSpPr>
      <xdr:spPr>
        <a:xfrm>
          <a:off x="4607983" y="93345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E3C32777-0F09-314E-AC9F-64D40038258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5061D154-64A2-F541-8798-324895D61471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F55B268C-889B-CA44-AD8E-0281101DFBA8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3D6A1C28-2892-8741-98C9-22049E8A778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0E39598D-EE98-E74A-BE05-EB338A8EDBFC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1B5751FF-15E1-D24A-A808-F010B2F3E294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156707DF-3EF2-964E-A083-F4A9C7DC61E7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BBC2F989-8A4F-8941-8B94-9D45C99CF325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D7B06E84-9012-8943-9EB6-8F8512F34C5F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4D97D4C5-45DD-DF4D-94AF-9FFBD1AEBB4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672A061C-0E12-0D4E-8496-58E59268D644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5BA2ED41-9617-AB4C-B4B1-76A590296F9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018D8399-EE3F-FE49-B2F0-1AFB18C47751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FDC56D44-5263-1748-B7DD-9DA6C2EF689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F9E8DE25-CE21-254E-AD3B-060AA0075545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F8E8501A-5211-614E-877C-F33458C961FA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730A6E79-5D97-584F-AEEC-799F3A6924E4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386B774A-D351-9E48-A5B0-163A6EF3A1CF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C526A0C7-AEF9-2F4B-8EA3-332488284BFE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E3923F65-CEF8-4D46-9D97-35B0629708F4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BE7B5019-01EB-9846-84A9-65735361010E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10B01DB2-A5BC-DD4F-BE66-AA3D7F248F07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DD1334BB-FEF9-0F4D-9370-FABFB0414D0B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8BFA902E-5ABD-EE49-97BB-126946D5F2B4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AAB01A9D-175A-AB4E-A4BE-B407A4F093BC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96019FBD-41BC-B042-BF42-E6F3D19C2E52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795EE04E-BEF5-A44A-9D56-328564B27E1C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7E4B57E6-9F6C-174A-A08C-C6E7D8F8A664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09FFEFDE-F1C0-DE4A-BCC7-9F3FA4D5C125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74852DDB-7736-5640-8B8F-7016B8B92463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C7C6DE1E-CAC4-5E45-AF96-52AE704EC68C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1B8E46EB-E948-FE40-A764-200A1075DAFC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EAD06B99-0B04-4F45-91D6-FA3B2C8160F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609A0A4E-C424-024B-8A0F-0A20FCBB2B1E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F6F2E4FA-9A87-9B47-83A9-68E0F1872911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0B7AA68B-AE3F-1A48-A0C6-A38AD404D1FF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35C13163-5024-F14A-AA55-875D35812653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0D83C7EE-1427-384F-AFC3-D876965EF306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7391B0CB-669F-8B40-BDEC-58E99B74B8A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30297E62-0F8D-D642-9501-23A27FB5C096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A75412D0-3925-F746-A807-59F57EA9F77A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127FD547-1ED0-0F41-B82D-B24975665DA6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269F55BA-B48F-0B4D-86AE-7F966FA3E51F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720F3AC1-0339-3943-82D0-83444685F39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58462BD3-4BD4-8946-8787-ACB3A0201987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78D998DB-495B-1642-B6C8-BB45955FEDE2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6412F72B-920D-A142-B21D-E116C8A434B6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93D87DD7-A496-244A-BA56-5040C232A40D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B1B31687-F198-1B40-8A90-0C9D940E1F1F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E1AE51AF-9CBE-064B-BC67-AFBB987472F9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15BF242B-A106-914A-9AC4-CA3D1B52D2BA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2AE0FCD7-AFE5-6C4C-83B8-9C4410D3EA04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19D025BC-43A6-384E-BD9A-95069B2FC857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CE345335-B18A-5C4E-B301-BB3CEAF87B7F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2508F791-D9D2-134E-AEA4-993018EA8DC0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52</xdr:row>
      <xdr:rowOff>0</xdr:rowOff>
    </xdr:from>
    <xdr:ext cx="199939" cy="280296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9349CD02-CE0D-9746-AFCC-538CFFEB89F7}"/>
            </a:ext>
          </a:extLst>
        </xdr:cNvPr>
        <xdr:cNvSpPr txBox="1"/>
      </xdr:nvSpPr>
      <xdr:spPr>
        <a:xfrm>
          <a:off x="4607983" y="26140833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86DC52C5-E90B-E443-B69A-D6992540AE7A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3B726E1A-0366-8449-AF16-EB8D27122930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0C3A1F30-A56C-3842-9201-E37144874614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D0EA35A3-5C95-C740-B77B-D768B0C119A0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BC04E598-604A-8C4D-8072-069FB202AAFC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DDC0B3C3-3309-0146-B836-D58121D9D57A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BE8721B9-D11C-7842-9B84-2D9D8DCCCBB9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02D2EB78-9D5B-C545-A520-FCEF149308DE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1B4859C8-43C4-9D4D-A940-37E0BC5D239A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8F1561BD-D216-CF47-994B-0F81165E97BD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6767DBF0-5FD8-4444-AFC8-FC5F0F9E576A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B302E59D-88FC-E247-A9D6-45A34D7868F9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EF4D205B-8056-EE40-80B2-1E7065F36E37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A80E4063-A525-194F-9D44-B1F8A5C0C389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059638FD-0DA6-614E-BE6C-885F2DB3406C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FBE374EC-6B86-8640-BCB6-EBE40F61C396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AFA25905-D507-5A45-BB5D-C753F976CC50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43C72AF5-1444-3943-A8A2-B62D2B5587FF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8E22AFCC-D887-F64A-8B34-B2A7DDB4EA75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A8BD8B9E-71D2-6947-9D82-1040283849BA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89EEFDE1-7324-684E-995E-35070DC8419F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715B9CCD-AF5B-B144-A830-F0BFF729ECA2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F4A17AD2-8D1A-ED40-9C7F-A6659A41FDA1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4A14CF67-E970-D647-BF86-F09C6E1007D2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8CC894F5-CC9F-CD4B-9475-A07BF2A993DF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B619A4EB-698E-0E4A-BBDF-044AAAFC681E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67844F93-C127-3740-AA35-C729F4E5E24A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35</xdr:row>
      <xdr:rowOff>0</xdr:rowOff>
    </xdr:from>
    <xdr:ext cx="199939" cy="280296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9F41106A-8C9A-0448-B947-139C9BFE8AB9}"/>
            </a:ext>
          </a:extLst>
        </xdr:cNvPr>
        <xdr:cNvSpPr txBox="1"/>
      </xdr:nvSpPr>
      <xdr:spPr>
        <a:xfrm>
          <a:off x="4607983" y="18669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AE7814DB-7168-8D44-826E-3B30949F0A6C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828C686D-8DAA-8D47-A6DE-69B853DF8782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DAA44F36-4639-C94B-A1AA-0821FECED014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3947C274-C268-DF48-AB68-11CF4CA84A3A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28636388-A9A5-5C40-9445-038F929089D0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64A9A5B3-BDDF-274B-8359-462DC45A063F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CB6CB4CF-BF35-A54C-8F4F-172F869D5805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AAC24F76-F15B-8641-97E5-37AFE34282FC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82C0A73E-1727-D14F-9AC6-FADB6265A9E7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B80060C9-E456-674B-9BCE-FD8E871966FE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DED946D0-5639-D840-A204-B122F1740044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253E6E39-75E6-9342-AAF4-6E22AD321536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4D06A7F2-CD97-AE4C-85EF-40F16FC887CA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0FB20747-ABEE-C347-A369-1B27E0F71367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2A05C51E-6CC5-1F44-A1D2-4598BB3159A9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DAFCADF6-72DC-5443-ADE9-73E24A818156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2B72EAE3-C3C1-F447-A8E4-DB09E77DA8CC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EA5309EC-5788-4542-84CE-10ECB11F7524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EB6B194A-03C1-1448-B407-164B0BB8AC20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3F51E671-6F5B-C24B-B924-D4C662702844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C056ED7C-F014-A141-A142-538EA3C5E48D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778F5CAF-9BD8-4C4A-95E0-23B886B933DF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12498083-5316-D04A-8BDC-4DF1C6689AA3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84CDB170-719A-5A46-90D8-85BE745D5E7E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095FABF6-ADCA-5D48-9B84-46485217B1C2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B026281F-63E3-064A-8302-8CD2DF6B2BAA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B68A3008-415E-3743-AD10-0CB3059CDE0A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2CE9B78B-97D7-AC4A-AFF7-4616DBB24E35}"/>
            </a:ext>
          </a:extLst>
        </xdr:cNvPr>
        <xdr:cNvSpPr txBox="1"/>
      </xdr:nvSpPr>
      <xdr:spPr>
        <a:xfrm>
          <a:off x="4041775" y="21926550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0" name="11 CuadroTexto">
          <a:extLst>
            <a:ext uri="{FF2B5EF4-FFF2-40B4-BE49-F238E27FC236}">
              <a16:creationId xmlns:a16="http://schemas.microsoft.com/office/drawing/2014/main" xmlns="" id="{05E0D453-42D3-E24F-B856-B8DD56DF15B8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1" name="12 CuadroTexto">
          <a:extLst>
            <a:ext uri="{FF2B5EF4-FFF2-40B4-BE49-F238E27FC236}">
              <a16:creationId xmlns:a16="http://schemas.microsoft.com/office/drawing/2014/main" xmlns="" id="{CE9BD9AE-871A-624E-9665-E3AB40B8A899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2" name="8 CuadroTexto">
          <a:extLst>
            <a:ext uri="{FF2B5EF4-FFF2-40B4-BE49-F238E27FC236}">
              <a16:creationId xmlns:a16="http://schemas.microsoft.com/office/drawing/2014/main" xmlns="" id="{5675146A-B1CF-F14E-9EB0-7DBCA5544594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3" name="18 CuadroTexto">
          <a:extLst>
            <a:ext uri="{FF2B5EF4-FFF2-40B4-BE49-F238E27FC236}">
              <a16:creationId xmlns:a16="http://schemas.microsoft.com/office/drawing/2014/main" xmlns="" id="{E70441ED-11E5-0A45-B727-ABB0C8712C81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4" name="19 CuadroTexto">
          <a:extLst>
            <a:ext uri="{FF2B5EF4-FFF2-40B4-BE49-F238E27FC236}">
              <a16:creationId xmlns:a16="http://schemas.microsoft.com/office/drawing/2014/main" xmlns="" id="{2ADE6683-318C-C743-AA3E-310AEE348328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5" name="22 CuadroTexto">
          <a:extLst>
            <a:ext uri="{FF2B5EF4-FFF2-40B4-BE49-F238E27FC236}">
              <a16:creationId xmlns:a16="http://schemas.microsoft.com/office/drawing/2014/main" xmlns="" id="{270EE7D1-9138-2644-B4DF-18B26D4F1019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6" name="23 CuadroTexto">
          <a:extLst>
            <a:ext uri="{FF2B5EF4-FFF2-40B4-BE49-F238E27FC236}">
              <a16:creationId xmlns:a16="http://schemas.microsoft.com/office/drawing/2014/main" xmlns="" id="{F842298B-0F88-D14D-B03A-F4EF5D684918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7" name="11 CuadroTexto">
          <a:extLst>
            <a:ext uri="{FF2B5EF4-FFF2-40B4-BE49-F238E27FC236}">
              <a16:creationId xmlns:a16="http://schemas.microsoft.com/office/drawing/2014/main" xmlns="" id="{DE84D352-E375-634D-BD74-BE41ADD020C6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8" name="12 CuadroTexto">
          <a:extLst>
            <a:ext uri="{FF2B5EF4-FFF2-40B4-BE49-F238E27FC236}">
              <a16:creationId xmlns:a16="http://schemas.microsoft.com/office/drawing/2014/main" xmlns="" id="{E147504F-9D0F-AD44-9C4D-6D4E859E9CAA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9" name="8 CuadroTexto">
          <a:extLst>
            <a:ext uri="{FF2B5EF4-FFF2-40B4-BE49-F238E27FC236}">
              <a16:creationId xmlns:a16="http://schemas.microsoft.com/office/drawing/2014/main" xmlns="" id="{5EEC52E5-26AD-1946-8D18-3B1EC833D8C8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0" name="18 CuadroTexto">
          <a:extLst>
            <a:ext uri="{FF2B5EF4-FFF2-40B4-BE49-F238E27FC236}">
              <a16:creationId xmlns:a16="http://schemas.microsoft.com/office/drawing/2014/main" xmlns="" id="{AC5B5C9A-5F55-F742-8073-C94F6083038C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1" name="19 CuadroTexto">
          <a:extLst>
            <a:ext uri="{FF2B5EF4-FFF2-40B4-BE49-F238E27FC236}">
              <a16:creationId xmlns:a16="http://schemas.microsoft.com/office/drawing/2014/main" xmlns="" id="{90A05DD0-6579-594B-8FDD-B424AADE8EE0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2" name="22 CuadroTexto">
          <a:extLst>
            <a:ext uri="{FF2B5EF4-FFF2-40B4-BE49-F238E27FC236}">
              <a16:creationId xmlns:a16="http://schemas.microsoft.com/office/drawing/2014/main" xmlns="" id="{D72ADEE5-9627-0B4B-8414-F31A1BC20370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3" name="23 CuadroTexto">
          <a:extLst>
            <a:ext uri="{FF2B5EF4-FFF2-40B4-BE49-F238E27FC236}">
              <a16:creationId xmlns:a16="http://schemas.microsoft.com/office/drawing/2014/main" xmlns="" id="{9E34972C-3EB4-BD46-A4DF-86D59FC019EF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4" name="11 CuadroTexto">
          <a:extLst>
            <a:ext uri="{FF2B5EF4-FFF2-40B4-BE49-F238E27FC236}">
              <a16:creationId xmlns:a16="http://schemas.microsoft.com/office/drawing/2014/main" xmlns="" id="{66B1ABBE-A80D-B342-B970-A64ED4920C23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5" name="12 CuadroTexto">
          <a:extLst>
            <a:ext uri="{FF2B5EF4-FFF2-40B4-BE49-F238E27FC236}">
              <a16:creationId xmlns:a16="http://schemas.microsoft.com/office/drawing/2014/main" xmlns="" id="{F2B2D628-FCC5-4C41-ACBA-C4520AB34A9B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6" name="8 CuadroTexto">
          <a:extLst>
            <a:ext uri="{FF2B5EF4-FFF2-40B4-BE49-F238E27FC236}">
              <a16:creationId xmlns:a16="http://schemas.microsoft.com/office/drawing/2014/main" xmlns="" id="{EC6CD984-BE0F-CF40-9934-03943B0BB1C0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7" name="18 CuadroTexto">
          <a:extLst>
            <a:ext uri="{FF2B5EF4-FFF2-40B4-BE49-F238E27FC236}">
              <a16:creationId xmlns:a16="http://schemas.microsoft.com/office/drawing/2014/main" xmlns="" id="{A6A63EA0-2B62-A143-B7FF-1BD22F683CB1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8" name="19 CuadroTexto">
          <a:extLst>
            <a:ext uri="{FF2B5EF4-FFF2-40B4-BE49-F238E27FC236}">
              <a16:creationId xmlns:a16="http://schemas.microsoft.com/office/drawing/2014/main" xmlns="" id="{E4CAE9BB-3CD3-1044-B7F2-4B2AA3018948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9" name="22 CuadroTexto">
          <a:extLst>
            <a:ext uri="{FF2B5EF4-FFF2-40B4-BE49-F238E27FC236}">
              <a16:creationId xmlns:a16="http://schemas.microsoft.com/office/drawing/2014/main" xmlns="" id="{85AA7827-675E-A449-B4F3-03720CF95949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0" name="23 CuadroTexto">
          <a:extLst>
            <a:ext uri="{FF2B5EF4-FFF2-40B4-BE49-F238E27FC236}">
              <a16:creationId xmlns:a16="http://schemas.microsoft.com/office/drawing/2014/main" xmlns="" id="{1C0AAB72-0D11-C143-9AFC-E4AFD218508D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1" name="11 CuadroTexto">
          <a:extLst>
            <a:ext uri="{FF2B5EF4-FFF2-40B4-BE49-F238E27FC236}">
              <a16:creationId xmlns:a16="http://schemas.microsoft.com/office/drawing/2014/main" xmlns="" id="{7302E8F0-671A-8447-8B60-F925F7A7410F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2" name="12 CuadroTexto">
          <a:extLst>
            <a:ext uri="{FF2B5EF4-FFF2-40B4-BE49-F238E27FC236}">
              <a16:creationId xmlns:a16="http://schemas.microsoft.com/office/drawing/2014/main" xmlns="" id="{8539951E-7D43-E64A-91CF-CFA770E71D0D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3" name="8 CuadroTexto">
          <a:extLst>
            <a:ext uri="{FF2B5EF4-FFF2-40B4-BE49-F238E27FC236}">
              <a16:creationId xmlns:a16="http://schemas.microsoft.com/office/drawing/2014/main" xmlns="" id="{D8C00E4A-3235-5742-905A-459FC8CA912F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4" name="18 CuadroTexto">
          <a:extLst>
            <a:ext uri="{FF2B5EF4-FFF2-40B4-BE49-F238E27FC236}">
              <a16:creationId xmlns:a16="http://schemas.microsoft.com/office/drawing/2014/main" xmlns="" id="{F766F769-DBD6-FE41-8519-9BBF492AC1B2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5" name="19 CuadroTexto">
          <a:extLst>
            <a:ext uri="{FF2B5EF4-FFF2-40B4-BE49-F238E27FC236}">
              <a16:creationId xmlns:a16="http://schemas.microsoft.com/office/drawing/2014/main" xmlns="" id="{19618208-F144-154D-89F1-8D5D2D895CC5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6" name="22 CuadroTexto">
          <a:extLst>
            <a:ext uri="{FF2B5EF4-FFF2-40B4-BE49-F238E27FC236}">
              <a16:creationId xmlns:a16="http://schemas.microsoft.com/office/drawing/2014/main" xmlns="" id="{867B3D5C-299F-F340-A2D0-393775C0B09A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7" name="23 CuadroTexto">
          <a:extLst>
            <a:ext uri="{FF2B5EF4-FFF2-40B4-BE49-F238E27FC236}">
              <a16:creationId xmlns:a16="http://schemas.microsoft.com/office/drawing/2014/main" xmlns="" id="{2852E6E4-5F6C-6A43-8BDC-50C35FDDBD4E}"/>
            </a:ext>
          </a:extLst>
        </xdr:cNvPr>
        <xdr:cNvSpPr txBox="1"/>
      </xdr:nvSpPr>
      <xdr:spPr>
        <a:xfrm>
          <a:off x="4041775" y="2018347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36080865-59D7-9F43-9850-65A61EC6A9E7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14F63477-69F8-9B4F-8636-A9206B2E39B5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90E7219F-5F84-E247-8176-CFB3DEB67A9F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DA89D8F8-0854-564E-BDB4-6B98C22EFEF7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946FADEE-FD15-1646-A77E-ABBE83649CEC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B95A1073-152F-7541-96A7-5A7B5317C3D7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4FA72271-CB88-8947-AEB2-8A6BE8B018DC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337DBE14-0735-7148-AD89-1929DAF9BE7E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4B7212B9-E94A-9646-A461-FDC755E732AD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273C9C4F-F5D6-2346-9562-AC801E04C8ED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8D0F4FC6-DB65-FB4B-968E-1C67AB4C7641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6A9F021A-E347-0E47-8327-1E210F149021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DCFE6AEA-F77F-DA4E-82B3-4411CC847884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89758D8E-EE74-734B-9FF8-8FF638F43041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67EA16DF-87E2-E347-95E6-5719AA5D9C8E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88A8D265-401B-A64A-A396-A9288DE4B2D8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95565A30-10B7-9D46-B7A5-492ECB1999DB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F4E6D532-7CE1-CC46-A405-C08D98EF7D04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41299920-C3C6-BF4F-8D13-17157A4C4045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A3B1C2EA-4168-994B-B98F-764F9E00824A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7595C7D2-6B15-5F49-8824-2A10443C6BB8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414A953E-2976-534D-9643-E46024B67DD9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9372A065-0451-C24C-B404-65FB4C2AA67B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954FC3A1-F2DB-F84C-909D-4E4A99273DDC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0F2B1359-EC6A-3048-8F9F-368312F2EE04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7FDD19DB-A9BA-364B-B886-CC200ADCF558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06ED4B10-EA91-0E4E-B412-125B6552AF12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23</xdr:row>
      <xdr:rowOff>0</xdr:rowOff>
    </xdr:from>
    <xdr:ext cx="184731" cy="264560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CBBF184F-5954-F24A-A21E-D3CB8E863605}"/>
            </a:ext>
          </a:extLst>
        </xdr:cNvPr>
        <xdr:cNvSpPr txBox="1"/>
      </xdr:nvSpPr>
      <xdr:spPr>
        <a:xfrm>
          <a:off x="4614333" y="11535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65D7A3B0-61F6-594B-9059-F28302AA0B04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C03B310A-2D6D-FA41-BF68-1C5EC9B952B5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54C13C4F-AA91-F341-9917-0FECE39E8997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9E387714-E96C-914F-AC57-9B1E04A2EB4E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46495472-5D0B-5243-9765-230D04F92D89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A63DF1BE-ADA4-AD4E-94D9-1C364AE10C1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90F053C2-487B-F54F-80E4-3AE6E2749C9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5C9D0FB0-62EF-564E-B8BB-E4447F98D93B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D200DA9D-5D50-0D4D-A863-8859BFEAF74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A7DFAFE6-A915-5747-AAE2-0F8D9E72E589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2918FA97-4606-4842-88ED-901A2EC0BD59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A05A2C95-2EC8-B340-9901-64ECCBF62816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9C8B68EB-A1B1-A946-A058-FC2CA8C48C11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3CBAAD8F-53D5-B140-B749-6899B080C82F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5005D167-94CF-7140-A4EA-4F71219A261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D0D1CD51-B1CA-CD46-BB04-FEB784AE2E42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6B5A793C-25DB-AD43-ADF1-861379B08EA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0E9F66CD-6346-E542-8B9E-76E4A5EA20D7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56194337-0A2C-884B-9671-9BBAD12D6A46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19F3B503-7AF0-954F-B057-DE54BD567CD5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5356C17B-C27B-A94E-ACD6-EDCF3EA8974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AA058753-619F-7B46-94FA-5AA75A091996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5F3802D8-FB6F-3241-BEBB-459EC081B1A3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56109552-6B13-C741-9D87-E42600FEB686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CA0DF359-990D-8443-8CE5-44926B879DC6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C18B631C-688E-D54C-9658-F0008EDB666D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BA058BE7-EA22-7B49-B401-5A14DE387435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94295837-A28B-824C-B643-B88D1DF6F844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0" name="11 CuadroTexto">
          <a:extLst>
            <a:ext uri="{FF2B5EF4-FFF2-40B4-BE49-F238E27FC236}">
              <a16:creationId xmlns:a16="http://schemas.microsoft.com/office/drawing/2014/main" xmlns="" id="{2BAC7D37-77FB-8F42-8B32-931526EE5786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1" name="12 CuadroTexto">
          <a:extLst>
            <a:ext uri="{FF2B5EF4-FFF2-40B4-BE49-F238E27FC236}">
              <a16:creationId xmlns:a16="http://schemas.microsoft.com/office/drawing/2014/main" xmlns="" id="{B4EED752-13F2-6F49-BFC0-84297F85F9BE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2" name="8 CuadroTexto">
          <a:extLst>
            <a:ext uri="{FF2B5EF4-FFF2-40B4-BE49-F238E27FC236}">
              <a16:creationId xmlns:a16="http://schemas.microsoft.com/office/drawing/2014/main" xmlns="" id="{C704BCB4-00BE-ED43-8CB9-AD58D4BBD1B7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3" name="18 CuadroTexto">
          <a:extLst>
            <a:ext uri="{FF2B5EF4-FFF2-40B4-BE49-F238E27FC236}">
              <a16:creationId xmlns:a16="http://schemas.microsoft.com/office/drawing/2014/main" xmlns="" id="{62B2B5A6-94D6-D048-B322-57B8B87C8D9A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4" name="19 CuadroTexto">
          <a:extLst>
            <a:ext uri="{FF2B5EF4-FFF2-40B4-BE49-F238E27FC236}">
              <a16:creationId xmlns:a16="http://schemas.microsoft.com/office/drawing/2014/main" xmlns="" id="{0E349B64-5E24-4243-B82B-2EE41C4D3BFD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5" name="22 CuadroTexto">
          <a:extLst>
            <a:ext uri="{FF2B5EF4-FFF2-40B4-BE49-F238E27FC236}">
              <a16:creationId xmlns:a16="http://schemas.microsoft.com/office/drawing/2014/main" xmlns="" id="{73E6D449-D337-744F-91B7-351E6BDDF166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6" name="23 CuadroTexto">
          <a:extLst>
            <a:ext uri="{FF2B5EF4-FFF2-40B4-BE49-F238E27FC236}">
              <a16:creationId xmlns:a16="http://schemas.microsoft.com/office/drawing/2014/main" xmlns="" id="{489677E2-D08D-A146-8813-E4F468AF9A6D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7" name="11 CuadroTexto">
          <a:extLst>
            <a:ext uri="{FF2B5EF4-FFF2-40B4-BE49-F238E27FC236}">
              <a16:creationId xmlns:a16="http://schemas.microsoft.com/office/drawing/2014/main" xmlns="" id="{19F630CD-CD05-8C4E-90F4-F9EDEF85FD49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8" name="12 CuadroTexto">
          <a:extLst>
            <a:ext uri="{FF2B5EF4-FFF2-40B4-BE49-F238E27FC236}">
              <a16:creationId xmlns:a16="http://schemas.microsoft.com/office/drawing/2014/main" xmlns="" id="{A16220C8-BFF3-7A41-BF66-31F6C3C8E77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39" name="8 CuadroTexto">
          <a:extLst>
            <a:ext uri="{FF2B5EF4-FFF2-40B4-BE49-F238E27FC236}">
              <a16:creationId xmlns:a16="http://schemas.microsoft.com/office/drawing/2014/main" xmlns="" id="{EFAFDCC0-2151-E145-8120-AD65C17EF363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0" name="18 CuadroTexto">
          <a:extLst>
            <a:ext uri="{FF2B5EF4-FFF2-40B4-BE49-F238E27FC236}">
              <a16:creationId xmlns:a16="http://schemas.microsoft.com/office/drawing/2014/main" xmlns="" id="{36A251C2-3F4B-9E45-8140-DE43359A1CAB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1" name="19 CuadroTexto">
          <a:extLst>
            <a:ext uri="{FF2B5EF4-FFF2-40B4-BE49-F238E27FC236}">
              <a16:creationId xmlns:a16="http://schemas.microsoft.com/office/drawing/2014/main" xmlns="" id="{61687D0E-43BA-6543-A769-4BD378392D5D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2" name="22 CuadroTexto">
          <a:extLst>
            <a:ext uri="{FF2B5EF4-FFF2-40B4-BE49-F238E27FC236}">
              <a16:creationId xmlns:a16="http://schemas.microsoft.com/office/drawing/2014/main" xmlns="" id="{DD98C357-00A4-1E43-BF83-FDF51EF06347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3" name="23 CuadroTexto">
          <a:extLst>
            <a:ext uri="{FF2B5EF4-FFF2-40B4-BE49-F238E27FC236}">
              <a16:creationId xmlns:a16="http://schemas.microsoft.com/office/drawing/2014/main" xmlns="" id="{C02DBE68-0F66-1E49-9CB2-E0E810DFFE97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4" name="11 CuadroTexto">
          <a:extLst>
            <a:ext uri="{FF2B5EF4-FFF2-40B4-BE49-F238E27FC236}">
              <a16:creationId xmlns:a16="http://schemas.microsoft.com/office/drawing/2014/main" xmlns="" id="{8CF9549B-5890-6949-ADD7-81EF5A5134C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5" name="12 CuadroTexto">
          <a:extLst>
            <a:ext uri="{FF2B5EF4-FFF2-40B4-BE49-F238E27FC236}">
              <a16:creationId xmlns:a16="http://schemas.microsoft.com/office/drawing/2014/main" xmlns="" id="{FAF0B330-6F89-8D41-90CE-0A97F5FCA20F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6" name="8 CuadroTexto">
          <a:extLst>
            <a:ext uri="{FF2B5EF4-FFF2-40B4-BE49-F238E27FC236}">
              <a16:creationId xmlns:a16="http://schemas.microsoft.com/office/drawing/2014/main" xmlns="" id="{9C7EC488-85E1-3545-93E3-29A0523B5219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7" name="18 CuadroTexto">
          <a:extLst>
            <a:ext uri="{FF2B5EF4-FFF2-40B4-BE49-F238E27FC236}">
              <a16:creationId xmlns:a16="http://schemas.microsoft.com/office/drawing/2014/main" xmlns="" id="{FE75E26C-0A51-7D45-9B1E-FA8016B29941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8" name="19 CuadroTexto">
          <a:extLst>
            <a:ext uri="{FF2B5EF4-FFF2-40B4-BE49-F238E27FC236}">
              <a16:creationId xmlns:a16="http://schemas.microsoft.com/office/drawing/2014/main" xmlns="" id="{04404ED1-4334-1F42-B68A-DABAEA77310C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49" name="22 CuadroTexto">
          <a:extLst>
            <a:ext uri="{FF2B5EF4-FFF2-40B4-BE49-F238E27FC236}">
              <a16:creationId xmlns:a16="http://schemas.microsoft.com/office/drawing/2014/main" xmlns="" id="{138B9B3E-0A0A-2145-9677-EA1A5CBF9A5D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0" name="23 CuadroTexto">
          <a:extLst>
            <a:ext uri="{FF2B5EF4-FFF2-40B4-BE49-F238E27FC236}">
              <a16:creationId xmlns:a16="http://schemas.microsoft.com/office/drawing/2014/main" xmlns="" id="{5CE4C31E-2E78-034B-9905-3DA624EB427C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1" name="11 CuadroTexto">
          <a:extLst>
            <a:ext uri="{FF2B5EF4-FFF2-40B4-BE49-F238E27FC236}">
              <a16:creationId xmlns:a16="http://schemas.microsoft.com/office/drawing/2014/main" xmlns="" id="{1A741C74-35BD-FD4F-ADF0-84CA1D31AC0E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2" name="12 CuadroTexto">
          <a:extLst>
            <a:ext uri="{FF2B5EF4-FFF2-40B4-BE49-F238E27FC236}">
              <a16:creationId xmlns:a16="http://schemas.microsoft.com/office/drawing/2014/main" xmlns="" id="{375A58C0-F5D6-D946-B26C-709E28F85E08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3" name="8 CuadroTexto">
          <a:extLst>
            <a:ext uri="{FF2B5EF4-FFF2-40B4-BE49-F238E27FC236}">
              <a16:creationId xmlns:a16="http://schemas.microsoft.com/office/drawing/2014/main" xmlns="" id="{FC5E2322-9AD1-E148-821F-523C8CCA5970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4" name="18 CuadroTexto">
          <a:extLst>
            <a:ext uri="{FF2B5EF4-FFF2-40B4-BE49-F238E27FC236}">
              <a16:creationId xmlns:a16="http://schemas.microsoft.com/office/drawing/2014/main" xmlns="" id="{758A7EB4-FFBA-E74A-B8CB-7AD0AD5A263D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5" name="19 CuadroTexto">
          <a:extLst>
            <a:ext uri="{FF2B5EF4-FFF2-40B4-BE49-F238E27FC236}">
              <a16:creationId xmlns:a16="http://schemas.microsoft.com/office/drawing/2014/main" xmlns="" id="{A4E7C861-BE5B-5B42-B994-853B83589D14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6" name="22 CuadroTexto">
          <a:extLst>
            <a:ext uri="{FF2B5EF4-FFF2-40B4-BE49-F238E27FC236}">
              <a16:creationId xmlns:a16="http://schemas.microsoft.com/office/drawing/2014/main" xmlns="" id="{F097D6D7-CA0E-F64B-86F4-620E0A3D29F8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203200</xdr:colOff>
      <xdr:row>23</xdr:row>
      <xdr:rowOff>0</xdr:rowOff>
    </xdr:from>
    <xdr:ext cx="184731" cy="264560"/>
    <xdr:sp macro="" textlink="">
      <xdr:nvSpPr>
        <xdr:cNvPr id="57" name="23 CuadroTexto">
          <a:extLst>
            <a:ext uri="{FF2B5EF4-FFF2-40B4-BE49-F238E27FC236}">
              <a16:creationId xmlns:a16="http://schemas.microsoft.com/office/drawing/2014/main" xmlns="" id="{B2ACBDF1-9A06-C749-AC9C-1C347BD96484}"/>
            </a:ext>
          </a:extLst>
        </xdr:cNvPr>
        <xdr:cNvSpPr txBox="1"/>
      </xdr:nvSpPr>
      <xdr:spPr>
        <a:xfrm>
          <a:off x="5304367" y="10583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" name="11 CuadroTexto">
          <a:extLst>
            <a:ext uri="{FF2B5EF4-FFF2-40B4-BE49-F238E27FC236}">
              <a16:creationId xmlns:a16="http://schemas.microsoft.com/office/drawing/2014/main" xmlns="" id="{4AF97EF7-F8A3-CF49-BB66-246D47B68654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" name="12 CuadroTexto">
          <a:extLst>
            <a:ext uri="{FF2B5EF4-FFF2-40B4-BE49-F238E27FC236}">
              <a16:creationId xmlns:a16="http://schemas.microsoft.com/office/drawing/2014/main" xmlns="" id="{44253547-9F89-F546-B303-64E44889CE6C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" name="8 CuadroTexto">
          <a:extLst>
            <a:ext uri="{FF2B5EF4-FFF2-40B4-BE49-F238E27FC236}">
              <a16:creationId xmlns:a16="http://schemas.microsoft.com/office/drawing/2014/main" xmlns="" id="{A9EE77A7-D4A7-6A4B-A17B-CC2D7633EF37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" name="18 CuadroTexto">
          <a:extLst>
            <a:ext uri="{FF2B5EF4-FFF2-40B4-BE49-F238E27FC236}">
              <a16:creationId xmlns:a16="http://schemas.microsoft.com/office/drawing/2014/main" xmlns="" id="{1AA39E65-33FF-C947-9C66-3DE287A31A6A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6" name="19 CuadroTexto">
          <a:extLst>
            <a:ext uri="{FF2B5EF4-FFF2-40B4-BE49-F238E27FC236}">
              <a16:creationId xmlns:a16="http://schemas.microsoft.com/office/drawing/2014/main" xmlns="" id="{B05ECA8C-B4D8-5540-8B09-1BD7B6AAA02F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7" name="22 CuadroTexto">
          <a:extLst>
            <a:ext uri="{FF2B5EF4-FFF2-40B4-BE49-F238E27FC236}">
              <a16:creationId xmlns:a16="http://schemas.microsoft.com/office/drawing/2014/main" xmlns="" id="{327D58A8-BA9A-0F46-993B-05AD57520B72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8" name="23 CuadroTexto">
          <a:extLst>
            <a:ext uri="{FF2B5EF4-FFF2-40B4-BE49-F238E27FC236}">
              <a16:creationId xmlns:a16="http://schemas.microsoft.com/office/drawing/2014/main" xmlns="" id="{49BE6B2F-15D3-0942-96F3-9D0F6D0A3935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9" name="11 CuadroTexto">
          <a:extLst>
            <a:ext uri="{FF2B5EF4-FFF2-40B4-BE49-F238E27FC236}">
              <a16:creationId xmlns:a16="http://schemas.microsoft.com/office/drawing/2014/main" xmlns="" id="{BA52D401-06F5-594A-A437-5CFB155AAA96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0" name="12 CuadroTexto">
          <a:extLst>
            <a:ext uri="{FF2B5EF4-FFF2-40B4-BE49-F238E27FC236}">
              <a16:creationId xmlns:a16="http://schemas.microsoft.com/office/drawing/2014/main" xmlns="" id="{61F40C84-B22F-E045-B2DC-EE0BF0E5BA7C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xmlns="" id="{530AAF6B-9156-3943-806C-9B892F663CD0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2" name="18 CuadroTexto">
          <a:extLst>
            <a:ext uri="{FF2B5EF4-FFF2-40B4-BE49-F238E27FC236}">
              <a16:creationId xmlns:a16="http://schemas.microsoft.com/office/drawing/2014/main" xmlns="" id="{A5B560E8-6732-D948-BD24-51A84B03AAA8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3" name="19 CuadroTexto">
          <a:extLst>
            <a:ext uri="{FF2B5EF4-FFF2-40B4-BE49-F238E27FC236}">
              <a16:creationId xmlns:a16="http://schemas.microsoft.com/office/drawing/2014/main" xmlns="" id="{C71DD1D2-43F1-5341-AC10-D62749A41D78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4" name="22 CuadroTexto">
          <a:extLst>
            <a:ext uri="{FF2B5EF4-FFF2-40B4-BE49-F238E27FC236}">
              <a16:creationId xmlns:a16="http://schemas.microsoft.com/office/drawing/2014/main" xmlns="" id="{06A77A75-EB3B-C34F-A756-92896359C852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5" name="23 CuadroTexto">
          <a:extLst>
            <a:ext uri="{FF2B5EF4-FFF2-40B4-BE49-F238E27FC236}">
              <a16:creationId xmlns:a16="http://schemas.microsoft.com/office/drawing/2014/main" xmlns="" id="{EF7AB519-CA1E-294D-90D7-3A167B1A98DA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6" name="11 CuadroTexto">
          <a:extLst>
            <a:ext uri="{FF2B5EF4-FFF2-40B4-BE49-F238E27FC236}">
              <a16:creationId xmlns:a16="http://schemas.microsoft.com/office/drawing/2014/main" xmlns="" id="{3828C0B2-3105-7E45-A88F-17FD1078F591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7" name="12 CuadroTexto">
          <a:extLst>
            <a:ext uri="{FF2B5EF4-FFF2-40B4-BE49-F238E27FC236}">
              <a16:creationId xmlns:a16="http://schemas.microsoft.com/office/drawing/2014/main" xmlns="" id="{653F590E-C1D5-5D4D-A666-546BC77A6D1B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8" name="8 CuadroTexto">
          <a:extLst>
            <a:ext uri="{FF2B5EF4-FFF2-40B4-BE49-F238E27FC236}">
              <a16:creationId xmlns:a16="http://schemas.microsoft.com/office/drawing/2014/main" xmlns="" id="{97FA00B8-3A1A-6E49-934C-AD61890EF6C4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19" name="18 CuadroTexto">
          <a:extLst>
            <a:ext uri="{FF2B5EF4-FFF2-40B4-BE49-F238E27FC236}">
              <a16:creationId xmlns:a16="http://schemas.microsoft.com/office/drawing/2014/main" xmlns="" id="{ECEE0EB2-8E71-D443-A9B9-2084578F771B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0" name="19 CuadroTexto">
          <a:extLst>
            <a:ext uri="{FF2B5EF4-FFF2-40B4-BE49-F238E27FC236}">
              <a16:creationId xmlns:a16="http://schemas.microsoft.com/office/drawing/2014/main" xmlns="" id="{479AA6CA-610C-C746-BB7A-7C5B376D87DA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1" name="22 CuadroTexto">
          <a:extLst>
            <a:ext uri="{FF2B5EF4-FFF2-40B4-BE49-F238E27FC236}">
              <a16:creationId xmlns:a16="http://schemas.microsoft.com/office/drawing/2014/main" xmlns="" id="{9751F946-7C57-CC47-9C39-904F311D0AD2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2" name="23 CuadroTexto">
          <a:extLst>
            <a:ext uri="{FF2B5EF4-FFF2-40B4-BE49-F238E27FC236}">
              <a16:creationId xmlns:a16="http://schemas.microsoft.com/office/drawing/2014/main" xmlns="" id="{6CB015E7-3600-FD46-9A01-FDB3E2F2E924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3" name="11 CuadroTexto">
          <a:extLst>
            <a:ext uri="{FF2B5EF4-FFF2-40B4-BE49-F238E27FC236}">
              <a16:creationId xmlns:a16="http://schemas.microsoft.com/office/drawing/2014/main" xmlns="" id="{41CEB17E-3D51-B94A-8885-71728267898A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4" name="12 CuadroTexto">
          <a:extLst>
            <a:ext uri="{FF2B5EF4-FFF2-40B4-BE49-F238E27FC236}">
              <a16:creationId xmlns:a16="http://schemas.microsoft.com/office/drawing/2014/main" xmlns="" id="{633D823B-8CCE-E246-82EE-33AD64D8CF08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5" name="8 CuadroTexto">
          <a:extLst>
            <a:ext uri="{FF2B5EF4-FFF2-40B4-BE49-F238E27FC236}">
              <a16:creationId xmlns:a16="http://schemas.microsoft.com/office/drawing/2014/main" xmlns="" id="{7B694CB5-9257-764D-A4B5-B0DC3D99F8FC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6" name="18 CuadroTexto">
          <a:extLst>
            <a:ext uri="{FF2B5EF4-FFF2-40B4-BE49-F238E27FC236}">
              <a16:creationId xmlns:a16="http://schemas.microsoft.com/office/drawing/2014/main" xmlns="" id="{F50C5A82-83AD-C14E-915C-32DE4C19FC2D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7" name="19 CuadroTexto">
          <a:extLst>
            <a:ext uri="{FF2B5EF4-FFF2-40B4-BE49-F238E27FC236}">
              <a16:creationId xmlns:a16="http://schemas.microsoft.com/office/drawing/2014/main" xmlns="" id="{BA1DFDEF-3ABF-4146-905D-8A4AE9121BDF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8" name="22 CuadroTexto">
          <a:extLst>
            <a:ext uri="{FF2B5EF4-FFF2-40B4-BE49-F238E27FC236}">
              <a16:creationId xmlns:a16="http://schemas.microsoft.com/office/drawing/2014/main" xmlns="" id="{F53965DC-6D12-3247-B353-02A6E758994D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29" name="23 CuadroTexto">
          <a:extLst>
            <a:ext uri="{FF2B5EF4-FFF2-40B4-BE49-F238E27FC236}">
              <a16:creationId xmlns:a16="http://schemas.microsoft.com/office/drawing/2014/main" xmlns="" id="{7CFFA5D5-EDE8-FC4C-8DDC-4B008E41940E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0" name="11 CuadroTexto">
          <a:extLst>
            <a:ext uri="{FF2B5EF4-FFF2-40B4-BE49-F238E27FC236}">
              <a16:creationId xmlns:a16="http://schemas.microsoft.com/office/drawing/2014/main" xmlns="" id="{F563DF23-2817-6B4A-8356-3FA645FC7938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1" name="12 CuadroTexto">
          <a:extLst>
            <a:ext uri="{FF2B5EF4-FFF2-40B4-BE49-F238E27FC236}">
              <a16:creationId xmlns:a16="http://schemas.microsoft.com/office/drawing/2014/main" xmlns="" id="{074EC98B-8F34-9A47-AFF0-052CF34252BA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2" name="8 CuadroTexto">
          <a:extLst>
            <a:ext uri="{FF2B5EF4-FFF2-40B4-BE49-F238E27FC236}">
              <a16:creationId xmlns:a16="http://schemas.microsoft.com/office/drawing/2014/main" xmlns="" id="{7884D691-C583-6944-876D-8A2D86DD800F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3" name="18 CuadroTexto">
          <a:extLst>
            <a:ext uri="{FF2B5EF4-FFF2-40B4-BE49-F238E27FC236}">
              <a16:creationId xmlns:a16="http://schemas.microsoft.com/office/drawing/2014/main" xmlns="" id="{BAC8472D-2839-D347-8277-A07BEA2C1E3B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4" name="19 CuadroTexto">
          <a:extLst>
            <a:ext uri="{FF2B5EF4-FFF2-40B4-BE49-F238E27FC236}">
              <a16:creationId xmlns:a16="http://schemas.microsoft.com/office/drawing/2014/main" xmlns="" id="{6B06BABC-F7B2-4040-8380-A23E25DA50FA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5" name="22 CuadroTexto">
          <a:extLst>
            <a:ext uri="{FF2B5EF4-FFF2-40B4-BE49-F238E27FC236}">
              <a16:creationId xmlns:a16="http://schemas.microsoft.com/office/drawing/2014/main" xmlns="" id="{E4557550-7063-B446-A875-33AF4468F2C7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6" name="23 CuadroTexto">
          <a:extLst>
            <a:ext uri="{FF2B5EF4-FFF2-40B4-BE49-F238E27FC236}">
              <a16:creationId xmlns:a16="http://schemas.microsoft.com/office/drawing/2014/main" xmlns="" id="{E56BDB8A-CB78-044F-B0E9-C0DF2FE2FB27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7" name="11 CuadroTexto">
          <a:extLst>
            <a:ext uri="{FF2B5EF4-FFF2-40B4-BE49-F238E27FC236}">
              <a16:creationId xmlns:a16="http://schemas.microsoft.com/office/drawing/2014/main" xmlns="" id="{20F2800E-52BA-584F-BE3C-7172C6220443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8" name="12 CuadroTexto">
          <a:extLst>
            <a:ext uri="{FF2B5EF4-FFF2-40B4-BE49-F238E27FC236}">
              <a16:creationId xmlns:a16="http://schemas.microsoft.com/office/drawing/2014/main" xmlns="" id="{CD8A922E-77CB-2B4C-8237-4DD18CEE82BC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39" name="8 CuadroTexto">
          <a:extLst>
            <a:ext uri="{FF2B5EF4-FFF2-40B4-BE49-F238E27FC236}">
              <a16:creationId xmlns:a16="http://schemas.microsoft.com/office/drawing/2014/main" xmlns="" id="{55C5DEEB-8AFD-5742-82D0-2440633E1092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0" name="18 CuadroTexto">
          <a:extLst>
            <a:ext uri="{FF2B5EF4-FFF2-40B4-BE49-F238E27FC236}">
              <a16:creationId xmlns:a16="http://schemas.microsoft.com/office/drawing/2014/main" xmlns="" id="{6D0D12DA-DC1A-2C46-9AC8-E95DBD74BC66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1" name="19 CuadroTexto">
          <a:extLst>
            <a:ext uri="{FF2B5EF4-FFF2-40B4-BE49-F238E27FC236}">
              <a16:creationId xmlns:a16="http://schemas.microsoft.com/office/drawing/2014/main" xmlns="" id="{C4856B73-A4E7-A649-A61B-2AC5C522732F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2" name="22 CuadroTexto">
          <a:extLst>
            <a:ext uri="{FF2B5EF4-FFF2-40B4-BE49-F238E27FC236}">
              <a16:creationId xmlns:a16="http://schemas.microsoft.com/office/drawing/2014/main" xmlns="" id="{AC0E43F2-95FC-2840-A413-26F10E5BE9B2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3" name="23 CuadroTexto">
          <a:extLst>
            <a:ext uri="{FF2B5EF4-FFF2-40B4-BE49-F238E27FC236}">
              <a16:creationId xmlns:a16="http://schemas.microsoft.com/office/drawing/2014/main" xmlns="" id="{3E6217E1-AB6D-A543-B386-03F36206FDA8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4" name="11 CuadroTexto">
          <a:extLst>
            <a:ext uri="{FF2B5EF4-FFF2-40B4-BE49-F238E27FC236}">
              <a16:creationId xmlns:a16="http://schemas.microsoft.com/office/drawing/2014/main" xmlns="" id="{F9877F89-A4ED-324F-B08D-3CAF1EBC1899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5" name="12 CuadroTexto">
          <a:extLst>
            <a:ext uri="{FF2B5EF4-FFF2-40B4-BE49-F238E27FC236}">
              <a16:creationId xmlns:a16="http://schemas.microsoft.com/office/drawing/2014/main" xmlns="" id="{827D3F36-CB66-1D44-BE67-E2D11855EEF0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6" name="8 CuadroTexto">
          <a:extLst>
            <a:ext uri="{FF2B5EF4-FFF2-40B4-BE49-F238E27FC236}">
              <a16:creationId xmlns:a16="http://schemas.microsoft.com/office/drawing/2014/main" xmlns="" id="{E8410924-ACAC-0E49-8782-91B37F61ACCE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7" name="18 CuadroTexto">
          <a:extLst>
            <a:ext uri="{FF2B5EF4-FFF2-40B4-BE49-F238E27FC236}">
              <a16:creationId xmlns:a16="http://schemas.microsoft.com/office/drawing/2014/main" xmlns="" id="{9C638D54-F1CC-4C46-8D8B-6689AD8540E9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8" name="19 CuadroTexto">
          <a:extLst>
            <a:ext uri="{FF2B5EF4-FFF2-40B4-BE49-F238E27FC236}">
              <a16:creationId xmlns:a16="http://schemas.microsoft.com/office/drawing/2014/main" xmlns="" id="{86A93EEF-9E85-124D-B113-02C6D1CE212B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49" name="22 CuadroTexto">
          <a:extLst>
            <a:ext uri="{FF2B5EF4-FFF2-40B4-BE49-F238E27FC236}">
              <a16:creationId xmlns:a16="http://schemas.microsoft.com/office/drawing/2014/main" xmlns="" id="{0F38CA68-1403-8C42-BF5E-9E9199D94E34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0" name="23 CuadroTexto">
          <a:extLst>
            <a:ext uri="{FF2B5EF4-FFF2-40B4-BE49-F238E27FC236}">
              <a16:creationId xmlns:a16="http://schemas.microsoft.com/office/drawing/2014/main" xmlns="" id="{AA03E821-9A9E-0C47-BFA7-FF2C90FFD3EE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1" name="11 CuadroTexto">
          <a:extLst>
            <a:ext uri="{FF2B5EF4-FFF2-40B4-BE49-F238E27FC236}">
              <a16:creationId xmlns:a16="http://schemas.microsoft.com/office/drawing/2014/main" xmlns="" id="{A5796775-8E96-2F43-842C-3631112B7DE8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2" name="12 CuadroTexto">
          <a:extLst>
            <a:ext uri="{FF2B5EF4-FFF2-40B4-BE49-F238E27FC236}">
              <a16:creationId xmlns:a16="http://schemas.microsoft.com/office/drawing/2014/main" xmlns="" id="{F4D5A512-1CB4-C341-814E-36777F33E0EC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3" name="8 CuadroTexto">
          <a:extLst>
            <a:ext uri="{FF2B5EF4-FFF2-40B4-BE49-F238E27FC236}">
              <a16:creationId xmlns:a16="http://schemas.microsoft.com/office/drawing/2014/main" xmlns="" id="{222B3E28-45F4-EF4E-BAE7-E10D18D3844D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4" name="18 CuadroTexto">
          <a:extLst>
            <a:ext uri="{FF2B5EF4-FFF2-40B4-BE49-F238E27FC236}">
              <a16:creationId xmlns:a16="http://schemas.microsoft.com/office/drawing/2014/main" xmlns="" id="{ED0FD475-5994-004D-8E00-B646009B1E79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5" name="19 CuadroTexto">
          <a:extLst>
            <a:ext uri="{FF2B5EF4-FFF2-40B4-BE49-F238E27FC236}">
              <a16:creationId xmlns:a16="http://schemas.microsoft.com/office/drawing/2014/main" xmlns="" id="{6B2641FC-8723-9F44-A267-442448336385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6" name="22 CuadroTexto">
          <a:extLst>
            <a:ext uri="{FF2B5EF4-FFF2-40B4-BE49-F238E27FC236}">
              <a16:creationId xmlns:a16="http://schemas.microsoft.com/office/drawing/2014/main" xmlns="" id="{B23B99BD-4C64-A841-9310-EC2CF380FA2E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  <xdr:oneCellAnchor>
    <xdr:from>
      <xdr:col>2</xdr:col>
      <xdr:colOff>190500</xdr:colOff>
      <xdr:row>34</xdr:row>
      <xdr:rowOff>0</xdr:rowOff>
    </xdr:from>
    <xdr:ext cx="235876" cy="293643"/>
    <xdr:sp macro="" textlink="">
      <xdr:nvSpPr>
        <xdr:cNvPr id="57" name="23 CuadroTexto">
          <a:extLst>
            <a:ext uri="{FF2B5EF4-FFF2-40B4-BE49-F238E27FC236}">
              <a16:creationId xmlns:a16="http://schemas.microsoft.com/office/drawing/2014/main" xmlns="" id="{AB1F9861-C355-6B4E-B269-EEFA35B9E28E}"/>
            </a:ext>
          </a:extLst>
        </xdr:cNvPr>
        <xdr:cNvSpPr txBox="1"/>
      </xdr:nvSpPr>
      <xdr:spPr>
        <a:xfrm>
          <a:off x="4975225" y="15897225"/>
          <a:ext cx="211047" cy="2802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3"/>
  </sheetPr>
  <dimension ref="A1:BA155"/>
  <sheetViews>
    <sheetView showGridLines="0" topLeftCell="A128" zoomScale="60" zoomScaleNormal="60" workbookViewId="0">
      <selection activeCell="A133" sqref="A133:AS145"/>
    </sheetView>
  </sheetViews>
  <sheetFormatPr baseColWidth="10" defaultColWidth="11.42578125" defaultRowHeight="15" x14ac:dyDescent="0.2"/>
  <cols>
    <col min="1" max="1" width="4" style="8" customWidth="1"/>
    <col min="2" max="2" width="55.42578125" style="1" customWidth="1"/>
    <col min="3" max="3" width="4.85546875" style="1" customWidth="1"/>
    <col min="4" max="4" width="14.42578125" style="1" customWidth="1"/>
    <col min="5" max="5" width="8.28515625" style="1" customWidth="1"/>
    <col min="6" max="6" width="8.42578125" style="1" customWidth="1"/>
    <col min="7" max="7" width="13.42578125" style="1" customWidth="1"/>
    <col min="8" max="8" width="8.42578125" style="1" customWidth="1"/>
    <col min="9" max="9" width="13.28515625" style="1" customWidth="1"/>
    <col min="10" max="10" width="11.28515625" style="1" customWidth="1"/>
    <col min="11" max="11" width="13.7109375" style="1" customWidth="1"/>
    <col min="12" max="12" width="10" style="1" customWidth="1"/>
    <col min="13" max="13" width="14.140625" style="1" customWidth="1"/>
    <col min="14" max="14" width="9.28515625" style="1" customWidth="1"/>
    <col min="15" max="15" width="15.7109375" style="1" customWidth="1"/>
    <col min="16" max="16" width="9.42578125" style="1" customWidth="1"/>
    <col min="17" max="17" width="14.85546875" style="1" customWidth="1"/>
    <col min="18" max="18" width="9.28515625" style="1" customWidth="1"/>
    <col min="19" max="19" width="14" style="1" customWidth="1"/>
    <col min="20" max="20" width="9.7109375" style="1" customWidth="1"/>
    <col min="21" max="21" width="14.7109375" style="1" customWidth="1"/>
    <col min="22" max="22" width="8.28515625" style="1" customWidth="1"/>
    <col min="23" max="23" width="14.7109375" style="1" customWidth="1"/>
    <col min="24" max="24" width="8.42578125" style="1" customWidth="1"/>
    <col min="25" max="25" width="15.42578125" style="1" customWidth="1"/>
    <col min="26" max="26" width="9.42578125" style="1" customWidth="1"/>
    <col min="27" max="27" width="15.42578125" style="1" customWidth="1"/>
    <col min="28" max="28" width="8.42578125" style="1" customWidth="1"/>
    <col min="29" max="29" width="15.28515625" style="1" customWidth="1"/>
    <col min="30" max="30" width="9.28515625" style="1" customWidth="1"/>
    <col min="31" max="31" width="15.42578125" style="1" customWidth="1"/>
    <col min="32" max="32" width="10.42578125" style="1" customWidth="1"/>
    <col min="33" max="33" width="16" style="1" customWidth="1"/>
    <col min="34" max="34" width="12.7109375" style="1" customWidth="1"/>
    <col min="35" max="35" width="16.28515625" style="1" customWidth="1"/>
    <col min="36" max="36" width="14.7109375" style="1" customWidth="1"/>
    <col min="37" max="37" width="16.28515625" style="1" customWidth="1"/>
    <col min="38" max="38" width="15.42578125" style="1" customWidth="1"/>
    <col min="39" max="39" width="18.7109375" style="1" customWidth="1"/>
    <col min="40" max="40" width="14.42578125" style="1" customWidth="1"/>
    <col min="41" max="41" width="16.85546875" style="1" customWidth="1"/>
    <col min="42" max="42" width="14.140625" style="1" customWidth="1"/>
    <col min="43" max="43" width="17.140625" style="1" customWidth="1"/>
    <col min="44" max="44" width="13.42578125" style="1" customWidth="1"/>
    <col min="45" max="45" width="17.85546875" style="1" customWidth="1"/>
    <col min="46" max="16384" width="11.42578125" style="1"/>
  </cols>
  <sheetData>
    <row r="1" spans="1:50" ht="69" customHeight="1" x14ac:dyDescent="0.2">
      <c r="A1" s="190"/>
      <c r="C1" s="190"/>
      <c r="D1" s="190"/>
      <c r="E1" s="190"/>
      <c r="F1" s="315" t="s">
        <v>44</v>
      </c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315" t="s">
        <v>44</v>
      </c>
      <c r="AM1" s="315"/>
      <c r="AN1" s="315"/>
      <c r="AO1" s="315"/>
      <c r="AP1" s="315"/>
      <c r="AQ1" s="315"/>
      <c r="AR1" s="315"/>
      <c r="AS1" s="315"/>
      <c r="AT1" s="190"/>
      <c r="AU1" s="190"/>
      <c r="AV1" s="190"/>
      <c r="AW1" s="190"/>
      <c r="AX1" s="190"/>
    </row>
    <row r="2" spans="1:50" ht="23.25" customHeight="1" x14ac:dyDescent="0.2">
      <c r="A2" s="191"/>
      <c r="B2" s="191" t="s">
        <v>9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72"/>
      <c r="AO2" s="172"/>
      <c r="AP2" s="172"/>
      <c r="AQ2" s="172"/>
      <c r="AR2" s="172"/>
      <c r="AS2" s="172"/>
    </row>
    <row r="3" spans="1:50" ht="166.5" customHeight="1" x14ac:dyDescent="0.2">
      <c r="A3" s="177"/>
      <c r="B3" s="178" t="s">
        <v>136</v>
      </c>
      <c r="C3" s="172"/>
      <c r="D3" s="172"/>
      <c r="E3" s="172"/>
      <c r="F3" s="303" t="s">
        <v>133</v>
      </c>
      <c r="G3" s="304"/>
      <c r="H3" s="303" t="s">
        <v>138</v>
      </c>
      <c r="I3" s="304"/>
      <c r="J3" s="303" t="s">
        <v>130</v>
      </c>
      <c r="K3" s="304"/>
      <c r="L3" s="303" t="s">
        <v>40</v>
      </c>
      <c r="M3" s="304"/>
      <c r="N3" s="303" t="s">
        <v>41</v>
      </c>
      <c r="O3" s="304"/>
      <c r="P3" s="305" t="s">
        <v>42</v>
      </c>
      <c r="Q3" s="306"/>
      <c r="R3" s="303" t="s">
        <v>43</v>
      </c>
      <c r="S3" s="304"/>
      <c r="T3" s="303" t="s">
        <v>22</v>
      </c>
      <c r="U3" s="304"/>
      <c r="V3" s="307" t="s">
        <v>45</v>
      </c>
      <c r="W3" s="308"/>
      <c r="X3" s="300" t="s">
        <v>47</v>
      </c>
      <c r="Y3" s="301"/>
      <c r="Z3" s="309" t="s">
        <v>48</v>
      </c>
      <c r="AA3" s="310"/>
      <c r="AB3" s="294" t="s">
        <v>49</v>
      </c>
      <c r="AC3" s="295"/>
      <c r="AD3" s="298" t="s">
        <v>50</v>
      </c>
      <c r="AE3" s="299"/>
      <c r="AF3" s="300" t="s">
        <v>37</v>
      </c>
      <c r="AG3" s="301"/>
      <c r="AH3" s="298" t="s">
        <v>38</v>
      </c>
      <c r="AI3" s="299"/>
      <c r="AJ3" s="294" t="s">
        <v>39</v>
      </c>
      <c r="AK3" s="295"/>
      <c r="AL3" s="296" t="s">
        <v>12</v>
      </c>
      <c r="AM3" s="297"/>
      <c r="AN3" s="296" t="s">
        <v>16</v>
      </c>
      <c r="AO3" s="297"/>
      <c r="AP3" s="296" t="s">
        <v>17</v>
      </c>
      <c r="AQ3" s="297"/>
      <c r="AR3" s="296" t="s">
        <v>18</v>
      </c>
      <c r="AS3" s="297"/>
    </row>
    <row r="4" spans="1:50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7" t="s">
        <v>4</v>
      </c>
      <c r="I4" s="56" t="s">
        <v>0</v>
      </c>
      <c r="J4" s="57" t="s">
        <v>4</v>
      </c>
      <c r="K4" s="56" t="s">
        <v>0</v>
      </c>
      <c r="L4" s="57" t="s">
        <v>4</v>
      </c>
      <c r="M4" s="56" t="s">
        <v>0</v>
      </c>
      <c r="N4" s="57" t="s">
        <v>4</v>
      </c>
      <c r="O4" s="56" t="s">
        <v>0</v>
      </c>
      <c r="P4" s="60" t="s">
        <v>4</v>
      </c>
      <c r="Q4" s="61" t="s">
        <v>0</v>
      </c>
      <c r="R4" s="57" t="s">
        <v>4</v>
      </c>
      <c r="S4" s="56" t="s">
        <v>0</v>
      </c>
      <c r="T4" s="62" t="s">
        <v>4</v>
      </c>
      <c r="U4" s="63" t="s">
        <v>0</v>
      </c>
      <c r="V4" s="64" t="s">
        <v>4</v>
      </c>
      <c r="W4" s="65" t="s">
        <v>0</v>
      </c>
      <c r="X4" s="66" t="s">
        <v>4</v>
      </c>
      <c r="Y4" s="67" t="s">
        <v>0</v>
      </c>
      <c r="Z4" s="68" t="s">
        <v>4</v>
      </c>
      <c r="AA4" s="69" t="s">
        <v>0</v>
      </c>
      <c r="AB4" s="60" t="s">
        <v>4</v>
      </c>
      <c r="AC4" s="61" t="s">
        <v>0</v>
      </c>
      <c r="AD4" s="58" t="s">
        <v>4</v>
      </c>
      <c r="AE4" s="59" t="s">
        <v>0</v>
      </c>
      <c r="AF4" s="66" t="s">
        <v>4</v>
      </c>
      <c r="AG4" s="67" t="s">
        <v>0</v>
      </c>
      <c r="AH4" s="58" t="s">
        <v>4</v>
      </c>
      <c r="AI4" s="59" t="s">
        <v>0</v>
      </c>
      <c r="AJ4" s="60" t="s">
        <v>4</v>
      </c>
      <c r="AK4" s="61" t="s">
        <v>0</v>
      </c>
      <c r="AL4" s="57" t="s">
        <v>4</v>
      </c>
      <c r="AM4" s="56" t="s">
        <v>0</v>
      </c>
      <c r="AN4" s="57" t="s">
        <v>4</v>
      </c>
      <c r="AO4" s="56" t="s">
        <v>0</v>
      </c>
      <c r="AP4" s="57" t="s">
        <v>4</v>
      </c>
      <c r="AQ4" s="56" t="s">
        <v>0</v>
      </c>
      <c r="AR4" s="57" t="s">
        <v>4</v>
      </c>
      <c r="AS4" s="56" t="s">
        <v>0</v>
      </c>
    </row>
    <row r="5" spans="1:50" ht="66" customHeight="1" x14ac:dyDescent="0.2">
      <c r="A5" s="124">
        <v>1</v>
      </c>
      <c r="B5" s="102" t="s">
        <v>13</v>
      </c>
      <c r="C5" s="103" t="s">
        <v>1</v>
      </c>
      <c r="D5" s="51">
        <v>17</v>
      </c>
      <c r="E5" s="103">
        <v>4</v>
      </c>
      <c r="F5" s="20">
        <v>320000</v>
      </c>
      <c r="G5" s="166">
        <f>ROUND(D5*E5*F5,0)</f>
        <v>21760000</v>
      </c>
      <c r="H5" s="20">
        <v>612439</v>
      </c>
      <c r="I5" s="166">
        <f>ROUND(D5*E5*H5,0)</f>
        <v>41645852</v>
      </c>
      <c r="J5" s="20">
        <v>275000</v>
      </c>
      <c r="K5" s="166">
        <f>ROUND(D5*E5*J5,0)</f>
        <v>18700000</v>
      </c>
      <c r="L5" s="20">
        <v>250000</v>
      </c>
      <c r="M5" s="20">
        <f>L5*E5*D5</f>
        <v>17000000</v>
      </c>
      <c r="N5" s="167">
        <v>280000</v>
      </c>
      <c r="O5" s="167">
        <f>D5*E5*N5</f>
        <v>19040000</v>
      </c>
      <c r="P5" s="20">
        <v>300000</v>
      </c>
      <c r="Q5" s="23">
        <f>D5*E5*P5</f>
        <v>20400000</v>
      </c>
      <c r="R5" s="36">
        <v>310000</v>
      </c>
      <c r="S5" s="20">
        <f>D5*E5*R5</f>
        <v>21080000</v>
      </c>
      <c r="T5" s="40">
        <v>315000</v>
      </c>
      <c r="U5" s="36">
        <f>D5*E5*T5</f>
        <v>21420000</v>
      </c>
      <c r="V5" s="132">
        <f>308440*1.0317*1.0373*1.0244*1.0194*1.0366*1.0677*1.0575</f>
        <v>403444.24540412962</v>
      </c>
      <c r="W5" s="132">
        <f>D5*E5*V5</f>
        <v>27434208.687480815</v>
      </c>
      <c r="X5" s="97">
        <f>309600*1.0373*1.0244*1.0194*1.0366*1.0677*1.0575</f>
        <v>392518.70037386671</v>
      </c>
      <c r="Y5" s="97">
        <f>D5*E5*X5</f>
        <v>26691271.625422936</v>
      </c>
      <c r="Z5" s="98">
        <f>227519*1.0244*1.0194*1.0366*1.0677*1.0575</f>
        <v>278081.88107604993</v>
      </c>
      <c r="AA5" s="98">
        <f>D5*E5*Z5</f>
        <v>18909567.913171396</v>
      </c>
      <c r="AB5" s="23">
        <f>230836*1.0194*1.0366*1.0677*1.0575</f>
        <v>275415.88972096186</v>
      </c>
      <c r="AC5" s="23">
        <f>D5*E5*AB5</f>
        <v>18728280.501025405</v>
      </c>
      <c r="AD5" s="30">
        <f>240375*1.0194*1.0366*1.0677*1.0575</f>
        <v>286797.09617077152</v>
      </c>
      <c r="AE5" s="30">
        <f>D5*E5*AD5</f>
        <v>19502202.539612465</v>
      </c>
      <c r="AF5" s="97">
        <f>249866*1.0366*1.0677*1.0575</f>
        <v>292447.55021151697</v>
      </c>
      <c r="AG5" s="97">
        <f>D5*E5*AF5</f>
        <v>19886433.414383154</v>
      </c>
      <c r="AH5" s="30">
        <f>247151*1.0677*1.0575</f>
        <v>279056.40225525002</v>
      </c>
      <c r="AI5" s="30">
        <f>D5*E5*AH5</f>
        <v>18975835.353357002</v>
      </c>
      <c r="AJ5" s="23">
        <f>301528*1.0575</f>
        <v>318865.86000000004</v>
      </c>
      <c r="AK5" s="23">
        <f>D5*E5*AJ5</f>
        <v>21682878.480000004</v>
      </c>
      <c r="AL5" s="17">
        <f>ROUND((AVERAGE(F5,H5,J5,L5,N5,P5,R5,T5,V5,X5,Z5,AB5,AD5,AF5,AH5,AJ5)),0)</f>
        <v>324317</v>
      </c>
      <c r="AM5" s="17">
        <f>ROUND((D5*E5*AL5),0)</f>
        <v>22053556</v>
      </c>
      <c r="AN5" s="17">
        <f>ROUND((MEDIAN(F5,H5,J5,N5,L5,P5,R5,T5,V5,X5,Z5,AB5,AD5,AF5,AH5,AJ5)),0)</f>
        <v>296224</v>
      </c>
      <c r="AO5" s="17">
        <f>ROUND((D5*E5*AN5),0)</f>
        <v>20143232</v>
      </c>
      <c r="AP5" s="17">
        <f>ROUND((HARMEAN(F5,H5,J5,L5,N5,P5,R5,T5,V5,X5,Z5,AB5,AD5,AF5,AH5,AJ5)),0)</f>
        <v>310207</v>
      </c>
      <c r="AQ5" s="17">
        <f>ROUND((D5*E5*AP5),0)</f>
        <v>21094076</v>
      </c>
      <c r="AR5" s="17">
        <f>ROUND((GEOMEAN(F5,H5,J5,L5,N5,P5,R5,T5,V5,X5,Z5,AB5,AD5,AF5,AH5,AJ5)),0)</f>
        <v>316235</v>
      </c>
      <c r="AS5" s="17">
        <f>ROUND((D5*E5*AR5),0)</f>
        <v>21503980</v>
      </c>
      <c r="AT5" s="17"/>
    </row>
    <row r="6" spans="1:50" ht="85.5" customHeight="1" x14ac:dyDescent="0.2">
      <c r="A6" s="124">
        <v>2</v>
      </c>
      <c r="B6" s="102" t="s">
        <v>14</v>
      </c>
      <c r="C6" s="103" t="s">
        <v>2</v>
      </c>
      <c r="D6" s="104">
        <v>3000</v>
      </c>
      <c r="E6" s="103">
        <v>4</v>
      </c>
      <c r="F6" s="20">
        <v>2100</v>
      </c>
      <c r="G6" s="166">
        <f>ROUND(D6*E6*F6,0)</f>
        <v>25200000</v>
      </c>
      <c r="H6" s="20">
        <v>6500</v>
      </c>
      <c r="I6" s="166">
        <f>ROUND(D6*E6*H6,0)</f>
        <v>78000000</v>
      </c>
      <c r="J6" s="20">
        <v>1550</v>
      </c>
      <c r="K6" s="166">
        <f>ROUND(D6*E6*J6,0)</f>
        <v>18600000</v>
      </c>
      <c r="L6" s="20">
        <v>1800</v>
      </c>
      <c r="M6" s="20">
        <f>L6*E6*D6</f>
        <v>21600000</v>
      </c>
      <c r="N6" s="167">
        <v>2100</v>
      </c>
      <c r="O6" s="167">
        <f>D6*E6*N6</f>
        <v>25200000</v>
      </c>
      <c r="P6" s="20">
        <v>2950</v>
      </c>
      <c r="Q6" s="23">
        <f>D6*E6*P6</f>
        <v>35400000</v>
      </c>
      <c r="R6" s="36">
        <v>2700</v>
      </c>
      <c r="S6" s="20">
        <f>D6*E6*R6</f>
        <v>32400000</v>
      </c>
      <c r="T6" s="40">
        <v>2800</v>
      </c>
      <c r="U6" s="36">
        <f>D6*E6*T6</f>
        <v>33600000</v>
      </c>
      <c r="V6" s="132">
        <f>1294*1.0317*1.0373*1.0244*1.0194*1.0366*1.0677*1.0575</f>
        <v>1692.5718245134997</v>
      </c>
      <c r="W6" s="132">
        <f>D6*E6*V6</f>
        <v>20310861.894161996</v>
      </c>
      <c r="X6" s="97">
        <f>1466*1.0373*1.0244*1.0194*1.0366*1.0677*1.0575</f>
        <v>1858.6318305816817</v>
      </c>
      <c r="Y6" s="97">
        <f>D6*E6*X6</f>
        <v>22303581.966980182</v>
      </c>
      <c r="Z6" s="98">
        <f>1645*1.0244*1.0194*1.0366*1.0677*1.0575</f>
        <v>2010.5779929153264</v>
      </c>
      <c r="AA6" s="98">
        <f>D6*E6*Z6</f>
        <v>24126935.914983917</v>
      </c>
      <c r="AB6" s="23">
        <f>1295*1.0194*1.0366*1.0677*1.0575</f>
        <v>1545.0951202959923</v>
      </c>
      <c r="AC6" s="23">
        <f>D6*E6*AB6</f>
        <v>18541141.443551905</v>
      </c>
      <c r="AD6" s="30">
        <f>1053*1.0194*1.0366*1.0677*1.0575</f>
        <v>1256.3591982020694</v>
      </c>
      <c r="AE6" s="30">
        <f>D6*E6*AD6</f>
        <v>15076310.378424833</v>
      </c>
      <c r="AF6" s="97">
        <f>1507*1.0366*1.0677*1.0575</f>
        <v>1763.8192397875503</v>
      </c>
      <c r="AG6" s="97">
        <f>D6*E6*AF6</f>
        <v>21165830.877450604</v>
      </c>
      <c r="AH6" s="30">
        <f>1607*1.0677*1.0575</f>
        <v>1814.4520492500003</v>
      </c>
      <c r="AI6" s="30">
        <f>D6*E6*AH6</f>
        <v>21773424.591000002</v>
      </c>
      <c r="AJ6" s="23">
        <f>1697*1.0575</f>
        <v>1794.5775000000001</v>
      </c>
      <c r="AK6" s="23">
        <f>D6*E6*AJ6</f>
        <v>21534930</v>
      </c>
      <c r="AL6" s="17">
        <f>ROUND((AVERAGE(F6,H6,J6,L6,N6,P6,R6,T6,V6,X6,Z6,AB6,AD6,AF6,AH6,AJ6)),0)</f>
        <v>2265</v>
      </c>
      <c r="AM6" s="17">
        <f>ROUND((D6*E6*AL6),0)</f>
        <v>27180000</v>
      </c>
      <c r="AN6" s="17">
        <f>ROUND((MEDIAN(F6,H6,J6,N6,L6,P6,R6,T6,V6,X6,Z6,AB6,AD6,AF6,AH6,AJ6)),0)</f>
        <v>1837</v>
      </c>
      <c r="AO6" s="17">
        <f>ROUND((D6*E6*AN6),0)</f>
        <v>22044000</v>
      </c>
      <c r="AP6" s="17">
        <f>ROUND((HARMEAN(F6,H6,J6,L6,N6,P6,R6,T6,V6,X6,Z6,AB6,AD6,AF6,AH6,AJ6)),0)</f>
        <v>1971</v>
      </c>
      <c r="AQ6" s="17">
        <f>ROUND((D6*E6*AP6),0)</f>
        <v>23652000</v>
      </c>
      <c r="AR6" s="17">
        <f>ROUND((GEOMEAN(F6,H6,J6,L6,N6,P6,R6,T6,V6,X6,Z6,AB6,AD6,AF6,AH6,AJ6)),0)</f>
        <v>2083</v>
      </c>
      <c r="AS6" s="17">
        <f>ROUND((D6*E6*AR6),0)</f>
        <v>24996000</v>
      </c>
    </row>
    <row r="7" spans="1:50" ht="105.75" customHeight="1" x14ac:dyDescent="0.2">
      <c r="A7" s="124">
        <v>3</v>
      </c>
      <c r="B7" s="102" t="s">
        <v>15</v>
      </c>
      <c r="C7" s="103" t="s">
        <v>2</v>
      </c>
      <c r="D7" s="51">
        <v>2623</v>
      </c>
      <c r="E7" s="103">
        <v>4</v>
      </c>
      <c r="F7" s="20">
        <v>2200</v>
      </c>
      <c r="G7" s="166">
        <f>ROUND(D7*E7*F7,0)</f>
        <v>23082400</v>
      </c>
      <c r="H7" s="20">
        <v>3860</v>
      </c>
      <c r="I7" s="166">
        <f>ROUND(D7*E7*H7,0)</f>
        <v>40499120</v>
      </c>
      <c r="J7" s="20">
        <v>1700</v>
      </c>
      <c r="K7" s="166">
        <f>ROUND(D7*E7*J7,0)</f>
        <v>17836400</v>
      </c>
      <c r="L7" s="20">
        <v>1800</v>
      </c>
      <c r="M7" s="20">
        <f>L7*E7*D7</f>
        <v>18885600</v>
      </c>
      <c r="N7" s="167">
        <v>2100</v>
      </c>
      <c r="O7" s="167">
        <f>D7*E7*N7</f>
        <v>22033200</v>
      </c>
      <c r="P7" s="20">
        <v>2950</v>
      </c>
      <c r="Q7" s="23">
        <f>D7*E7*P7</f>
        <v>30951400</v>
      </c>
      <c r="R7" s="36">
        <v>2700</v>
      </c>
      <c r="S7" s="20">
        <f>D7*E7*R7</f>
        <v>28328400</v>
      </c>
      <c r="T7" s="40">
        <v>2800</v>
      </c>
      <c r="U7" s="36">
        <f>D7*E7*T7</f>
        <v>29377600</v>
      </c>
      <c r="V7" s="132">
        <f>1256*1.0317*1.0373*1.0244*1.0194*1.0366*1.0677*1.0575</f>
        <v>1642.8672423407695</v>
      </c>
      <c r="W7" s="132">
        <f>D7*E7*V7</f>
        <v>17236963.106639355</v>
      </c>
      <c r="X7" s="97">
        <f>1547*1.0373*1.0244*1.0194*1.0366*1.0677*1.0575</f>
        <v>1961.3256766097284</v>
      </c>
      <c r="Y7" s="97">
        <f>D7*E7*X7</f>
        <v>20578228.998989269</v>
      </c>
      <c r="Z7" s="98">
        <f>1551*1.0244*1.0194*1.0366*1.0677*1.0575</f>
        <v>1895.6878218915938</v>
      </c>
      <c r="AA7" s="98">
        <f>D7*E7*Z7</f>
        <v>19889556.627286602</v>
      </c>
      <c r="AB7" s="23">
        <f>1352*1.0194*1.0366*1.0677*1.0575</f>
        <v>1613.1031680619164</v>
      </c>
      <c r="AC7" s="23">
        <f>D7*E7*AB7</f>
        <v>16924678.439305626</v>
      </c>
      <c r="AD7" s="30">
        <f>1352*1.0194*1.0366*1.0677*1.0575</f>
        <v>1613.1031680619164</v>
      </c>
      <c r="AE7" s="30">
        <f>D7*E7*AD7</f>
        <v>16924678.439305626</v>
      </c>
      <c r="AF7" s="97">
        <f>1514*1.0366*1.0677*1.0575</f>
        <v>1772.0121626001003</v>
      </c>
      <c r="AG7" s="97">
        <f>D7*E7*AF7</f>
        <v>18591951.610000253</v>
      </c>
      <c r="AH7" s="30">
        <f>1662*1.0677*1.0575</f>
        <v>1876.5521505000004</v>
      </c>
      <c r="AI7" s="30">
        <f>D7*E7*AH7</f>
        <v>19688785.163046002</v>
      </c>
      <c r="AJ7" s="23">
        <f>1781*1.0575</f>
        <v>1883.4075000000003</v>
      </c>
      <c r="AK7" s="23">
        <f>D7*E7*AJ7</f>
        <v>19760711.490000002</v>
      </c>
      <c r="AL7" s="17">
        <f>ROUND((AVERAGE(F7,H7,J7,L7,N7,P7,R7,T7,V7,X7,Z7,AB7,AD7,AF7,AH7,AJ7)),0)</f>
        <v>2148</v>
      </c>
      <c r="AM7" s="17">
        <f>ROUND((D7*E7*AL7),0)</f>
        <v>22536816</v>
      </c>
      <c r="AN7" s="17">
        <f>ROUND((MEDIAN(F7,H7,J7,N7,L7,P7,R7,T7,V7,X7,Z7,AB7,AD7,AF7,AH7,AJ7)),0)</f>
        <v>1890</v>
      </c>
      <c r="AO7" s="17">
        <f>ROUND((D7*E7*AN7),0)</f>
        <v>19829880</v>
      </c>
      <c r="AP7" s="17">
        <f>ROUND((HARMEAN(F7,H7,J7,L7,N7,P7,R7,T7,V7,X7,Z7,AB7,AD7,AF7,AH7,AJ7)),0)</f>
        <v>2022</v>
      </c>
      <c r="AQ7" s="17">
        <f>ROUND((D7*E7*AP7),0)</f>
        <v>21214824</v>
      </c>
      <c r="AR7" s="17">
        <f>ROUND((GEOMEAN(F7,H7,J7,L7,N7,P7,R7,T7,V7,X7,Z7,AB7,AD7,AF7,AH7,AJ7)),0)</f>
        <v>2078</v>
      </c>
      <c r="AS7" s="17">
        <f>ROUND((D7*E7*AR7),0)</f>
        <v>21802376</v>
      </c>
    </row>
    <row r="8" spans="1:50" ht="38.25" x14ac:dyDescent="0.2">
      <c r="A8" s="124">
        <v>4</v>
      </c>
      <c r="B8" s="105" t="s">
        <v>46</v>
      </c>
      <c r="C8" s="52" t="s">
        <v>1</v>
      </c>
      <c r="D8" s="51">
        <v>12</v>
      </c>
      <c r="E8" s="52">
        <v>4</v>
      </c>
      <c r="F8" s="20">
        <v>500000</v>
      </c>
      <c r="G8" s="166">
        <f>ROUND(D8*E8*F8,0)</f>
        <v>24000000</v>
      </c>
      <c r="H8" s="20">
        <v>1200000</v>
      </c>
      <c r="I8" s="166">
        <f>ROUND(D8*E8*H8,0)</f>
        <v>57600000</v>
      </c>
      <c r="J8" s="20">
        <v>165000</v>
      </c>
      <c r="K8" s="166">
        <f>ROUND(D8*E8*J8,0)</f>
        <v>7920000</v>
      </c>
      <c r="L8" s="20">
        <v>180000</v>
      </c>
      <c r="M8" s="20">
        <f>L8*E8*D8</f>
        <v>8640000</v>
      </c>
      <c r="N8" s="167">
        <v>200000</v>
      </c>
      <c r="O8" s="167">
        <f>D8*E8*N8</f>
        <v>9600000</v>
      </c>
      <c r="P8" s="20">
        <v>250000</v>
      </c>
      <c r="Q8" s="23">
        <f>D8*E8*P8</f>
        <v>12000000</v>
      </c>
      <c r="R8" s="36">
        <v>170000</v>
      </c>
      <c r="S8" s="20">
        <f>D8*E8*R8</f>
        <v>8160000</v>
      </c>
      <c r="T8" s="40">
        <v>180000</v>
      </c>
      <c r="U8" s="36">
        <f>D8*E8*T8</f>
        <v>8640000</v>
      </c>
      <c r="V8" s="132"/>
      <c r="W8" s="132">
        <f>D8*E8*V8</f>
        <v>0</v>
      </c>
      <c r="X8" s="97"/>
      <c r="Y8" s="97">
        <f>D8*E8*X8</f>
        <v>0</v>
      </c>
      <c r="Z8" s="98"/>
      <c r="AA8" s="98">
        <f>D8*E8*Z8</f>
        <v>0</v>
      </c>
      <c r="AB8" s="23">
        <f>122781*1.0194*1.0366*1.0677*1.0575</f>
        <v>146492.91425873531</v>
      </c>
      <c r="AC8" s="23">
        <f>D8*E8*AB8</f>
        <v>7031659.884419295</v>
      </c>
      <c r="AD8" s="30">
        <f>131875*1.0194*1.0366*1.0677*1.0575</f>
        <v>157343.18068651273</v>
      </c>
      <c r="AE8" s="30"/>
      <c r="AF8" s="97">
        <f>135468*1.0366*1.0677*1.0575</f>
        <v>158554.12393864623</v>
      </c>
      <c r="AG8" s="97">
        <f>D8*E8*AF8</f>
        <v>7610597.9490550188</v>
      </c>
      <c r="AH8" s="30">
        <f>148060*1.0677*1.0575</f>
        <v>167173.47256500003</v>
      </c>
      <c r="AI8" s="30">
        <f>D8*E8*AH8</f>
        <v>8024326.6831200011</v>
      </c>
      <c r="AJ8" s="23">
        <f>166300*1.0575</f>
        <v>175862.25000000003</v>
      </c>
      <c r="AK8" s="23">
        <f>D8*E8*AJ8</f>
        <v>8441388.0000000019</v>
      </c>
      <c r="AL8" s="17">
        <f>ROUND((AVERAGE(F8,H8,J8,L8,N8,P8,R8,T8,V8,X8,Z8,AB8,AD8,AF8,AH8,AJ8)),0)</f>
        <v>280802</v>
      </c>
      <c r="AM8" s="17">
        <f>ROUND((D8*E8*AL8),0)</f>
        <v>13478496</v>
      </c>
      <c r="AN8" s="17">
        <f>ROUND((MEDIAN(F8,H8,J8,N8,L8,P8,R8,T8,V8,X8,Z8,AB8,AD8,AF8,AH8,AJ8)),0)</f>
        <v>175862</v>
      </c>
      <c r="AO8" s="17">
        <f>ROUND((D8*E8*AN8),0)</f>
        <v>8441376</v>
      </c>
      <c r="AP8" s="17">
        <f>ROUND((HARMEAN(F8,H8,J8,L8,N8,P8,R8,T8,V8,X8,Z8,AB8,AD8,AF8,AH8,AJ8)),0)</f>
        <v>196838</v>
      </c>
      <c r="AQ8" s="17">
        <f>ROUND((D8*E8*AP8),0)</f>
        <v>9448224</v>
      </c>
      <c r="AR8" s="17">
        <f>ROUND((GEOMEAN(F8,H8,J8,L8,N8,P8,R8,T8,V8,X8,Z8,AB8,AD8,AF8,AH8,AJ8)),0)</f>
        <v>220596</v>
      </c>
      <c r="AS8" s="17">
        <f>ROUND((D8*E8*AR8),0)</f>
        <v>10588608</v>
      </c>
    </row>
    <row r="9" spans="1:50" ht="15" customHeight="1" x14ac:dyDescent="0.2">
      <c r="A9" s="152"/>
      <c r="B9" s="53"/>
      <c r="C9" s="52"/>
      <c r="D9" s="51"/>
      <c r="E9" s="52"/>
      <c r="F9" s="52"/>
      <c r="G9" s="52"/>
      <c r="H9" s="52"/>
      <c r="I9" s="52"/>
      <c r="J9" s="52"/>
      <c r="K9" s="52"/>
      <c r="L9" s="20"/>
      <c r="M9" s="20"/>
      <c r="N9" s="167"/>
      <c r="O9" s="167"/>
      <c r="P9" s="23"/>
      <c r="Q9" s="23"/>
      <c r="R9" s="20"/>
      <c r="S9" s="20"/>
      <c r="T9" s="36"/>
      <c r="U9" s="36"/>
      <c r="V9" s="132"/>
      <c r="W9" s="132"/>
      <c r="X9" s="97"/>
      <c r="Y9" s="97"/>
      <c r="Z9" s="98"/>
      <c r="AA9" s="98"/>
      <c r="AB9" s="23"/>
      <c r="AC9" s="23">
        <f>D9*E9*AB9</f>
        <v>0</v>
      </c>
      <c r="AD9" s="30"/>
      <c r="AE9" s="30"/>
      <c r="AF9" s="97"/>
      <c r="AG9" s="97"/>
      <c r="AH9" s="30"/>
      <c r="AI9" s="30"/>
      <c r="AJ9" s="23"/>
      <c r="AK9" s="23"/>
      <c r="AL9" s="17"/>
      <c r="AM9" s="17"/>
      <c r="AN9" s="17"/>
      <c r="AO9" s="17"/>
      <c r="AP9" s="17"/>
      <c r="AQ9" s="17"/>
      <c r="AR9" s="17"/>
      <c r="AS9" s="17"/>
    </row>
    <row r="10" spans="1:50" ht="22.5" customHeight="1" x14ac:dyDescent="0.2">
      <c r="A10" s="179"/>
      <c r="B10" s="193" t="s">
        <v>150</v>
      </c>
      <c r="C10" s="45"/>
      <c r="D10" s="45"/>
      <c r="E10" s="45"/>
      <c r="F10" s="47" t="s">
        <v>137</v>
      </c>
      <c r="G10" s="46">
        <f>SUM(G5:G8)</f>
        <v>94042400</v>
      </c>
      <c r="H10" s="47" t="s">
        <v>137</v>
      </c>
      <c r="I10" s="46">
        <f>SUM(I5:I8)</f>
        <v>217744972</v>
      </c>
      <c r="J10" s="47" t="s">
        <v>137</v>
      </c>
      <c r="K10" s="46">
        <f>SUM(K5:K8)</f>
        <v>63056400</v>
      </c>
      <c r="L10" s="47" t="s">
        <v>137</v>
      </c>
      <c r="M10" s="46">
        <f>SUM(M5:M8)</f>
        <v>66125600</v>
      </c>
      <c r="N10" s="47" t="s">
        <v>137</v>
      </c>
      <c r="O10" s="46">
        <f>SUM(O5:O8)</f>
        <v>75873200</v>
      </c>
      <c r="P10" s="47" t="s">
        <v>137</v>
      </c>
      <c r="Q10" s="46">
        <f>SUM(Q5:Q8)</f>
        <v>98751400</v>
      </c>
      <c r="R10" s="47" t="s">
        <v>137</v>
      </c>
      <c r="S10" s="46">
        <f>SUM(S5:S8)</f>
        <v>89968400</v>
      </c>
      <c r="T10" s="47" t="s">
        <v>137</v>
      </c>
      <c r="U10" s="46">
        <f>SUM(U5:U8)</f>
        <v>93037600</v>
      </c>
      <c r="V10" s="47" t="s">
        <v>137</v>
      </c>
      <c r="W10" s="46">
        <f>SUM(W5:W8)</f>
        <v>64982033.688282162</v>
      </c>
      <c r="X10" s="47" t="s">
        <v>137</v>
      </c>
      <c r="Y10" s="46">
        <f>SUM(Y5:Y8)</f>
        <v>69573082.591392383</v>
      </c>
      <c r="Z10" s="47" t="s">
        <v>137</v>
      </c>
      <c r="AA10" s="46">
        <f>SUM(AA5:AA8)</f>
        <v>62926060.455441907</v>
      </c>
      <c r="AB10" s="47" t="s">
        <v>137</v>
      </c>
      <c r="AC10" s="46">
        <f>SUM(AC5:AC8)</f>
        <v>61225760.268302225</v>
      </c>
      <c r="AD10" s="47" t="s">
        <v>137</v>
      </c>
      <c r="AE10" s="46">
        <f>SUM(AE5:AE8)</f>
        <v>51503191.357342921</v>
      </c>
      <c r="AF10" s="47" t="s">
        <v>137</v>
      </c>
      <c r="AG10" s="46">
        <f>SUM(AG5:AG8)</f>
        <v>67254813.850889027</v>
      </c>
      <c r="AH10" s="47" t="s">
        <v>137</v>
      </c>
      <c r="AI10" s="46">
        <f>SUM(AI5:AI8)</f>
        <v>68462371.790523008</v>
      </c>
      <c r="AJ10" s="47" t="s">
        <v>137</v>
      </c>
      <c r="AK10" s="46">
        <f>SUM(AK5:AK8)</f>
        <v>71419907.970000014</v>
      </c>
      <c r="AL10" s="48"/>
      <c r="AM10" s="194">
        <f>SUM(AM5:AM8)</f>
        <v>85248868</v>
      </c>
      <c r="AN10" s="48"/>
      <c r="AO10" s="194">
        <f>SUM(AO5:AO8)</f>
        <v>70458488</v>
      </c>
      <c r="AP10" s="48"/>
      <c r="AQ10" s="194">
        <f>SUM(AQ5:AQ8)</f>
        <v>75409124</v>
      </c>
      <c r="AR10" s="48"/>
      <c r="AS10" s="194">
        <f>SUM(AS5:AS8)</f>
        <v>78890964</v>
      </c>
    </row>
    <row r="11" spans="1:50" ht="12.75" customHeight="1" x14ac:dyDescent="0.2">
      <c r="A11" s="179"/>
      <c r="B11" s="193" t="s">
        <v>151</v>
      </c>
      <c r="C11" s="45"/>
      <c r="D11" s="45"/>
      <c r="E11" s="180"/>
      <c r="F11" s="181">
        <v>0.19</v>
      </c>
      <c r="G11" s="46">
        <f>ROUND(G10*F11,0)</f>
        <v>17868056</v>
      </c>
      <c r="H11" s="181">
        <v>0.19</v>
      </c>
      <c r="I11" s="46">
        <f>ROUND(I10*H11,0)</f>
        <v>41371545</v>
      </c>
      <c r="J11" s="181">
        <v>0.19</v>
      </c>
      <c r="K11" s="46">
        <f>ROUND(K10*J11,0)</f>
        <v>11980716</v>
      </c>
      <c r="L11" s="181">
        <v>0.19</v>
      </c>
      <c r="M11" s="46">
        <f>ROUND(M10*L11,0)</f>
        <v>12563864</v>
      </c>
      <c r="N11" s="181">
        <v>0.19</v>
      </c>
      <c r="O11" s="46">
        <f>ROUND(O10*N11,0)</f>
        <v>14415908</v>
      </c>
      <c r="P11" s="181">
        <v>0.19</v>
      </c>
      <c r="Q11" s="46">
        <f>ROUND(Q10*P11,0)</f>
        <v>18762766</v>
      </c>
      <c r="R11" s="181">
        <v>0.19</v>
      </c>
      <c r="S11" s="46">
        <f>ROUND(S10*R11,0)</f>
        <v>17093996</v>
      </c>
      <c r="T11" s="181">
        <v>0.19</v>
      </c>
      <c r="U11" s="46">
        <f>ROUND(U10*T11,0)</f>
        <v>17677144</v>
      </c>
      <c r="V11" s="181">
        <v>0.19</v>
      </c>
      <c r="W11" s="46">
        <f>ROUND(W10*V11,0)</f>
        <v>12346586</v>
      </c>
      <c r="X11" s="181">
        <v>0.19</v>
      </c>
      <c r="Y11" s="46">
        <f>ROUND(Y10*X11,0)</f>
        <v>13218886</v>
      </c>
      <c r="Z11" s="181">
        <v>0.19</v>
      </c>
      <c r="AA11" s="46">
        <f>ROUND(AA10*Z11,0)</f>
        <v>11955951</v>
      </c>
      <c r="AB11" s="181">
        <v>0.19</v>
      </c>
      <c r="AC11" s="46">
        <f>ROUND(AC10*AB11,0)</f>
        <v>11632894</v>
      </c>
      <c r="AD11" s="181">
        <v>0.19</v>
      </c>
      <c r="AE11" s="46">
        <f>ROUND(AE10*AD11,0)</f>
        <v>9785606</v>
      </c>
      <c r="AF11" s="181">
        <v>0.19</v>
      </c>
      <c r="AG11" s="46">
        <f>ROUND(AG10*AF11,0)</f>
        <v>12778415</v>
      </c>
      <c r="AH11" s="181">
        <v>0.19</v>
      </c>
      <c r="AI11" s="46">
        <f>ROUND(AI10*AH11,0)</f>
        <v>13007851</v>
      </c>
      <c r="AJ11" s="181">
        <v>0.19</v>
      </c>
      <c r="AK11" s="46">
        <f>ROUND(AK10*AJ11,0)</f>
        <v>13569783</v>
      </c>
      <c r="AL11" s="195">
        <v>0.19</v>
      </c>
      <c r="AM11" s="194">
        <f>ROUND(AM10*AL11,0)</f>
        <v>16197285</v>
      </c>
      <c r="AN11" s="195">
        <v>0.19</v>
      </c>
      <c r="AO11" s="194">
        <f>ROUND(AO10*AN11,0)</f>
        <v>13387113</v>
      </c>
      <c r="AP11" s="195">
        <v>0.19</v>
      </c>
      <c r="AQ11" s="194">
        <f>ROUND(AQ10*AP11,0)</f>
        <v>14327734</v>
      </c>
      <c r="AR11" s="195">
        <v>0.19</v>
      </c>
      <c r="AS11" s="194">
        <f>ROUND(AS10*AR11,0)</f>
        <v>14989283</v>
      </c>
    </row>
    <row r="12" spans="1:50" ht="16.5" customHeight="1" x14ac:dyDescent="0.2">
      <c r="A12" s="179"/>
      <c r="B12" s="165" t="s">
        <v>135</v>
      </c>
      <c r="C12" s="45"/>
      <c r="D12" s="45"/>
      <c r="E12" s="45"/>
      <c r="F12" s="47"/>
      <c r="G12" s="46">
        <f>SUM(G10:G11)</f>
        <v>111910456</v>
      </c>
      <c r="H12" s="47"/>
      <c r="I12" s="46">
        <f>SUM(I10:I11)</f>
        <v>259116517</v>
      </c>
      <c r="J12" s="47"/>
      <c r="K12" s="46">
        <f>SUM(K10:K11)</f>
        <v>75037116</v>
      </c>
      <c r="L12" s="47"/>
      <c r="M12" s="46">
        <f>SUM(M10:M11)</f>
        <v>78689464</v>
      </c>
      <c r="N12" s="47"/>
      <c r="O12" s="46">
        <f>SUM(O10:O11)</f>
        <v>90289108</v>
      </c>
      <c r="P12" s="47"/>
      <c r="Q12" s="46">
        <f>SUM(Q10:Q11)</f>
        <v>117514166</v>
      </c>
      <c r="R12" s="47"/>
      <c r="S12" s="46">
        <f>SUM(S10:S11)</f>
        <v>107062396</v>
      </c>
      <c r="T12" s="47"/>
      <c r="U12" s="46">
        <f>SUM(U10:U11)</f>
        <v>110714744</v>
      </c>
      <c r="V12" s="47"/>
      <c r="W12" s="46">
        <f>SUM(W10:W11)</f>
        <v>77328619.688282162</v>
      </c>
      <c r="X12" s="47"/>
      <c r="Y12" s="46">
        <f>SUM(Y10:Y11)</f>
        <v>82791968.591392383</v>
      </c>
      <c r="Z12" s="47"/>
      <c r="AA12" s="46">
        <f>SUM(AA10:AA11)</f>
        <v>74882011.455441907</v>
      </c>
      <c r="AB12" s="47"/>
      <c r="AC12" s="46">
        <f>SUM(AC10:AC11)</f>
        <v>72858654.268302232</v>
      </c>
      <c r="AD12" s="47"/>
      <c r="AE12" s="46">
        <f>SUM(AE10:AE11)</f>
        <v>61288797.357342921</v>
      </c>
      <c r="AF12" s="47"/>
      <c r="AG12" s="46">
        <f>SUM(AG10:AG11)</f>
        <v>80033228.850889027</v>
      </c>
      <c r="AH12" s="47"/>
      <c r="AI12" s="46">
        <f>SUM(AI10:AI11)</f>
        <v>81470222.790523008</v>
      </c>
      <c r="AJ12" s="47"/>
      <c r="AK12" s="46">
        <f>SUM(AK10:AK11)</f>
        <v>84989690.970000014</v>
      </c>
      <c r="AL12" s="48"/>
      <c r="AM12" s="194">
        <f>SUM(AM10:AM11)</f>
        <v>101446153</v>
      </c>
      <c r="AN12" s="48"/>
      <c r="AO12" s="194">
        <f>SUM(AO10:AO11)</f>
        <v>83845601</v>
      </c>
      <c r="AP12" s="48"/>
      <c r="AQ12" s="194">
        <f>SUM(AQ10:AQ11)</f>
        <v>89736858</v>
      </c>
      <c r="AR12" s="48"/>
      <c r="AS12" s="194">
        <f>SUM(AS10:AS11)</f>
        <v>93880247</v>
      </c>
    </row>
    <row r="13" spans="1:50" ht="63.75" customHeight="1" x14ac:dyDescent="0.2">
      <c r="B13" s="190"/>
      <c r="C13" s="190"/>
      <c r="D13" s="190"/>
      <c r="E13" s="190"/>
      <c r="F13" s="316" t="s">
        <v>28</v>
      </c>
      <c r="G13" s="316"/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316" t="s">
        <v>28</v>
      </c>
      <c r="AK13" s="316"/>
      <c r="AL13" s="316"/>
      <c r="AM13" s="316"/>
      <c r="AN13" s="316"/>
      <c r="AO13" s="316"/>
      <c r="AP13" s="316"/>
      <c r="AQ13" s="316"/>
      <c r="AR13" s="192"/>
      <c r="AS13" s="192"/>
      <c r="AT13" s="192"/>
      <c r="AU13" s="192"/>
      <c r="AV13" s="192"/>
    </row>
    <row r="14" spans="1:50" ht="21" customHeight="1" x14ac:dyDescent="0.2">
      <c r="B14" s="191" t="s">
        <v>9</v>
      </c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83"/>
      <c r="AK14" s="183"/>
      <c r="AL14" s="172"/>
      <c r="AM14" s="172"/>
      <c r="AN14" s="172"/>
      <c r="AO14" s="172"/>
      <c r="AP14" s="172"/>
      <c r="AQ14" s="172"/>
      <c r="AR14" s="172"/>
      <c r="AS14" s="172"/>
    </row>
    <row r="15" spans="1:50" ht="164.25" customHeight="1" x14ac:dyDescent="0.2">
      <c r="A15" s="177"/>
      <c r="B15" s="178" t="s">
        <v>136</v>
      </c>
      <c r="C15" s="172"/>
      <c r="D15" s="172"/>
      <c r="E15" s="172"/>
      <c r="F15" s="303" t="s">
        <v>133</v>
      </c>
      <c r="G15" s="304"/>
      <c r="H15" s="303" t="s">
        <v>138</v>
      </c>
      <c r="I15" s="304"/>
      <c r="J15" s="303" t="s">
        <v>130</v>
      </c>
      <c r="K15" s="304"/>
      <c r="L15" s="303" t="s">
        <v>40</v>
      </c>
      <c r="M15" s="304"/>
      <c r="N15" s="303" t="s">
        <v>41</v>
      </c>
      <c r="O15" s="304"/>
      <c r="P15" s="305" t="s">
        <v>42</v>
      </c>
      <c r="Q15" s="306"/>
      <c r="R15" s="303" t="s">
        <v>43</v>
      </c>
      <c r="S15" s="304"/>
      <c r="T15" s="303" t="s">
        <v>22</v>
      </c>
      <c r="U15" s="304"/>
      <c r="V15" s="311" t="s">
        <v>33</v>
      </c>
      <c r="W15" s="312"/>
      <c r="X15" s="290" t="s">
        <v>34</v>
      </c>
      <c r="Y15" s="291"/>
      <c r="Z15" s="286" t="s">
        <v>35</v>
      </c>
      <c r="AA15" s="287"/>
      <c r="AB15" s="288" t="s">
        <v>36</v>
      </c>
      <c r="AC15" s="289"/>
      <c r="AD15" s="290" t="s">
        <v>37</v>
      </c>
      <c r="AE15" s="291"/>
      <c r="AF15" s="292" t="s">
        <v>38</v>
      </c>
      <c r="AG15" s="293"/>
      <c r="AH15" s="294" t="s">
        <v>39</v>
      </c>
      <c r="AI15" s="295"/>
      <c r="AJ15" s="285" t="s">
        <v>12</v>
      </c>
      <c r="AK15" s="285"/>
      <c r="AL15" s="285" t="s">
        <v>16</v>
      </c>
      <c r="AM15" s="285"/>
      <c r="AN15" s="285" t="s">
        <v>19</v>
      </c>
      <c r="AO15" s="285"/>
      <c r="AP15" s="285" t="s">
        <v>20</v>
      </c>
      <c r="AQ15" s="285"/>
      <c r="AR15" s="172"/>
      <c r="AS15" s="172"/>
    </row>
    <row r="16" spans="1:50" ht="38.25" customHeight="1" x14ac:dyDescent="0.2">
      <c r="A16" s="56" t="s">
        <v>8</v>
      </c>
      <c r="B16" s="56" t="s">
        <v>7</v>
      </c>
      <c r="C16" s="56" t="s">
        <v>6</v>
      </c>
      <c r="D16" s="56" t="s">
        <v>5</v>
      </c>
      <c r="E16" s="72" t="s">
        <v>3</v>
      </c>
      <c r="F16" s="57" t="s">
        <v>4</v>
      </c>
      <c r="G16" s="56" t="s">
        <v>0</v>
      </c>
      <c r="H16" s="57" t="s">
        <v>4</v>
      </c>
      <c r="I16" s="56" t="s">
        <v>0</v>
      </c>
      <c r="J16" s="57" t="s">
        <v>4</v>
      </c>
      <c r="K16" s="56" t="s">
        <v>0</v>
      </c>
      <c r="L16" s="57" t="s">
        <v>4</v>
      </c>
      <c r="M16" s="56" t="s">
        <v>0</v>
      </c>
      <c r="N16" s="57" t="s">
        <v>4</v>
      </c>
      <c r="O16" s="56" t="s">
        <v>0</v>
      </c>
      <c r="P16" s="60" t="s">
        <v>4</v>
      </c>
      <c r="Q16" s="61" t="s">
        <v>0</v>
      </c>
      <c r="R16" s="57" t="s">
        <v>4</v>
      </c>
      <c r="S16" s="56" t="s">
        <v>0</v>
      </c>
      <c r="T16" s="62" t="s">
        <v>4</v>
      </c>
      <c r="U16" s="63" t="s">
        <v>0</v>
      </c>
      <c r="V16" s="64" t="s">
        <v>4</v>
      </c>
      <c r="W16" s="65" t="s">
        <v>0</v>
      </c>
      <c r="X16" s="66" t="s">
        <v>4</v>
      </c>
      <c r="Y16" s="67" t="s">
        <v>0</v>
      </c>
      <c r="Z16" s="68" t="s">
        <v>4</v>
      </c>
      <c r="AA16" s="69" t="s">
        <v>0</v>
      </c>
      <c r="AB16" s="60" t="s">
        <v>4</v>
      </c>
      <c r="AC16" s="61" t="s">
        <v>0</v>
      </c>
      <c r="AD16" s="66" t="s">
        <v>4</v>
      </c>
      <c r="AE16" s="67" t="s">
        <v>0</v>
      </c>
      <c r="AF16" s="58" t="s">
        <v>4</v>
      </c>
      <c r="AG16" s="59" t="s">
        <v>0</v>
      </c>
      <c r="AH16" s="60" t="s">
        <v>4</v>
      </c>
      <c r="AI16" s="61" t="s">
        <v>0</v>
      </c>
      <c r="AJ16" s="57" t="s">
        <v>4</v>
      </c>
      <c r="AK16" s="56" t="s">
        <v>0</v>
      </c>
      <c r="AL16" s="57" t="s">
        <v>4</v>
      </c>
      <c r="AM16" s="56" t="s">
        <v>0</v>
      </c>
      <c r="AN16" s="57" t="s">
        <v>4</v>
      </c>
      <c r="AO16" s="56" t="s">
        <v>0</v>
      </c>
      <c r="AP16" s="57" t="s">
        <v>4</v>
      </c>
      <c r="AQ16" s="56" t="s">
        <v>0</v>
      </c>
      <c r="AR16" s="172"/>
      <c r="AS16" s="172"/>
    </row>
    <row r="17" spans="1:53" ht="87.75" customHeight="1" x14ac:dyDescent="0.2">
      <c r="A17" s="52">
        <v>5</v>
      </c>
      <c r="B17" s="102" t="s">
        <v>21</v>
      </c>
      <c r="C17" s="52" t="s">
        <v>1</v>
      </c>
      <c r="D17" s="104">
        <v>20.6</v>
      </c>
      <c r="E17" s="163">
        <v>4</v>
      </c>
      <c r="F17" s="20">
        <v>320000</v>
      </c>
      <c r="G17" s="166">
        <f t="shared" ref="G17:G22" si="0">ROUND(D17*E17*F17,0)</f>
        <v>26368000</v>
      </c>
      <c r="H17" s="20">
        <v>612439</v>
      </c>
      <c r="I17" s="166">
        <f t="shared" ref="I17:I22" si="1">ROUND(D17*E17*H17,0)</f>
        <v>50464974</v>
      </c>
      <c r="J17" s="20">
        <v>285000</v>
      </c>
      <c r="K17" s="166">
        <f t="shared" ref="K17:K22" si="2">ROUND(D17*E17*J17,0)</f>
        <v>23484000</v>
      </c>
      <c r="L17" s="20">
        <v>250000</v>
      </c>
      <c r="M17" s="20">
        <f t="shared" ref="M17:M22" si="3">L17*E17*D17</f>
        <v>20600000</v>
      </c>
      <c r="N17" s="167">
        <v>280000</v>
      </c>
      <c r="O17" s="167">
        <f t="shared" ref="O17:O22" si="4">D17*E17*N17</f>
        <v>23072000</v>
      </c>
      <c r="P17" s="20">
        <v>300000</v>
      </c>
      <c r="Q17" s="23">
        <f t="shared" ref="Q17:Q22" si="5">D17*E17*P17</f>
        <v>24720000</v>
      </c>
      <c r="R17" s="36">
        <v>310000</v>
      </c>
      <c r="S17" s="20">
        <f t="shared" ref="S17:S22" si="6">D17*E17*R17</f>
        <v>25544000</v>
      </c>
      <c r="T17" s="40">
        <v>315000</v>
      </c>
      <c r="U17" s="36">
        <f t="shared" ref="U17:U22" si="7">D17*E17*T17</f>
        <v>25956000</v>
      </c>
      <c r="V17" s="132">
        <f>302500*1.0317*1.0373*1.0244*1.0194*1.0366*1.0677*1.0575</f>
        <v>395674.63440133975</v>
      </c>
      <c r="W17" s="132">
        <f t="shared" ref="W17:W22" si="8">D17*E17*V17</f>
        <v>32603589.874670397</v>
      </c>
      <c r="X17" s="97">
        <f>290931*1.0373*1.0244*1.0194*1.0366*1.0677*1.0575</f>
        <v>368849.67060229147</v>
      </c>
      <c r="Y17" s="97">
        <f t="shared" ref="Y17:Y22" si="9">D17*E17*X17</f>
        <v>30393212.857628819</v>
      </c>
      <c r="Z17" s="98">
        <f>309544*1.0244*1.0194*1.0366*1.0677*1.0575</f>
        <v>378335.77765287645</v>
      </c>
      <c r="AA17" s="98">
        <f t="shared" ref="AA17:AA22" si="10">D17*E17*Z17</f>
        <v>31174868.07859702</v>
      </c>
      <c r="AB17" s="23">
        <f>340040*1.0194*1.0366*1.0677*1.0575</f>
        <v>405709.76425131212</v>
      </c>
      <c r="AC17" s="23">
        <f t="shared" ref="AC17:AC22" si="11">D17*E17*AB17</f>
        <v>33430484.57430812</v>
      </c>
      <c r="AD17" s="97">
        <f>274204*1.0366*1.0677*1.0575</f>
        <v>320933.17241320864</v>
      </c>
      <c r="AE17" s="97">
        <f t="shared" ref="AE17:AE22" si="12">D17*E17*AD17</f>
        <v>26444893.406848393</v>
      </c>
      <c r="AF17" s="30">
        <f>279156*1.0677*1.0575</f>
        <v>315193.01571900008</v>
      </c>
      <c r="AG17" s="30">
        <f t="shared" ref="AG17:AG22" si="13">D17*E17*AF17</f>
        <v>25971904.495245609</v>
      </c>
      <c r="AH17" s="30">
        <f>293183*1.0575</f>
        <v>310041.02250000002</v>
      </c>
      <c r="AI17" s="30">
        <f t="shared" ref="AI17:AI22" si="14">ROUND((D17*E17*AH17),0)</f>
        <v>25547380</v>
      </c>
      <c r="AJ17" s="17">
        <f t="shared" ref="AJ17:AJ22" si="15">ROUND((AVERAGE(F17,H17,J17,L17,N17,P17,R17,T17,V17,X17,Z17,AB17,AD17,AF17,AH17)),0)</f>
        <v>344478</v>
      </c>
      <c r="AK17" s="17">
        <f t="shared" ref="AK17:AK22" si="16">ROUND((D17*E17*AJ17),0)</f>
        <v>28384987</v>
      </c>
      <c r="AL17" s="17">
        <f t="shared" ref="AL17:AL22" si="17">ROUND((MEDIAN(F17,H17,J17,L17,N17,P17,R17,T17,V17,X17,Z17,AB17,AD17,AF17,AH17)),0)</f>
        <v>315193</v>
      </c>
      <c r="AM17" s="17">
        <f t="shared" ref="AM17:AM22" si="18">ROUND((D17*E17*AL17),0)</f>
        <v>25971903</v>
      </c>
      <c r="AN17" s="17">
        <f t="shared" ref="AN17:AN22" si="19">ROUND((HARMEAN(F17,H17,J17,L17,N17,P17,R17,T17,V17,X17,Z17,AB17,AD17,AF17,AH17)),0)</f>
        <v>330163</v>
      </c>
      <c r="AO17" s="17">
        <f t="shared" ref="AO17:AO22" si="20">ROUND((D17*E17*AN17),0)</f>
        <v>27205431</v>
      </c>
      <c r="AP17" s="17">
        <f t="shared" ref="AP17:AP22" si="21">ROUND((GEOMEAN(F17,H17,J17,L17,N17,P17,R17,T17,V17,X17,Z17,AB17,AD17,AF17,AH17)),0)</f>
        <v>336545</v>
      </c>
      <c r="AQ17" s="17">
        <f t="shared" ref="AQ17:AQ22" si="22">ROUND((D17*E17*AP17),0)</f>
        <v>27731308</v>
      </c>
      <c r="AR17" s="172"/>
      <c r="AS17" s="172"/>
    </row>
    <row r="18" spans="1:53" ht="97.5" customHeight="1" x14ac:dyDescent="0.2">
      <c r="A18" s="52">
        <v>6</v>
      </c>
      <c r="B18" s="102" t="s">
        <v>14</v>
      </c>
      <c r="C18" s="52" t="s">
        <v>2</v>
      </c>
      <c r="D18" s="104">
        <v>2940</v>
      </c>
      <c r="E18" s="163">
        <v>4</v>
      </c>
      <c r="F18" s="20">
        <v>2100</v>
      </c>
      <c r="G18" s="166">
        <f t="shared" si="0"/>
        <v>24696000</v>
      </c>
      <c r="H18" s="20">
        <v>6500</v>
      </c>
      <c r="I18" s="166">
        <f t="shared" si="1"/>
        <v>76440000</v>
      </c>
      <c r="J18" s="20">
        <v>1650</v>
      </c>
      <c r="K18" s="166">
        <f t="shared" si="2"/>
        <v>19404000</v>
      </c>
      <c r="L18" s="20">
        <v>1800</v>
      </c>
      <c r="M18" s="20">
        <f t="shared" si="3"/>
        <v>21168000</v>
      </c>
      <c r="N18" s="167">
        <v>2100</v>
      </c>
      <c r="O18" s="167">
        <f t="shared" si="4"/>
        <v>24696000</v>
      </c>
      <c r="P18" s="20">
        <v>2950</v>
      </c>
      <c r="Q18" s="23">
        <f t="shared" si="5"/>
        <v>34692000</v>
      </c>
      <c r="R18" s="36">
        <v>2700</v>
      </c>
      <c r="S18" s="20">
        <f t="shared" si="6"/>
        <v>31752000</v>
      </c>
      <c r="T18" s="40">
        <v>2800</v>
      </c>
      <c r="U18" s="36">
        <f t="shared" si="7"/>
        <v>32928000</v>
      </c>
      <c r="V18" s="132">
        <f>981*1.0317*1.0373*1.0244*1.0194*1.0366*1.0677*1.0575</f>
        <v>1283.163029248642</v>
      </c>
      <c r="W18" s="132">
        <f t="shared" si="8"/>
        <v>15089997.22396403</v>
      </c>
      <c r="X18" s="97">
        <f>1221*1.0373*1.0244*1.0194*1.0366*1.0677*1.0575</f>
        <v>1548.0146419783307</v>
      </c>
      <c r="Y18" s="97">
        <f t="shared" si="9"/>
        <v>18204652.189665169</v>
      </c>
      <c r="Z18" s="98">
        <f>1737*1.0244*1.0194*1.0366*1.0677*1.0575</f>
        <v>2123.0236922151503</v>
      </c>
      <c r="AA18" s="98">
        <f t="shared" si="10"/>
        <v>24966758.620450169</v>
      </c>
      <c r="AB18" s="23">
        <f>1805*1.0194*1.0366*1.0677*1.0575</f>
        <v>2153.5881792542596</v>
      </c>
      <c r="AC18" s="23">
        <f t="shared" si="11"/>
        <v>25326196.988030091</v>
      </c>
      <c r="AD18" s="97">
        <f>1621*1.0366*1.0677*1.0575</f>
        <v>1897.2468398776505</v>
      </c>
      <c r="AE18" s="97">
        <f t="shared" si="12"/>
        <v>22311622.836961169</v>
      </c>
      <c r="AF18" s="30">
        <f>1600*1.0677*1.0575</f>
        <v>1806.5484000000004</v>
      </c>
      <c r="AG18" s="30">
        <f t="shared" si="13"/>
        <v>21245009.184000004</v>
      </c>
      <c r="AH18" s="30">
        <f>1823*1.0575</f>
        <v>1927.8225000000002</v>
      </c>
      <c r="AI18" s="30">
        <f t="shared" si="14"/>
        <v>22671193</v>
      </c>
      <c r="AJ18" s="17">
        <f t="shared" si="15"/>
        <v>2356</v>
      </c>
      <c r="AK18" s="17">
        <f t="shared" si="16"/>
        <v>27706560</v>
      </c>
      <c r="AL18" s="17">
        <f t="shared" si="17"/>
        <v>2100</v>
      </c>
      <c r="AM18" s="17">
        <f t="shared" si="18"/>
        <v>24696000</v>
      </c>
      <c r="AN18" s="17">
        <f t="shared" si="19"/>
        <v>2056</v>
      </c>
      <c r="AO18" s="17">
        <f t="shared" si="20"/>
        <v>24178560</v>
      </c>
      <c r="AP18" s="17">
        <f t="shared" si="21"/>
        <v>2173</v>
      </c>
      <c r="AQ18" s="17">
        <f t="shared" si="22"/>
        <v>25554480</v>
      </c>
      <c r="AR18" s="172"/>
      <c r="AS18" s="172"/>
    </row>
    <row r="19" spans="1:53" ht="138.75" customHeight="1" x14ac:dyDescent="0.2">
      <c r="A19" s="52">
        <v>7</v>
      </c>
      <c r="B19" s="102" t="s">
        <v>23</v>
      </c>
      <c r="C19" s="52" t="s">
        <v>2</v>
      </c>
      <c r="D19" s="104">
        <v>3110</v>
      </c>
      <c r="E19" s="163">
        <v>4</v>
      </c>
      <c r="F19" s="20">
        <v>2200</v>
      </c>
      <c r="G19" s="166">
        <f t="shared" si="0"/>
        <v>27368000</v>
      </c>
      <c r="H19" s="20">
        <v>3860</v>
      </c>
      <c r="I19" s="166">
        <f t="shared" si="1"/>
        <v>48018400</v>
      </c>
      <c r="J19" s="20">
        <v>1950</v>
      </c>
      <c r="K19" s="166">
        <f t="shared" si="2"/>
        <v>24258000</v>
      </c>
      <c r="L19" s="20">
        <v>1800</v>
      </c>
      <c r="M19" s="20">
        <f t="shared" si="3"/>
        <v>22392000</v>
      </c>
      <c r="N19" s="167">
        <v>2100</v>
      </c>
      <c r="O19" s="167">
        <f t="shared" si="4"/>
        <v>26124000</v>
      </c>
      <c r="P19" s="20">
        <v>2950</v>
      </c>
      <c r="Q19" s="23">
        <f t="shared" si="5"/>
        <v>36698000</v>
      </c>
      <c r="R19" s="36">
        <v>2700</v>
      </c>
      <c r="S19" s="20">
        <f t="shared" si="6"/>
        <v>33588000</v>
      </c>
      <c r="T19" s="40">
        <v>2800</v>
      </c>
      <c r="U19" s="36">
        <f t="shared" si="7"/>
        <v>34832000</v>
      </c>
      <c r="V19" s="132">
        <f>1160*1.0317*1.0373*1.0244*1.0194*1.0366*1.0677*1.0575</f>
        <v>1517.2977715886091</v>
      </c>
      <c r="W19" s="132">
        <f t="shared" si="8"/>
        <v>18875184.278562296</v>
      </c>
      <c r="X19" s="97">
        <f>1325*1.0373*1.0244*1.0194*1.0366*1.0677*1.0575</f>
        <v>1679.8684689773042</v>
      </c>
      <c r="Y19" s="97">
        <f t="shared" si="9"/>
        <v>20897563.754077666</v>
      </c>
      <c r="Z19" s="98">
        <f>1597*1.0244*1.0194*1.0366*1.0677*1.0575</f>
        <v>1951.9106715415055</v>
      </c>
      <c r="AA19" s="98">
        <f t="shared" si="10"/>
        <v>24281768.75397633</v>
      </c>
      <c r="AB19" s="23"/>
      <c r="AC19" s="23">
        <f t="shared" si="11"/>
        <v>0</v>
      </c>
      <c r="AD19" s="97">
        <f>1529*1.0366*1.0677*1.0575</f>
        <v>1789.5684257698501</v>
      </c>
      <c r="AE19" s="97">
        <f t="shared" si="12"/>
        <v>22262231.216576934</v>
      </c>
      <c r="AF19" s="30">
        <f>1641*1.0677*1.0575</f>
        <v>1852.8412027500003</v>
      </c>
      <c r="AG19" s="30">
        <f t="shared" si="13"/>
        <v>23049344.562210005</v>
      </c>
      <c r="AH19" s="30">
        <f>1847*1.0575</f>
        <v>1953.2025000000001</v>
      </c>
      <c r="AI19" s="30">
        <f t="shared" si="14"/>
        <v>24297839</v>
      </c>
      <c r="AJ19" s="17">
        <f t="shared" si="15"/>
        <v>2222</v>
      </c>
      <c r="AK19" s="17">
        <f t="shared" si="16"/>
        <v>27641680</v>
      </c>
      <c r="AL19" s="17">
        <f t="shared" si="17"/>
        <v>1953</v>
      </c>
      <c r="AM19" s="17">
        <f t="shared" si="18"/>
        <v>24295320</v>
      </c>
      <c r="AN19" s="17">
        <f t="shared" si="19"/>
        <v>2089</v>
      </c>
      <c r="AO19" s="17">
        <f t="shared" si="20"/>
        <v>25987160</v>
      </c>
      <c r="AP19" s="17">
        <f t="shared" si="21"/>
        <v>2150</v>
      </c>
      <c r="AQ19" s="17">
        <f t="shared" si="22"/>
        <v>26746000</v>
      </c>
      <c r="AR19" s="172"/>
      <c r="AS19" s="172"/>
    </row>
    <row r="20" spans="1:53" ht="78.75" customHeight="1" x14ac:dyDescent="0.2">
      <c r="A20" s="52">
        <v>8</v>
      </c>
      <c r="B20" s="127" t="s">
        <v>24</v>
      </c>
      <c r="C20" s="52" t="s">
        <v>1</v>
      </c>
      <c r="D20" s="104">
        <v>12</v>
      </c>
      <c r="E20" s="163">
        <v>4</v>
      </c>
      <c r="F20" s="20">
        <v>500000</v>
      </c>
      <c r="G20" s="166">
        <f t="shared" si="0"/>
        <v>24000000</v>
      </c>
      <c r="H20" s="20">
        <v>1200000</v>
      </c>
      <c r="I20" s="166">
        <f t="shared" si="1"/>
        <v>57600000</v>
      </c>
      <c r="J20" s="20">
        <v>146000</v>
      </c>
      <c r="K20" s="166">
        <f t="shared" si="2"/>
        <v>7008000</v>
      </c>
      <c r="L20" s="20">
        <v>180000</v>
      </c>
      <c r="M20" s="20">
        <f t="shared" si="3"/>
        <v>8640000</v>
      </c>
      <c r="N20" s="167">
        <v>200000</v>
      </c>
      <c r="O20" s="167">
        <f t="shared" si="4"/>
        <v>9600000</v>
      </c>
      <c r="P20" s="20">
        <v>250000</v>
      </c>
      <c r="Q20" s="23">
        <f t="shared" si="5"/>
        <v>12000000</v>
      </c>
      <c r="R20" s="36">
        <v>170000</v>
      </c>
      <c r="S20" s="20">
        <f t="shared" si="6"/>
        <v>8160000</v>
      </c>
      <c r="T20" s="40">
        <v>180000</v>
      </c>
      <c r="U20" s="36">
        <f t="shared" si="7"/>
        <v>8640000</v>
      </c>
      <c r="V20" s="132">
        <f>128163*1.0317*1.0373*1.0244*1.0194*1.0366*1.0677*1.0575</f>
        <v>167639.16750009559</v>
      </c>
      <c r="W20" s="132">
        <f t="shared" si="8"/>
        <v>8046680.0400045887</v>
      </c>
      <c r="X20" s="97">
        <f>134336*1.0373*1.0244*1.0194*1.0366*1.0677*1.0575</f>
        <v>170314.57407436613</v>
      </c>
      <c r="Y20" s="97">
        <f t="shared" si="9"/>
        <v>8175099.5555695742</v>
      </c>
      <c r="Z20" s="98">
        <f>176507*1.0244*1.0194*1.0366*1.0677*1.0575</f>
        <v>215733.18528602159</v>
      </c>
      <c r="AA20" s="98">
        <f t="shared" si="10"/>
        <v>10355192.893729037</v>
      </c>
      <c r="AB20" s="23">
        <f>190430*1.0194*1.0366*1.0677*1.0575</f>
        <v>227206.53572043689</v>
      </c>
      <c r="AC20" s="23">
        <f t="shared" si="11"/>
        <v>10905913.714580972</v>
      </c>
      <c r="AD20" s="97">
        <f>139509*1.0366*1.0677*1.0575</f>
        <v>163283.78123657688</v>
      </c>
      <c r="AE20" s="97">
        <f t="shared" si="12"/>
        <v>7837621.4993556906</v>
      </c>
      <c r="AF20" s="30">
        <f>156913*1.0677*1.0575</f>
        <v>177169.33068075002</v>
      </c>
      <c r="AG20" s="30">
        <f t="shared" si="13"/>
        <v>8504127.872676</v>
      </c>
      <c r="AH20" s="30">
        <f>190335*1.0575</f>
        <v>201279.26250000001</v>
      </c>
      <c r="AI20" s="30">
        <f t="shared" si="14"/>
        <v>9661405</v>
      </c>
      <c r="AJ20" s="17">
        <f t="shared" si="15"/>
        <v>276575</v>
      </c>
      <c r="AK20" s="17">
        <f t="shared" si="16"/>
        <v>13275600</v>
      </c>
      <c r="AL20" s="17">
        <f t="shared" si="17"/>
        <v>180000</v>
      </c>
      <c r="AM20" s="17">
        <f t="shared" si="18"/>
        <v>8640000</v>
      </c>
      <c r="AN20" s="17">
        <f t="shared" si="19"/>
        <v>204677</v>
      </c>
      <c r="AO20" s="17">
        <f t="shared" si="20"/>
        <v>9824496</v>
      </c>
      <c r="AP20" s="17">
        <f t="shared" si="21"/>
        <v>225374</v>
      </c>
      <c r="AQ20" s="17">
        <f t="shared" si="22"/>
        <v>10817952</v>
      </c>
      <c r="AR20" s="172"/>
      <c r="AS20" s="172"/>
    </row>
    <row r="21" spans="1:53" ht="75" customHeight="1" x14ac:dyDescent="0.2">
      <c r="A21" s="52">
        <v>9</v>
      </c>
      <c r="B21" s="43" t="s">
        <v>149</v>
      </c>
      <c r="C21" s="52" t="s">
        <v>26</v>
      </c>
      <c r="D21" s="104">
        <f>ROUND(944*2+17.6*2,0)</f>
        <v>1923</v>
      </c>
      <c r="E21" s="163">
        <v>4</v>
      </c>
      <c r="F21" s="20">
        <v>2800</v>
      </c>
      <c r="G21" s="166">
        <f t="shared" si="0"/>
        <v>21537600</v>
      </c>
      <c r="H21" s="20">
        <v>1600</v>
      </c>
      <c r="I21" s="166">
        <f t="shared" si="1"/>
        <v>12307200</v>
      </c>
      <c r="J21" s="20">
        <v>1800</v>
      </c>
      <c r="K21" s="166">
        <f t="shared" si="2"/>
        <v>13845600</v>
      </c>
      <c r="L21" s="20">
        <v>3600</v>
      </c>
      <c r="M21" s="20">
        <f t="shared" si="3"/>
        <v>27691200</v>
      </c>
      <c r="N21" s="167">
        <v>3500</v>
      </c>
      <c r="O21" s="167">
        <f t="shared" si="4"/>
        <v>26922000</v>
      </c>
      <c r="P21" s="23">
        <v>3350</v>
      </c>
      <c r="Q21" s="23">
        <f t="shared" si="5"/>
        <v>25768200</v>
      </c>
      <c r="R21" s="20">
        <v>3800</v>
      </c>
      <c r="S21" s="20">
        <f t="shared" si="6"/>
        <v>29229600</v>
      </c>
      <c r="T21" s="36">
        <v>4200</v>
      </c>
      <c r="U21" s="36">
        <f t="shared" si="7"/>
        <v>32306400</v>
      </c>
      <c r="V21" s="132"/>
      <c r="W21" s="132">
        <f t="shared" si="8"/>
        <v>0</v>
      </c>
      <c r="X21" s="97"/>
      <c r="Y21" s="97">
        <f t="shared" si="9"/>
        <v>0</v>
      </c>
      <c r="Z21" s="98"/>
      <c r="AA21" s="98">
        <f t="shared" si="10"/>
        <v>0</v>
      </c>
      <c r="AB21" s="23"/>
      <c r="AC21" s="23">
        <f t="shared" si="11"/>
        <v>0</v>
      </c>
      <c r="AD21" s="97">
        <f>2085*1.0366*1.0677*1.0575</f>
        <v>2440.3205805952507</v>
      </c>
      <c r="AE21" s="97">
        <f t="shared" si="12"/>
        <v>18770945.90593867</v>
      </c>
      <c r="AF21" s="30">
        <f>1979*1.0677*1.0575</f>
        <v>2234.4745522500007</v>
      </c>
      <c r="AG21" s="30">
        <f t="shared" si="13"/>
        <v>17187578.255907007</v>
      </c>
      <c r="AH21" s="30">
        <f>1884*1.0575</f>
        <v>1992.3300000000002</v>
      </c>
      <c r="AI21" s="30">
        <f t="shared" si="14"/>
        <v>15325002</v>
      </c>
      <c r="AJ21" s="17">
        <f t="shared" si="15"/>
        <v>2847</v>
      </c>
      <c r="AK21" s="17">
        <f t="shared" si="16"/>
        <v>21899124</v>
      </c>
      <c r="AL21" s="17">
        <f t="shared" si="17"/>
        <v>2800</v>
      </c>
      <c r="AM21" s="17">
        <f t="shared" si="18"/>
        <v>21537600</v>
      </c>
      <c r="AN21" s="17">
        <f t="shared" si="19"/>
        <v>2582</v>
      </c>
      <c r="AO21" s="17">
        <f t="shared" si="20"/>
        <v>19860744</v>
      </c>
      <c r="AP21" s="17">
        <f t="shared" si="21"/>
        <v>2715</v>
      </c>
      <c r="AQ21" s="17">
        <f t="shared" si="22"/>
        <v>20883780</v>
      </c>
      <c r="AR21" s="172"/>
      <c r="AS21" s="172"/>
    </row>
    <row r="22" spans="1:53" ht="147" customHeight="1" x14ac:dyDescent="0.2">
      <c r="A22" s="179">
        <v>10</v>
      </c>
      <c r="B22" s="70" t="s">
        <v>27</v>
      </c>
      <c r="C22" s="163" t="s">
        <v>1</v>
      </c>
      <c r="D22" s="104">
        <v>2</v>
      </c>
      <c r="E22" s="163">
        <v>1</v>
      </c>
      <c r="F22" s="20">
        <v>2000000</v>
      </c>
      <c r="G22" s="166">
        <f t="shared" si="0"/>
        <v>4000000</v>
      </c>
      <c r="H22" s="20">
        <v>918659</v>
      </c>
      <c r="I22" s="166">
        <f t="shared" si="1"/>
        <v>1837318</v>
      </c>
      <c r="J22" s="20">
        <v>800000</v>
      </c>
      <c r="K22" s="166">
        <f t="shared" si="2"/>
        <v>1600000</v>
      </c>
      <c r="L22" s="20">
        <v>980000</v>
      </c>
      <c r="M22" s="20">
        <f t="shared" si="3"/>
        <v>1960000</v>
      </c>
      <c r="N22" s="167">
        <v>1600000</v>
      </c>
      <c r="O22" s="167">
        <f t="shared" si="4"/>
        <v>3200000</v>
      </c>
      <c r="P22" s="23">
        <v>1050000</v>
      </c>
      <c r="Q22" s="23">
        <f t="shared" si="5"/>
        <v>2100000</v>
      </c>
      <c r="R22" s="20">
        <v>1400000</v>
      </c>
      <c r="S22" s="20">
        <f t="shared" si="6"/>
        <v>2800000</v>
      </c>
      <c r="T22" s="36">
        <v>930000</v>
      </c>
      <c r="U22" s="36">
        <f t="shared" si="7"/>
        <v>1860000</v>
      </c>
      <c r="V22" s="132"/>
      <c r="W22" s="132">
        <f t="shared" si="8"/>
        <v>0</v>
      </c>
      <c r="X22" s="97"/>
      <c r="Y22" s="97">
        <f t="shared" si="9"/>
        <v>0</v>
      </c>
      <c r="Z22" s="98">
        <f>663800*1.0244*1.0194*1.0366*1.0677*1.0575</f>
        <v>811320.16516546742</v>
      </c>
      <c r="AA22" s="98">
        <f t="shared" si="10"/>
        <v>1622640.3303309348</v>
      </c>
      <c r="AB22" s="23"/>
      <c r="AC22" s="23">
        <f t="shared" si="11"/>
        <v>0</v>
      </c>
      <c r="AD22" s="97"/>
      <c r="AE22" s="97">
        <f t="shared" si="12"/>
        <v>0</v>
      </c>
      <c r="AF22" s="30">
        <f>968705*1.0677*1.0575</f>
        <v>1093757.7923887502</v>
      </c>
      <c r="AG22" s="30">
        <f t="shared" si="13"/>
        <v>2187515.5847775005</v>
      </c>
      <c r="AH22" s="30">
        <f>1398612*1.0575</f>
        <v>1479032.1900000002</v>
      </c>
      <c r="AI22" s="30">
        <f t="shared" si="14"/>
        <v>2958064</v>
      </c>
      <c r="AJ22" s="17">
        <f t="shared" si="15"/>
        <v>1187524</v>
      </c>
      <c r="AK22" s="17">
        <f t="shared" si="16"/>
        <v>2375048</v>
      </c>
      <c r="AL22" s="17">
        <f t="shared" si="17"/>
        <v>1050000</v>
      </c>
      <c r="AM22" s="17">
        <f t="shared" si="18"/>
        <v>2100000</v>
      </c>
      <c r="AN22" s="17">
        <f t="shared" si="19"/>
        <v>1094653</v>
      </c>
      <c r="AO22" s="17">
        <f t="shared" si="20"/>
        <v>2189306</v>
      </c>
      <c r="AP22" s="17">
        <f t="shared" si="21"/>
        <v>1137749</v>
      </c>
      <c r="AQ22" s="17">
        <f t="shared" si="22"/>
        <v>2275498</v>
      </c>
      <c r="AR22" s="172"/>
      <c r="AS22" s="172"/>
    </row>
    <row r="23" spans="1:53" x14ac:dyDescent="0.2">
      <c r="A23" s="179"/>
      <c r="B23" s="70"/>
      <c r="C23" s="163"/>
      <c r="D23" s="71"/>
      <c r="E23" s="184"/>
      <c r="F23" s="184"/>
      <c r="G23" s="184"/>
      <c r="H23" s="52"/>
      <c r="I23" s="52"/>
      <c r="J23" s="184"/>
      <c r="K23" s="184"/>
      <c r="L23" s="20"/>
      <c r="M23" s="20"/>
      <c r="N23" s="167"/>
      <c r="O23" s="167"/>
      <c r="P23" s="23"/>
      <c r="Q23" s="23"/>
      <c r="R23" s="20"/>
      <c r="S23" s="20"/>
      <c r="T23" s="36"/>
      <c r="U23" s="36"/>
      <c r="V23" s="132"/>
      <c r="W23" s="132"/>
      <c r="X23" s="97"/>
      <c r="Y23" s="97"/>
      <c r="Z23" s="98"/>
      <c r="AA23" s="98"/>
      <c r="AB23" s="23"/>
      <c r="AC23" s="23"/>
      <c r="AD23" s="23"/>
      <c r="AE23" s="23"/>
      <c r="AF23" s="23"/>
      <c r="AG23" s="23"/>
      <c r="AH23" s="44"/>
      <c r="AI23" s="44"/>
      <c r="AJ23" s="44"/>
      <c r="AK23" s="44"/>
      <c r="AL23" s="17"/>
      <c r="AM23" s="44"/>
      <c r="AN23" s="44"/>
      <c r="AO23" s="44"/>
      <c r="AP23" s="44"/>
      <c r="AQ23" s="44"/>
      <c r="AR23" s="172"/>
      <c r="AS23" s="172"/>
    </row>
    <row r="24" spans="1:53" ht="15.75" x14ac:dyDescent="0.2">
      <c r="A24" s="179"/>
      <c r="B24" s="193" t="s">
        <v>150</v>
      </c>
      <c r="C24" s="45"/>
      <c r="D24" s="45"/>
      <c r="E24" s="45"/>
      <c r="F24" s="47"/>
      <c r="G24" s="46">
        <f>SUM(G17:G22)</f>
        <v>127969600</v>
      </c>
      <c r="H24" s="47"/>
      <c r="I24" s="46">
        <f>SUM(I17:I22)</f>
        <v>246667892</v>
      </c>
      <c r="J24" s="47"/>
      <c r="K24" s="46">
        <f>SUM(K17:K22)</f>
        <v>89599600</v>
      </c>
      <c r="L24" s="47"/>
      <c r="M24" s="46">
        <f>SUM(M17:M22)</f>
        <v>102451200</v>
      </c>
      <c r="N24" s="47"/>
      <c r="O24" s="46">
        <f>SUM(O17:O22)</f>
        <v>113614000</v>
      </c>
      <c r="P24" s="47"/>
      <c r="Q24" s="46">
        <f>SUM(Q17:Q22)</f>
        <v>135978200</v>
      </c>
      <c r="R24" s="47"/>
      <c r="S24" s="46">
        <f>SUM(S17:S22)</f>
        <v>131073600</v>
      </c>
      <c r="T24" s="47"/>
      <c r="U24" s="46">
        <f>SUM(U17:U22)</f>
        <v>136522400</v>
      </c>
      <c r="V24" s="47"/>
      <c r="W24" s="46">
        <f>SUM(W17:W22)</f>
        <v>74615451.41720131</v>
      </c>
      <c r="X24" s="47"/>
      <c r="Y24" s="46">
        <f>SUM(Y17:Y22)</f>
        <v>77670528.356941238</v>
      </c>
      <c r="Z24" s="47"/>
      <c r="AA24" s="46">
        <f>SUM(AA17:AA22)</f>
        <v>92401228.677083492</v>
      </c>
      <c r="AB24" s="47"/>
      <c r="AC24" s="46">
        <f>SUM(AC17:AC22)</f>
        <v>69662595.276919186</v>
      </c>
      <c r="AD24" s="47"/>
      <c r="AE24" s="46">
        <f>SUM(AE17:AE22)</f>
        <v>97627314.865680858</v>
      </c>
      <c r="AF24" s="47"/>
      <c r="AG24" s="46">
        <f>SUM(AG17:AG22)</f>
        <v>98145479.954816133</v>
      </c>
      <c r="AH24" s="47"/>
      <c r="AI24" s="46">
        <f>SUM(AI17:AI22)</f>
        <v>100460883</v>
      </c>
      <c r="AJ24" s="48"/>
      <c r="AK24" s="194">
        <f>SUM(AK17:AK22)</f>
        <v>121282999</v>
      </c>
      <c r="AL24" s="48"/>
      <c r="AM24" s="194">
        <f>SUM(AM17:AM22)</f>
        <v>107240823</v>
      </c>
      <c r="AN24" s="48"/>
      <c r="AO24" s="194">
        <f>SUM(AO17:AO22)</f>
        <v>109245697</v>
      </c>
      <c r="AP24" s="48"/>
      <c r="AQ24" s="194">
        <f>SUM(AQ17:AQ22)</f>
        <v>114009018</v>
      </c>
      <c r="AR24" s="172"/>
      <c r="AS24" s="172"/>
    </row>
    <row r="25" spans="1:53" ht="15.75" x14ac:dyDescent="0.2">
      <c r="A25" s="179"/>
      <c r="B25" s="193" t="s">
        <v>151</v>
      </c>
      <c r="C25" s="45"/>
      <c r="D25" s="45"/>
      <c r="E25" s="185"/>
      <c r="F25" s="181">
        <v>0.19</v>
      </c>
      <c r="G25" s="46">
        <f>ROUND(G24*F25,0)</f>
        <v>24314224</v>
      </c>
      <c r="H25" s="181">
        <v>0.19</v>
      </c>
      <c r="I25" s="46">
        <f>ROUND(I24*H25,0)</f>
        <v>46866899</v>
      </c>
      <c r="J25" s="181">
        <v>0.19</v>
      </c>
      <c r="K25" s="46">
        <f>ROUND(K24*J25,0)</f>
        <v>17023924</v>
      </c>
      <c r="L25" s="181">
        <v>0.19</v>
      </c>
      <c r="M25" s="46">
        <f>ROUND(M24*L25,0)</f>
        <v>19465728</v>
      </c>
      <c r="N25" s="181">
        <v>0.19</v>
      </c>
      <c r="O25" s="46">
        <f>ROUND(O24*N25,0)</f>
        <v>21586660</v>
      </c>
      <c r="P25" s="181">
        <v>0.19</v>
      </c>
      <c r="Q25" s="46">
        <f>ROUND(Q24*P25,0)</f>
        <v>25835858</v>
      </c>
      <c r="R25" s="181">
        <v>0.19</v>
      </c>
      <c r="S25" s="46">
        <f>ROUND(S24*R25,0)</f>
        <v>24903984</v>
      </c>
      <c r="T25" s="181">
        <v>0.19</v>
      </c>
      <c r="U25" s="46">
        <f>ROUND(U24*T25,0)</f>
        <v>25939256</v>
      </c>
      <c r="V25" s="181">
        <v>0.19</v>
      </c>
      <c r="W25" s="46">
        <f>ROUND(W24*V25,0)</f>
        <v>14176936</v>
      </c>
      <c r="X25" s="181">
        <v>0.19</v>
      </c>
      <c r="Y25" s="46">
        <f>ROUND(Y24*X25,0)</f>
        <v>14757400</v>
      </c>
      <c r="Z25" s="181">
        <v>0.19</v>
      </c>
      <c r="AA25" s="46">
        <f>ROUND(AA24*Z25,0)</f>
        <v>17556233</v>
      </c>
      <c r="AB25" s="181">
        <v>0.19</v>
      </c>
      <c r="AC25" s="46">
        <f>ROUND(AC24*AB25,0)</f>
        <v>13235893</v>
      </c>
      <c r="AD25" s="181">
        <v>0.19</v>
      </c>
      <c r="AE25" s="46">
        <f>ROUND(AE24*AD25,0)</f>
        <v>18549190</v>
      </c>
      <c r="AF25" s="181">
        <v>0.19</v>
      </c>
      <c r="AG25" s="46">
        <f>ROUND(AG24*AF25,0)</f>
        <v>18647641</v>
      </c>
      <c r="AH25" s="181">
        <v>0.19</v>
      </c>
      <c r="AI25" s="46">
        <f>ROUND(AI24*AH25,0)</f>
        <v>19087568</v>
      </c>
      <c r="AJ25" s="195">
        <v>0.19</v>
      </c>
      <c r="AK25" s="194">
        <f>ROUND(AK24*AJ25,0)</f>
        <v>23043770</v>
      </c>
      <c r="AL25" s="195">
        <v>0.19</v>
      </c>
      <c r="AM25" s="194">
        <f>ROUND(AM24*AL25,0)</f>
        <v>20375756</v>
      </c>
      <c r="AN25" s="195">
        <v>0.19</v>
      </c>
      <c r="AO25" s="194">
        <f>ROUND(AO24*AN25,0)</f>
        <v>20756682</v>
      </c>
      <c r="AP25" s="195">
        <v>0.19</v>
      </c>
      <c r="AQ25" s="194">
        <f>ROUND(AQ24*AP25,0)</f>
        <v>21661713</v>
      </c>
      <c r="AR25" s="172"/>
      <c r="AS25" s="172"/>
    </row>
    <row r="26" spans="1:53" ht="15.75" x14ac:dyDescent="0.2">
      <c r="A26" s="179"/>
      <c r="B26" s="165" t="s">
        <v>135</v>
      </c>
      <c r="C26" s="45"/>
      <c r="D26" s="45"/>
      <c r="E26" s="45"/>
      <c r="F26" s="47"/>
      <c r="G26" s="46">
        <f>SUM(G24:G25)</f>
        <v>152283824</v>
      </c>
      <c r="H26" s="47"/>
      <c r="I26" s="46">
        <f>SUM(I24:I25)</f>
        <v>293534791</v>
      </c>
      <c r="J26" s="47"/>
      <c r="K26" s="46">
        <f>SUM(K24:K25)</f>
        <v>106623524</v>
      </c>
      <c r="L26" s="47"/>
      <c r="M26" s="46">
        <f>SUM(M24:M25)</f>
        <v>121916928</v>
      </c>
      <c r="N26" s="47"/>
      <c r="O26" s="46">
        <f>SUM(O24:O25)</f>
        <v>135200660</v>
      </c>
      <c r="P26" s="47"/>
      <c r="Q26" s="46">
        <f>SUM(Q24:Q25)</f>
        <v>161814058</v>
      </c>
      <c r="R26" s="47"/>
      <c r="S26" s="46">
        <f>SUM(S24:S25)</f>
        <v>155977584</v>
      </c>
      <c r="T26" s="47"/>
      <c r="U26" s="46">
        <f>SUM(U24:U25)</f>
        <v>162461656</v>
      </c>
      <c r="V26" s="47"/>
      <c r="W26" s="46">
        <f>SUM(W24:W25)</f>
        <v>88792387.41720131</v>
      </c>
      <c r="X26" s="47"/>
      <c r="Y26" s="46">
        <f>SUM(Y24:Y25)</f>
        <v>92427928.356941238</v>
      </c>
      <c r="Z26" s="47"/>
      <c r="AA26" s="46">
        <f>SUM(AA24:AA25)</f>
        <v>109957461.67708349</v>
      </c>
      <c r="AB26" s="47"/>
      <c r="AC26" s="46">
        <f>SUM(AC24:AC25)</f>
        <v>82898488.276919186</v>
      </c>
      <c r="AD26" s="47"/>
      <c r="AE26" s="46">
        <f>SUM(AE24:AE25)</f>
        <v>116176504.86568086</v>
      </c>
      <c r="AF26" s="47"/>
      <c r="AG26" s="46">
        <f>SUM(AG24:AG25)</f>
        <v>116793120.95481613</v>
      </c>
      <c r="AH26" s="47"/>
      <c r="AI26" s="46">
        <f>SUM(AI24:AI25)</f>
        <v>119548451</v>
      </c>
      <c r="AJ26" s="48"/>
      <c r="AK26" s="194">
        <f>SUM(AK24:AK25)</f>
        <v>144326769</v>
      </c>
      <c r="AL26" s="48"/>
      <c r="AM26" s="194">
        <f>SUM(AM24:AM25)</f>
        <v>127616579</v>
      </c>
      <c r="AN26" s="48"/>
      <c r="AO26" s="194">
        <f>SUM(AO24:AO25)</f>
        <v>130002379</v>
      </c>
      <c r="AP26" s="48"/>
      <c r="AQ26" s="194">
        <f>SUM(AQ24:AQ25)</f>
        <v>135670731</v>
      </c>
      <c r="AR26" s="172"/>
      <c r="AS26" s="172"/>
    </row>
    <row r="27" spans="1:53" x14ac:dyDescent="0.2">
      <c r="A27" s="177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4"/>
      <c r="N27" s="172"/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/>
      <c r="AH27" s="186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</row>
    <row r="28" spans="1:53" x14ac:dyDescent="0.2">
      <c r="A28" s="177"/>
      <c r="B28" s="45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4">
        <f>W12+W26</f>
        <v>166121007.10548347</v>
      </c>
      <c r="X28" s="172"/>
      <c r="Y28" s="174">
        <f>Y12+Y26</f>
        <v>175219896.94833362</v>
      </c>
      <c r="Z28" s="172"/>
      <c r="AA28" s="174">
        <f>AA12+AA26</f>
        <v>184839473.13252538</v>
      </c>
      <c r="AB28" s="172"/>
      <c r="AC28" s="174">
        <f>AC12+AC26</f>
        <v>155757142.54522142</v>
      </c>
      <c r="AD28" s="172"/>
      <c r="AE28" s="174">
        <f>AE12+AE26</f>
        <v>177465302.22302377</v>
      </c>
      <c r="AF28" s="172"/>
      <c r="AG28" s="174">
        <f>AG12+AG26</f>
        <v>196826349.80570516</v>
      </c>
      <c r="AH28" s="172"/>
      <c r="AI28" s="174">
        <f>AI12+AI26</f>
        <v>201018673.79052299</v>
      </c>
      <c r="AJ28" s="172"/>
      <c r="AK28" s="174">
        <f>AK12+AK26</f>
        <v>229316459.97000003</v>
      </c>
      <c r="AL28" s="172"/>
      <c r="AM28" s="174">
        <f>AM12+AM26</f>
        <v>229062732</v>
      </c>
      <c r="AN28" s="172"/>
      <c r="AO28" s="174">
        <f>AO12+AO26</f>
        <v>213847980</v>
      </c>
      <c r="AP28" s="172"/>
      <c r="AQ28" s="174">
        <f>AQ12+AQ26</f>
        <v>225407589</v>
      </c>
      <c r="AR28" s="172"/>
      <c r="AS28" s="172"/>
    </row>
    <row r="29" spans="1:53" ht="15" customHeight="1" x14ac:dyDescent="0.2">
      <c r="A29" s="177"/>
      <c r="B29" s="45" t="s">
        <v>29</v>
      </c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/>
      <c r="AH29" s="172"/>
      <c r="AI29" s="172"/>
      <c r="AJ29" s="172"/>
      <c r="AK29" s="172"/>
      <c r="AL29" s="302"/>
      <c r="AM29" s="302"/>
      <c r="AN29" s="172"/>
      <c r="AO29" s="172"/>
      <c r="AP29" s="172"/>
      <c r="AQ29" s="172"/>
      <c r="AR29" s="172"/>
      <c r="AS29" s="172"/>
    </row>
    <row r="30" spans="1:53" x14ac:dyDescent="0.2">
      <c r="A30" s="177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/>
      <c r="AH30" s="172"/>
      <c r="AI30" s="172"/>
      <c r="AJ30" s="172"/>
      <c r="AK30" s="172"/>
      <c r="AL30" s="172"/>
      <c r="AM30" s="187"/>
      <c r="AN30" s="172"/>
      <c r="AO30" s="172"/>
      <c r="AP30" s="172"/>
      <c r="AQ30" s="172"/>
      <c r="AR30" s="172"/>
      <c r="AS30" s="172"/>
    </row>
    <row r="31" spans="1:53" ht="73.5" customHeight="1" x14ac:dyDescent="0.2">
      <c r="B31" s="190"/>
      <c r="C31" s="190"/>
      <c r="D31" s="190"/>
      <c r="E31" s="190"/>
      <c r="F31" s="315" t="str">
        <f>UPPER("OBJETO: Mantenimiento de las zonas seguridad y canales del aeropuerto Berastegui de Cienaga de Oro - Cordoba")</f>
        <v>OBJETO: MANTENIMIENTO DE LAS ZONAS SEGURIDAD Y CANALES DEL AEROPUERTO BERASTEGUI DE CIENAGA DE ORO - CORDOBA</v>
      </c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5"/>
      <c r="T31" s="315"/>
      <c r="U31" s="315"/>
      <c r="V31" s="190"/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0"/>
      <c r="AH31" s="190"/>
      <c r="AI31" s="190"/>
      <c r="AJ31" s="190"/>
      <c r="AK31" s="190"/>
      <c r="AL31" s="315" t="str">
        <f>UPPER("OBJETO: Mantenimiento de las zonas seguridad y canales del aeropuerto Berastegui de Cienaga de Oro - Cordoba")</f>
        <v>OBJETO: MANTENIMIENTO DE LAS ZONAS SEGURIDAD Y CANALES DEL AEROPUERTO BERASTEGUI DE CIENAGA DE ORO - CORDOBA</v>
      </c>
      <c r="AM31" s="315"/>
      <c r="AN31" s="315"/>
      <c r="AO31" s="315"/>
      <c r="AP31" s="315"/>
      <c r="AQ31" s="315"/>
      <c r="AR31" s="315"/>
      <c r="AS31" s="315"/>
      <c r="AT31" s="190"/>
      <c r="AU31" s="190"/>
      <c r="AV31" s="190"/>
      <c r="AW31" s="190"/>
      <c r="AX31" s="190"/>
      <c r="AY31" s="190"/>
      <c r="AZ31" s="190"/>
      <c r="BA31" s="190"/>
    </row>
    <row r="32" spans="1:53" ht="21" customHeight="1" x14ac:dyDescent="0.2">
      <c r="B32" s="191" t="s">
        <v>9</v>
      </c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72"/>
      <c r="AO32" s="172"/>
      <c r="AP32" s="172"/>
      <c r="AQ32" s="172"/>
      <c r="AR32" s="172"/>
      <c r="AS32" s="172"/>
    </row>
    <row r="33" spans="1:50" ht="129" customHeight="1" x14ac:dyDescent="0.2">
      <c r="A33" s="177"/>
      <c r="B33" s="178" t="s">
        <v>136</v>
      </c>
      <c r="C33" s="172"/>
      <c r="D33" s="172"/>
      <c r="E33" s="172"/>
      <c r="F33" s="303" t="s">
        <v>133</v>
      </c>
      <c r="G33" s="304"/>
      <c r="H33" s="303" t="s">
        <v>138</v>
      </c>
      <c r="I33" s="304"/>
      <c r="J33" s="303" t="s">
        <v>130</v>
      </c>
      <c r="K33" s="304"/>
      <c r="L33" s="303" t="s">
        <v>40</v>
      </c>
      <c r="M33" s="304"/>
      <c r="N33" s="303" t="s">
        <v>41</v>
      </c>
      <c r="O33" s="304"/>
      <c r="P33" s="305" t="s">
        <v>42</v>
      </c>
      <c r="Q33" s="306"/>
      <c r="R33" s="303" t="s">
        <v>43</v>
      </c>
      <c r="S33" s="304"/>
      <c r="T33" s="303" t="s">
        <v>22</v>
      </c>
      <c r="U33" s="304"/>
      <c r="V33" s="307"/>
      <c r="W33" s="308"/>
      <c r="X33" s="300" t="s">
        <v>52</v>
      </c>
      <c r="Y33" s="301"/>
      <c r="Z33" s="309" t="s">
        <v>53</v>
      </c>
      <c r="AA33" s="310"/>
      <c r="AB33" s="294" t="s">
        <v>54</v>
      </c>
      <c r="AC33" s="295"/>
      <c r="AD33" s="294" t="s">
        <v>55</v>
      </c>
      <c r="AE33" s="295"/>
      <c r="AF33" s="300" t="s">
        <v>56</v>
      </c>
      <c r="AG33" s="301"/>
      <c r="AH33" s="298" t="s">
        <v>57</v>
      </c>
      <c r="AI33" s="299"/>
      <c r="AJ33" s="294" t="s">
        <v>58</v>
      </c>
      <c r="AK33" s="295"/>
      <c r="AL33" s="313" t="s">
        <v>12</v>
      </c>
      <c r="AM33" s="314"/>
      <c r="AN33" s="313" t="s">
        <v>16</v>
      </c>
      <c r="AO33" s="314"/>
      <c r="AP33" s="313" t="s">
        <v>17</v>
      </c>
      <c r="AQ33" s="314"/>
      <c r="AR33" s="313" t="s">
        <v>18</v>
      </c>
      <c r="AS33" s="314"/>
    </row>
    <row r="34" spans="1:50" ht="34.5" customHeight="1" x14ac:dyDescent="0.2">
      <c r="A34" s="56" t="s">
        <v>8</v>
      </c>
      <c r="B34" s="56" t="s">
        <v>7</v>
      </c>
      <c r="C34" s="56" t="s">
        <v>6</v>
      </c>
      <c r="D34" s="56" t="s">
        <v>5</v>
      </c>
      <c r="E34" s="56" t="s">
        <v>3</v>
      </c>
      <c r="F34" s="57" t="s">
        <v>4</v>
      </c>
      <c r="G34" s="56" t="s">
        <v>0</v>
      </c>
      <c r="H34" s="57" t="s">
        <v>4</v>
      </c>
      <c r="I34" s="56" t="s">
        <v>0</v>
      </c>
      <c r="J34" s="57" t="s">
        <v>4</v>
      </c>
      <c r="K34" s="56" t="s">
        <v>0</v>
      </c>
      <c r="L34" s="57" t="s">
        <v>4</v>
      </c>
      <c r="M34" s="56" t="s">
        <v>0</v>
      </c>
      <c r="N34" s="57" t="s">
        <v>4</v>
      </c>
      <c r="O34" s="56" t="s">
        <v>0</v>
      </c>
      <c r="P34" s="60" t="s">
        <v>4</v>
      </c>
      <c r="Q34" s="61" t="s">
        <v>0</v>
      </c>
      <c r="R34" s="57" t="s">
        <v>4</v>
      </c>
      <c r="S34" s="56" t="s">
        <v>0</v>
      </c>
      <c r="T34" s="62" t="s">
        <v>4</v>
      </c>
      <c r="U34" s="63" t="s">
        <v>0</v>
      </c>
      <c r="V34" s="64" t="s">
        <v>4</v>
      </c>
      <c r="W34" s="65" t="s">
        <v>0</v>
      </c>
      <c r="X34" s="66" t="s">
        <v>4</v>
      </c>
      <c r="Y34" s="67" t="s">
        <v>0</v>
      </c>
      <c r="Z34" s="68" t="s">
        <v>4</v>
      </c>
      <c r="AA34" s="69" t="s">
        <v>0</v>
      </c>
      <c r="AB34" s="60" t="s">
        <v>4</v>
      </c>
      <c r="AC34" s="61" t="s">
        <v>0</v>
      </c>
      <c r="AD34" s="58" t="s">
        <v>4</v>
      </c>
      <c r="AE34" s="59" t="s">
        <v>0</v>
      </c>
      <c r="AF34" s="66" t="s">
        <v>4</v>
      </c>
      <c r="AG34" s="67" t="s">
        <v>0</v>
      </c>
      <c r="AH34" s="58" t="s">
        <v>4</v>
      </c>
      <c r="AI34" s="59" t="s">
        <v>0</v>
      </c>
      <c r="AJ34" s="60" t="s">
        <v>4</v>
      </c>
      <c r="AK34" s="61" t="s">
        <v>0</v>
      </c>
      <c r="AL34" s="57" t="s">
        <v>4</v>
      </c>
      <c r="AM34" s="56" t="s">
        <v>0</v>
      </c>
      <c r="AN34" s="57" t="s">
        <v>4</v>
      </c>
      <c r="AO34" s="56" t="s">
        <v>0</v>
      </c>
      <c r="AP34" s="57" t="s">
        <v>4</v>
      </c>
      <c r="AQ34" s="56" t="s">
        <v>0</v>
      </c>
      <c r="AR34" s="57" t="s">
        <v>4</v>
      </c>
      <c r="AS34" s="56" t="s">
        <v>0</v>
      </c>
    </row>
    <row r="35" spans="1:50" ht="63.75" x14ac:dyDescent="0.2">
      <c r="A35" s="103">
        <v>1</v>
      </c>
      <c r="B35" s="102" t="s">
        <v>13</v>
      </c>
      <c r="C35" s="103" t="s">
        <v>1</v>
      </c>
      <c r="D35" s="51">
        <v>33.25</v>
      </c>
      <c r="E35" s="103">
        <v>4</v>
      </c>
      <c r="F35" s="20">
        <v>320000</v>
      </c>
      <c r="G35" s="166">
        <f>ROUND(D35*E35*F35,0)</f>
        <v>42560000</v>
      </c>
      <c r="H35" s="20">
        <v>612439</v>
      </c>
      <c r="I35" s="166">
        <f>ROUND(D35*E35*H35,0)</f>
        <v>81454387</v>
      </c>
      <c r="J35" s="20">
        <v>290000</v>
      </c>
      <c r="K35" s="166">
        <f>ROUND(D35*E35*J35,0)</f>
        <v>38570000</v>
      </c>
      <c r="L35" s="20">
        <v>250000</v>
      </c>
      <c r="M35" s="20">
        <f>L35*E35*D35</f>
        <v>33250000</v>
      </c>
      <c r="N35" s="167">
        <v>280000</v>
      </c>
      <c r="O35" s="167">
        <f>D35*E35*N35</f>
        <v>37240000</v>
      </c>
      <c r="P35" s="20">
        <v>300000</v>
      </c>
      <c r="Q35" s="23">
        <f>D35*E35*P35</f>
        <v>39900000</v>
      </c>
      <c r="R35" s="36">
        <v>310000</v>
      </c>
      <c r="S35" s="20">
        <f>D35*E35*R35</f>
        <v>41230000</v>
      </c>
      <c r="T35" s="40">
        <v>315000</v>
      </c>
      <c r="U35" s="36">
        <f>D35*E35*T35</f>
        <v>41895000</v>
      </c>
      <c r="V35" s="132"/>
      <c r="W35" s="132">
        <f>D35*E35*V35</f>
        <v>0</v>
      </c>
      <c r="X35" s="97">
        <f>250000*1.0373*1.0244*1.0194*1.0366*1.0677*1.0575</f>
        <v>316956.31490137824</v>
      </c>
      <c r="Y35" s="97">
        <f>D35*E35*X35</f>
        <v>42155189.881883308</v>
      </c>
      <c r="Z35" s="98">
        <f>240000*1.0244*1.0194*1.0366*1.0677*1.0575</f>
        <v>293336.60686910537</v>
      </c>
      <c r="AA35" s="98">
        <f>D35*E35*Z35</f>
        <v>39013768.713591017</v>
      </c>
      <c r="AB35" s="167">
        <f>246578*1.0194*1.0366*1.0677*1.0575</f>
        <v>294198.04214080708</v>
      </c>
      <c r="AC35" s="23">
        <f>D35*E35*AB35</f>
        <v>39128339.604727343</v>
      </c>
      <c r="AD35" s="167">
        <f>253457*1.0194*1.0366*1.0677*1.0575</f>
        <v>302405.53969487362</v>
      </c>
      <c r="AE35" s="30">
        <f>D35*E35*AD35</f>
        <v>40219936.779418193</v>
      </c>
      <c r="AF35" s="97">
        <f>268008*1.0366*1.0677*1.0575</f>
        <v>313681.26530655724</v>
      </c>
      <c r="AG35" s="97">
        <f>D35*E35*AF35</f>
        <v>41719608.285772115</v>
      </c>
      <c r="AH35" s="30">
        <f>257126*1.0677*1.0575</f>
        <v>290319.10243650002</v>
      </c>
      <c r="AI35" s="30">
        <f>D35*E35*AH35</f>
        <v>38612440.624054499</v>
      </c>
      <c r="AJ35" s="23">
        <f>291864*1.0575</f>
        <v>308646.18000000005</v>
      </c>
      <c r="AK35" s="23">
        <f>D35*E35*AJ35</f>
        <v>41049941.940000005</v>
      </c>
      <c r="AL35" s="17">
        <f>ROUND((AVERAGE(F35,H35,J35,L35,N35,P35,R35,T35,X35,Z35,AB35,AD35,AF35,AH35,AJ35)),0)</f>
        <v>319799</v>
      </c>
      <c r="AM35" s="17">
        <f>ROUND((D35*E35*AL35),0)</f>
        <v>42533267</v>
      </c>
      <c r="AN35" s="17">
        <f>ROUND((MEDIAN(F35,H35,J35,N35,L35,P35,R35,T35,V35,X35,Z35,AB35,AD35,AF35,AH35,AJ35)),0)</f>
        <v>302406</v>
      </c>
      <c r="AO35" s="17">
        <f>ROUND((D35*E35*AN35),0)</f>
        <v>40219998</v>
      </c>
      <c r="AP35" s="17">
        <f>ROUND((HARMEAN(F35,H35,J35,L35,N35,P35,R35,T35,V35,X35,Z35,AB35,AD35,AF35,AH35,AJ35)),0)</f>
        <v>308302</v>
      </c>
      <c r="AQ35" s="17">
        <f>ROUND((D35*E35*AP35),0)</f>
        <v>41004166</v>
      </c>
      <c r="AR35" s="17">
        <f>ROUND((GEOMEAN(F35,H35,J35,L35,N35,P35,R35,T35,V35,X35,Z35,AB35,AD35,AF35,AH35,AJ35)),0)</f>
        <v>312988</v>
      </c>
      <c r="AS35" s="17">
        <f>ROUND((D35*E35*AR35),0)</f>
        <v>41627404</v>
      </c>
    </row>
    <row r="36" spans="1:50" ht="89.25" x14ac:dyDescent="0.2">
      <c r="A36" s="103">
        <v>2</v>
      </c>
      <c r="B36" s="102" t="s">
        <v>59</v>
      </c>
      <c r="C36" s="103" t="s">
        <v>2</v>
      </c>
      <c r="D36" s="51">
        <v>4206</v>
      </c>
      <c r="E36" s="103">
        <v>4</v>
      </c>
      <c r="F36" s="20">
        <v>2200</v>
      </c>
      <c r="G36" s="166">
        <f>ROUND(D36*E36*F36,0)</f>
        <v>37012800</v>
      </c>
      <c r="H36" s="20">
        <v>3860</v>
      </c>
      <c r="I36" s="166">
        <f>ROUND(D36*E36*H36,0)</f>
        <v>64940640</v>
      </c>
      <c r="J36" s="20">
        <v>1700</v>
      </c>
      <c r="K36" s="166">
        <f>ROUND(D36*E36*J36,0)</f>
        <v>28600800</v>
      </c>
      <c r="L36" s="20">
        <v>1800</v>
      </c>
      <c r="M36" s="20">
        <f>L36*E36*D36</f>
        <v>30283200</v>
      </c>
      <c r="N36" s="167">
        <v>2100</v>
      </c>
      <c r="O36" s="167">
        <f>D36*E36*N36</f>
        <v>35330400</v>
      </c>
      <c r="P36" s="20">
        <v>2950</v>
      </c>
      <c r="Q36" s="23">
        <f>D36*E36*P36</f>
        <v>49630800</v>
      </c>
      <c r="R36" s="36">
        <v>2700</v>
      </c>
      <c r="S36" s="20">
        <f>D36*E36*R36</f>
        <v>45424800</v>
      </c>
      <c r="T36" s="40">
        <v>2800</v>
      </c>
      <c r="U36" s="36">
        <f>D36*E36*T36</f>
        <v>47107200</v>
      </c>
      <c r="V36" s="132"/>
      <c r="W36" s="132">
        <f>D36*E36*V36</f>
        <v>0</v>
      </c>
      <c r="X36" s="97"/>
      <c r="Y36" s="97">
        <f>D36*E36*X36</f>
        <v>0</v>
      </c>
      <c r="Z36" s="98">
        <f>4284*1.0244*1.0194*1.0366*1.0677*1.0575</f>
        <v>5236.0584326135313</v>
      </c>
      <c r="AA36" s="98">
        <f>D36*E36*Z36</f>
        <v>88091447.070290044</v>
      </c>
      <c r="AB36" s="167"/>
      <c r="AC36" s="23">
        <f>D36*E36*AB36</f>
        <v>0</v>
      </c>
      <c r="AD36" s="167"/>
      <c r="AE36" s="30">
        <f>D36*E36*AD36</f>
        <v>0</v>
      </c>
      <c r="AF36" s="97">
        <f>1942*1.0366*1.0677*1.0575</f>
        <v>2272.9508717103004</v>
      </c>
      <c r="AG36" s="97">
        <f>D36*E36*AF36</f>
        <v>38240125.46565409</v>
      </c>
      <c r="AH36" s="30">
        <f>1670*1.0677*1.0575</f>
        <v>1885.5848925000005</v>
      </c>
      <c r="AI36" s="30">
        <f>D36*E36*AH36</f>
        <v>31723080.231420007</v>
      </c>
      <c r="AJ36" s="23">
        <f>1993*1.0575</f>
        <v>2107.5975000000003</v>
      </c>
      <c r="AK36" s="23">
        <f>D36*E36*AJ36</f>
        <v>35458220.340000004</v>
      </c>
      <c r="AL36" s="17">
        <f>ROUND((AVERAGE(F36,H36,J36,L36,N36,P36,R36,T36,X36,Z36,AB36,AD36,AF36,AH36,AJ36)),0)</f>
        <v>2634</v>
      </c>
      <c r="AM36" s="17">
        <f>ROUND((D36*E36*AL36),0)</f>
        <v>44314416</v>
      </c>
      <c r="AN36" s="17">
        <f>ROUND((MEDIAN(F36,H36,J36,N36,L36,P36,R36,T36,V36,X36,Z36,AB36,AD36,AF36,AH36,AJ36)),0)</f>
        <v>2236</v>
      </c>
      <c r="AO36" s="17">
        <f>ROUND((D36*E36*AN36),0)</f>
        <v>37618464</v>
      </c>
      <c r="AP36" s="17">
        <f>ROUND((HARMEAN(F36,H36,J36,L36,N36,P36,R36,T36,V36,X36,Z36,AB36,AD36,AF36,AH36,AJ36)),0)</f>
        <v>2383</v>
      </c>
      <c r="AQ36" s="17">
        <f>ROUND((D36*E36*AP36),0)</f>
        <v>40091592</v>
      </c>
      <c r="AR36" s="17">
        <f>ROUND((GEOMEAN(F36,H36,J36,L36,N36,P36,R36,T36,V36,X36,Z36,AB36,AD36,AF36,AH36,AJ36)),0)</f>
        <v>2493</v>
      </c>
      <c r="AS36" s="17">
        <f>ROUND((D36*E36*AR36),0)</f>
        <v>41942232</v>
      </c>
    </row>
    <row r="37" spans="1:50" ht="76.5" x14ac:dyDescent="0.2">
      <c r="A37" s="103">
        <v>3</v>
      </c>
      <c r="B37" s="102" t="s">
        <v>14</v>
      </c>
      <c r="C37" s="110" t="s">
        <v>2</v>
      </c>
      <c r="D37" s="109">
        <v>2567</v>
      </c>
      <c r="E37" s="110">
        <v>4</v>
      </c>
      <c r="F37" s="20">
        <v>2100</v>
      </c>
      <c r="G37" s="166">
        <f>ROUND(D37*E37*F37,0)</f>
        <v>21562800</v>
      </c>
      <c r="H37" s="20">
        <v>6500</v>
      </c>
      <c r="I37" s="166">
        <f>ROUND(D37*E37*H37,0)</f>
        <v>66742000</v>
      </c>
      <c r="J37" s="20">
        <v>1600</v>
      </c>
      <c r="K37" s="166">
        <f>ROUND(D37*E37*J37,0)</f>
        <v>16428800</v>
      </c>
      <c r="L37" s="20">
        <v>1800</v>
      </c>
      <c r="M37" s="20">
        <f>L37*E37*D37</f>
        <v>18482400</v>
      </c>
      <c r="N37" s="167">
        <v>2100</v>
      </c>
      <c r="O37" s="167">
        <f>D37*E37*N37</f>
        <v>21562800</v>
      </c>
      <c r="P37" s="20">
        <v>2950</v>
      </c>
      <c r="Q37" s="23">
        <f>D37*E37*P37</f>
        <v>30290600</v>
      </c>
      <c r="R37" s="36">
        <v>2700</v>
      </c>
      <c r="S37" s="20">
        <f>D37*E37*R37</f>
        <v>27723600</v>
      </c>
      <c r="T37" s="40">
        <v>2800</v>
      </c>
      <c r="U37" s="36">
        <f>D37*E37*T37</f>
        <v>28750400</v>
      </c>
      <c r="V37" s="132"/>
      <c r="W37" s="132">
        <f>D37*E37*V37</f>
        <v>0</v>
      </c>
      <c r="X37" s="97"/>
      <c r="Y37" s="97">
        <f>D37*E37*X37</f>
        <v>0</v>
      </c>
      <c r="Z37" s="98"/>
      <c r="AA37" s="98">
        <f>D37*E37*Z37</f>
        <v>0</v>
      </c>
      <c r="AB37" s="167"/>
      <c r="AC37" s="23">
        <f>D37*E37*AB37</f>
        <v>0</v>
      </c>
      <c r="AD37" s="167"/>
      <c r="AE37" s="30">
        <f>D37*E37*AD37</f>
        <v>0</v>
      </c>
      <c r="AF37" s="97">
        <f>1841*1.0366*1.0677*1.0575</f>
        <v>2154.7386997006502</v>
      </c>
      <c r="AG37" s="97">
        <f>D37*E37*AF37</f>
        <v>22124856.968526278</v>
      </c>
      <c r="AH37" s="30">
        <f>1893*1.0677*1.0575</f>
        <v>2137.3725757500006</v>
      </c>
      <c r="AI37" s="30">
        <f>D37*E37*AH37</f>
        <v>21946541.607801005</v>
      </c>
      <c r="AJ37" s="23">
        <f>1911*1.0575</f>
        <v>2020.8825000000002</v>
      </c>
      <c r="AK37" s="23">
        <f>D37*E37*AJ37</f>
        <v>20750421.510000002</v>
      </c>
      <c r="AL37" s="17">
        <f>ROUND((AVERAGE(F37,H37,J37,L37,N37,P37,R37,T37,X37,Z37,AB37,AD37,AF37,AH37,AJ37)),0)</f>
        <v>2624</v>
      </c>
      <c r="AM37" s="17">
        <f>ROUND((D37*E37*AL37),0)</f>
        <v>26943232</v>
      </c>
      <c r="AN37" s="17">
        <f>ROUND((MEDIAN(F37,H37,J37,N37,L37,P37,R37,T37,V37,X37,Z37,AB37,AD37,AF37,AH37,AJ37)),0)</f>
        <v>2137</v>
      </c>
      <c r="AO37" s="17">
        <f>ROUND((D37*E37*AN37),0)</f>
        <v>21942716</v>
      </c>
      <c r="AP37" s="17">
        <f>ROUND((HARMEAN(F37,H37,J37,L37,N37,P37,R37,T37,V37,X37,Z37,AB37,AD37,AF37,AH37,AJ37)),0)</f>
        <v>2301</v>
      </c>
      <c r="AQ37" s="17">
        <f>ROUND((D37*E37*AP37),0)</f>
        <v>23626668</v>
      </c>
      <c r="AR37" s="17">
        <f>ROUND((GEOMEAN(F37,H37,J37,L37,N37,P37,R37,T37,V37,X37,Z37,AB37,AD37,AF37,AH37,AJ37)),0)</f>
        <v>2426</v>
      </c>
      <c r="AS37" s="17">
        <f>ROUND((D37*E37*AR37),0)</f>
        <v>24910168</v>
      </c>
    </row>
    <row r="38" spans="1:50" ht="38.25" x14ac:dyDescent="0.2">
      <c r="A38" s="103">
        <v>4</v>
      </c>
      <c r="B38" s="102" t="s">
        <v>46</v>
      </c>
      <c r="C38" s="52" t="s">
        <v>1</v>
      </c>
      <c r="D38" s="111">
        <v>14</v>
      </c>
      <c r="E38" s="52">
        <v>4</v>
      </c>
      <c r="F38" s="20">
        <v>500000</v>
      </c>
      <c r="G38" s="166">
        <f>ROUND(D38*E38*F38,0)</f>
        <v>28000000</v>
      </c>
      <c r="H38" s="20">
        <v>1200000</v>
      </c>
      <c r="I38" s="166">
        <f>ROUND(D38*E38*H38,0)</f>
        <v>67200000</v>
      </c>
      <c r="J38" s="20">
        <v>147000</v>
      </c>
      <c r="K38" s="166">
        <f>ROUND(D38*E38*J38,0)</f>
        <v>8232000</v>
      </c>
      <c r="L38" s="20">
        <v>170000</v>
      </c>
      <c r="M38" s="20">
        <f>L38*E38*D38</f>
        <v>9520000</v>
      </c>
      <c r="N38" s="167">
        <v>200000</v>
      </c>
      <c r="O38" s="167">
        <f>D38*E38*N38</f>
        <v>11200000</v>
      </c>
      <c r="P38" s="20">
        <v>250000</v>
      </c>
      <c r="Q38" s="23">
        <f>D38*E38*P38</f>
        <v>14000000</v>
      </c>
      <c r="R38" s="36">
        <v>170000</v>
      </c>
      <c r="S38" s="20">
        <f>D38*E38*R38</f>
        <v>9520000</v>
      </c>
      <c r="T38" s="40">
        <v>180000</v>
      </c>
      <c r="U38" s="36">
        <f>D38*E38*T38</f>
        <v>10080000</v>
      </c>
      <c r="V38" s="132"/>
      <c r="W38" s="132">
        <f>D38*E38*V38</f>
        <v>0</v>
      </c>
      <c r="X38" s="97"/>
      <c r="Y38" s="97">
        <f>D38*E38*X38</f>
        <v>0</v>
      </c>
      <c r="Z38" s="98">
        <f>338945*1.0244*1.0194*1.0366*1.0677*1.0575</f>
        <v>414270.73423020385</v>
      </c>
      <c r="AA38" s="98">
        <f>D38*E38*Z38</f>
        <v>23199161.116891414</v>
      </c>
      <c r="AB38" s="167">
        <f>246492*1.0194*1.0366*1.0677*1.0575</f>
        <v>294095.43350733572</v>
      </c>
      <c r="AC38" s="23">
        <f>D38*E38*AB38</f>
        <v>16469344.276410799</v>
      </c>
      <c r="AD38" s="167">
        <f>158950*1.0194*1.0366*1.0677*1.0575</f>
        <v>189647.00337532663</v>
      </c>
      <c r="AE38" s="30">
        <f>D38*E38*AD38</f>
        <v>10620232.18901829</v>
      </c>
      <c r="AF38" s="97">
        <f>146173*1.0366*1.0677*1.0575</f>
        <v>171083.44375412446</v>
      </c>
      <c r="AG38" s="97">
        <f>D38*E38*AF38</f>
        <v>9580672.8502309695</v>
      </c>
      <c r="AH38" s="30">
        <f>170161*1.0677*1.0575</f>
        <v>192127.55143275004</v>
      </c>
      <c r="AI38" s="30">
        <f>D38*E38*AH38</f>
        <v>10759142.880234003</v>
      </c>
      <c r="AJ38" s="23">
        <f>196479*1.0575</f>
        <v>207776.54250000001</v>
      </c>
      <c r="AK38" s="23">
        <f>D38*E38*AJ38</f>
        <v>11635486.380000001</v>
      </c>
      <c r="AL38" s="17">
        <f>ROUND((AVERAGE(F38,H38,J38,L38,N38,P38,R38,T38,X38,Z38,AB38,AD38,AF38,AH38,AJ38)),0)</f>
        <v>306143</v>
      </c>
      <c r="AM38" s="17">
        <f>ROUND((D38*E38*AL38),0)</f>
        <v>17144008</v>
      </c>
      <c r="AN38" s="17">
        <f>ROUND((MEDIAN(F38,H38,J38,N38,L38,P38,R38,T38,V38,X38,Z38,AB38,AD38,AF38,AH38,AJ38)),0)</f>
        <v>196064</v>
      </c>
      <c r="AO38" s="17">
        <f>ROUND((D38*E38*AN38),0)</f>
        <v>10979584</v>
      </c>
      <c r="AP38" s="17">
        <f>ROUND((HARMEAN(F38,H38,J38,L38,N38,P38,R38,T38,V38,X38,Z38,AB38,AD38,AF38,AH38,AJ38)),0)</f>
        <v>222553</v>
      </c>
      <c r="AQ38" s="17">
        <f>ROUND((D38*E38*AP38),0)</f>
        <v>12462968</v>
      </c>
      <c r="AR38" s="17">
        <f>ROUND((GEOMEAN(F38,H38,J38,L38,N38,P38,R38,T38,V38,X38,Z38,AB38,AD38,AF38,AH38,AJ38)),0)</f>
        <v>249489</v>
      </c>
      <c r="AS38" s="17">
        <f>ROUND((D38*E38*AR38),0)</f>
        <v>13971384</v>
      </c>
    </row>
    <row r="39" spans="1:50" x14ac:dyDescent="0.2">
      <c r="A39" s="152"/>
      <c r="B39" s="53"/>
      <c r="C39" s="52"/>
      <c r="D39" s="51"/>
      <c r="E39" s="52"/>
      <c r="F39" s="52"/>
      <c r="G39" s="52"/>
      <c r="H39" s="52"/>
      <c r="I39" s="52"/>
      <c r="J39" s="52"/>
      <c r="K39" s="52"/>
      <c r="L39" s="20"/>
      <c r="M39" s="20"/>
      <c r="N39" s="167"/>
      <c r="O39" s="167"/>
      <c r="P39" s="23"/>
      <c r="Q39" s="23"/>
      <c r="R39" s="20"/>
      <c r="S39" s="20"/>
      <c r="T39" s="36"/>
      <c r="U39" s="36"/>
      <c r="V39" s="132"/>
      <c r="W39" s="132"/>
      <c r="X39" s="97"/>
      <c r="Y39" s="97"/>
      <c r="Z39" s="98"/>
      <c r="AA39" s="98"/>
      <c r="AB39" s="23"/>
      <c r="AC39" s="23">
        <f>D39*E39*AB39</f>
        <v>0</v>
      </c>
      <c r="AD39" s="30"/>
      <c r="AE39" s="30"/>
      <c r="AF39" s="97"/>
      <c r="AG39" s="97"/>
      <c r="AH39" s="30"/>
      <c r="AI39" s="30"/>
      <c r="AJ39" s="23"/>
      <c r="AK39" s="23"/>
      <c r="AL39" s="17"/>
      <c r="AM39" s="17"/>
      <c r="AN39" s="17"/>
      <c r="AO39" s="17"/>
      <c r="AP39" s="17"/>
      <c r="AQ39" s="17"/>
      <c r="AR39" s="17"/>
      <c r="AS39" s="17"/>
    </row>
    <row r="40" spans="1:50" ht="15.75" x14ac:dyDescent="0.2">
      <c r="A40" s="179"/>
      <c r="B40" s="193" t="s">
        <v>150</v>
      </c>
      <c r="C40" s="184"/>
      <c r="D40" s="188"/>
      <c r="E40" s="184"/>
      <c r="F40" s="47"/>
      <c r="G40" s="46">
        <f>SUM(G35:G38)</f>
        <v>129135600</v>
      </c>
      <c r="H40" s="47"/>
      <c r="I40" s="46">
        <f>SUM(I35:I38)</f>
        <v>280337027</v>
      </c>
      <c r="J40" s="47"/>
      <c r="K40" s="46">
        <f>SUM(K35:K38)</f>
        <v>91831600</v>
      </c>
      <c r="L40" s="47"/>
      <c r="M40" s="46">
        <f>SUM(M35:M38)</f>
        <v>91535600</v>
      </c>
      <c r="N40" s="47"/>
      <c r="O40" s="46">
        <f>SUM(O35:O38)</f>
        <v>105333200</v>
      </c>
      <c r="P40" s="47"/>
      <c r="Q40" s="46">
        <f>SUM(Q35:Q38)</f>
        <v>133821400</v>
      </c>
      <c r="R40" s="47"/>
      <c r="S40" s="46">
        <f>SUM(S35:S38)</f>
        <v>123898400</v>
      </c>
      <c r="T40" s="47"/>
      <c r="U40" s="46">
        <f>SUM(U35:U38)</f>
        <v>127832600</v>
      </c>
      <c r="V40" s="47"/>
      <c r="W40" s="46">
        <f>SUM(W35:W38)</f>
        <v>0</v>
      </c>
      <c r="X40" s="47"/>
      <c r="Y40" s="46">
        <f>SUM(Y35:Y38)</f>
        <v>42155189.881883308</v>
      </c>
      <c r="Z40" s="47"/>
      <c r="AA40" s="46">
        <f>SUM(AA35:AA38)</f>
        <v>150304376.90077248</v>
      </c>
      <c r="AB40" s="47"/>
      <c r="AC40" s="46">
        <f>SUM(AC35:AC38)</f>
        <v>55597683.881138146</v>
      </c>
      <c r="AD40" s="47"/>
      <c r="AE40" s="46">
        <f>SUM(AE35:AE38)</f>
        <v>50840168.96843648</v>
      </c>
      <c r="AF40" s="47"/>
      <c r="AG40" s="46">
        <f>SUM(AG35:AG38)</f>
        <v>111665263.57018346</v>
      </c>
      <c r="AH40" s="47"/>
      <c r="AI40" s="46">
        <f>SUM(AI35:AI38)</f>
        <v>103041205.34350951</v>
      </c>
      <c r="AJ40" s="47"/>
      <c r="AK40" s="46">
        <f>SUM(AK35:AK38)</f>
        <v>108894070.17</v>
      </c>
      <c r="AL40" s="48"/>
      <c r="AM40" s="194">
        <f>SUM(AM35:AM38)</f>
        <v>130934923</v>
      </c>
      <c r="AN40" s="48"/>
      <c r="AO40" s="194">
        <f>SUM(AO35:AO38)</f>
        <v>110760762</v>
      </c>
      <c r="AP40" s="48"/>
      <c r="AQ40" s="194">
        <f>SUM(AQ35:AQ38)</f>
        <v>117185394</v>
      </c>
      <c r="AR40" s="48"/>
      <c r="AS40" s="194">
        <f>SUM(AS35:AS38)</f>
        <v>122451188</v>
      </c>
    </row>
    <row r="41" spans="1:50" ht="15.75" x14ac:dyDescent="0.2">
      <c r="A41" s="179"/>
      <c r="B41" s="193" t="s">
        <v>151</v>
      </c>
      <c r="C41" s="45"/>
      <c r="D41" s="45"/>
      <c r="E41" s="185">
        <v>0.19</v>
      </c>
      <c r="F41" s="181">
        <v>0.19</v>
      </c>
      <c r="G41" s="46">
        <f>ROUND(G40*F41,0)</f>
        <v>24535764</v>
      </c>
      <c r="H41" s="181">
        <v>0.19</v>
      </c>
      <c r="I41" s="46">
        <f>ROUND(I40*H41,0)</f>
        <v>53264035</v>
      </c>
      <c r="J41" s="181">
        <v>0.19</v>
      </c>
      <c r="K41" s="46">
        <f>ROUND(K40*J41,0)</f>
        <v>17448004</v>
      </c>
      <c r="L41" s="181">
        <v>0.19</v>
      </c>
      <c r="M41" s="46">
        <f>ROUND(M40*L41,0)</f>
        <v>17391764</v>
      </c>
      <c r="N41" s="181">
        <v>0.19</v>
      </c>
      <c r="O41" s="46">
        <f>ROUND(O40*N41,0)</f>
        <v>20013308</v>
      </c>
      <c r="P41" s="181">
        <v>0.19</v>
      </c>
      <c r="Q41" s="46">
        <f>ROUND(Q40*P41,0)</f>
        <v>25426066</v>
      </c>
      <c r="R41" s="181">
        <v>0.19</v>
      </c>
      <c r="S41" s="46">
        <f>ROUND(S40*R41,0)</f>
        <v>23540696</v>
      </c>
      <c r="T41" s="181">
        <v>0.19</v>
      </c>
      <c r="U41" s="46">
        <f>ROUND(U40*T41,0)</f>
        <v>24288194</v>
      </c>
      <c r="V41" s="181">
        <v>0.19</v>
      </c>
      <c r="W41" s="46">
        <f>ROUND(W40*V41,0)</f>
        <v>0</v>
      </c>
      <c r="X41" s="181">
        <v>0.19</v>
      </c>
      <c r="Y41" s="46">
        <f>ROUND(Y40*X41,0)</f>
        <v>8009486</v>
      </c>
      <c r="Z41" s="181">
        <v>0.19</v>
      </c>
      <c r="AA41" s="46">
        <f>ROUND(AA40*Z41,0)</f>
        <v>28557832</v>
      </c>
      <c r="AB41" s="181">
        <v>0.19</v>
      </c>
      <c r="AC41" s="46">
        <f>ROUND(AC40*AB41,0)</f>
        <v>10563560</v>
      </c>
      <c r="AD41" s="181">
        <v>0.19</v>
      </c>
      <c r="AE41" s="46">
        <f>ROUND(AE40*AD41,0)</f>
        <v>9659632</v>
      </c>
      <c r="AF41" s="181">
        <v>0.19</v>
      </c>
      <c r="AG41" s="46">
        <f>ROUND(AG40*AF41,0)</f>
        <v>21216400</v>
      </c>
      <c r="AH41" s="181">
        <v>0.19</v>
      </c>
      <c r="AI41" s="46">
        <f>ROUND(AI40*AH41,0)</f>
        <v>19577829</v>
      </c>
      <c r="AJ41" s="181">
        <v>0.19</v>
      </c>
      <c r="AK41" s="46">
        <f>ROUND(AK40*AJ41,0)</f>
        <v>20689873</v>
      </c>
      <c r="AL41" s="195">
        <v>0.19</v>
      </c>
      <c r="AM41" s="194">
        <f>ROUND(AM40*AL41,0)</f>
        <v>24877635</v>
      </c>
      <c r="AN41" s="195">
        <v>0.19</v>
      </c>
      <c r="AO41" s="194">
        <f>ROUND(AO40*AN41,0)</f>
        <v>21044545</v>
      </c>
      <c r="AP41" s="195">
        <v>0.19</v>
      </c>
      <c r="AQ41" s="194">
        <f>ROUND(AQ40*AP41,0)</f>
        <v>22265225</v>
      </c>
      <c r="AR41" s="195">
        <v>0.19</v>
      </c>
      <c r="AS41" s="194">
        <f>ROUND(AS40*AR41,0)</f>
        <v>23265726</v>
      </c>
    </row>
    <row r="42" spans="1:50" ht="15.75" x14ac:dyDescent="0.2">
      <c r="A42" s="179"/>
      <c r="B42" s="165" t="s">
        <v>135</v>
      </c>
      <c r="C42" s="45"/>
      <c r="D42" s="45"/>
      <c r="E42" s="45"/>
      <c r="F42" s="47"/>
      <c r="G42" s="46">
        <f>SUM(G40:G41)</f>
        <v>153671364</v>
      </c>
      <c r="H42" s="47"/>
      <c r="I42" s="46">
        <f>SUM(I40:I41)</f>
        <v>333601062</v>
      </c>
      <c r="J42" s="47"/>
      <c r="K42" s="46">
        <f>SUM(K40:K41)</f>
        <v>109279604</v>
      </c>
      <c r="L42" s="47"/>
      <c r="M42" s="46">
        <f>SUM(M40:M41)</f>
        <v>108927364</v>
      </c>
      <c r="N42" s="47"/>
      <c r="O42" s="46">
        <f>SUM(O40:O41)</f>
        <v>125346508</v>
      </c>
      <c r="P42" s="47"/>
      <c r="Q42" s="46">
        <f>SUM(Q40:Q41)</f>
        <v>159247466</v>
      </c>
      <c r="R42" s="47"/>
      <c r="S42" s="46">
        <f>SUM(S40:S41)</f>
        <v>147439096</v>
      </c>
      <c r="T42" s="47"/>
      <c r="U42" s="46">
        <f>SUM(U40:U41)</f>
        <v>152120794</v>
      </c>
      <c r="V42" s="47"/>
      <c r="W42" s="46">
        <f>SUM(W40:W41)</f>
        <v>0</v>
      </c>
      <c r="X42" s="47"/>
      <c r="Y42" s="46">
        <f>SUM(Y40:Y41)</f>
        <v>50164675.881883308</v>
      </c>
      <c r="Z42" s="47"/>
      <c r="AA42" s="46">
        <f>SUM(AA40:AA41)</f>
        <v>178862208.90077248</v>
      </c>
      <c r="AB42" s="47"/>
      <c r="AC42" s="46">
        <f>SUM(AC40:AC41)</f>
        <v>66161243.881138146</v>
      </c>
      <c r="AD42" s="47"/>
      <c r="AE42" s="46">
        <f>SUM(AE40:AE41)</f>
        <v>60499800.96843648</v>
      </c>
      <c r="AF42" s="47"/>
      <c r="AG42" s="46">
        <f>SUM(AG40:AG41)</f>
        <v>132881663.57018346</v>
      </c>
      <c r="AH42" s="47"/>
      <c r="AI42" s="46">
        <f>SUM(AI40:AI41)</f>
        <v>122619034.34350951</v>
      </c>
      <c r="AJ42" s="47"/>
      <c r="AK42" s="46">
        <f>SUM(AK40:AK41)</f>
        <v>129583943.17</v>
      </c>
      <c r="AL42" s="48"/>
      <c r="AM42" s="194">
        <f>SUM(AM40:AM41)</f>
        <v>155812558</v>
      </c>
      <c r="AN42" s="48"/>
      <c r="AO42" s="194">
        <f>SUM(AO40:AO41)</f>
        <v>131805307</v>
      </c>
      <c r="AP42" s="48"/>
      <c r="AQ42" s="194">
        <f>SUM(AQ40:AQ41)</f>
        <v>139450619</v>
      </c>
      <c r="AR42" s="48"/>
      <c r="AS42" s="194">
        <f>SUM(AS40:AS41)</f>
        <v>145716914</v>
      </c>
    </row>
    <row r="43" spans="1:50" x14ac:dyDescent="0.2">
      <c r="A43" s="177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/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</row>
    <row r="44" spans="1:50" x14ac:dyDescent="0.2">
      <c r="A44" s="177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/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</row>
    <row r="45" spans="1:50" ht="69.75" customHeight="1" x14ac:dyDescent="0.2">
      <c r="B45" s="190"/>
      <c r="C45" s="190"/>
      <c r="D45" s="190"/>
      <c r="E45" s="190"/>
      <c r="F45" s="190"/>
      <c r="G45" s="315" t="str">
        <f>UPPER("OBJETO:Contratar el Mantenimiento de las zonas seguridad y canales del aeropuerto El Pindo de Montelibano - Cordoba")</f>
        <v>OBJETO:CONTRATAR EL MANTENIMIENTO DE LAS ZONAS SEGURIDAD Y CANALES DEL AEROPUERTO EL PINDO DE MONTELIBANO - CORDOBA</v>
      </c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5"/>
      <c r="T45" s="315"/>
      <c r="U45" s="315"/>
      <c r="V45" s="190"/>
      <c r="W45" s="190"/>
      <c r="X45" s="190"/>
      <c r="Y45" s="190"/>
      <c r="Z45" s="190"/>
      <c r="AA45" s="190"/>
      <c r="AB45" s="190"/>
      <c r="AC45" s="190"/>
      <c r="AD45" s="190"/>
      <c r="AE45" s="190"/>
      <c r="AF45" s="190"/>
      <c r="AG45" s="190"/>
      <c r="AH45" s="190"/>
      <c r="AI45" s="190"/>
      <c r="AJ45" s="315" t="str">
        <f>UPPER("OBJETO:Contratar el Mantenimiento de las zonas seguridad y canales del aeropuerto El Pindo de Montelibano - Cordoba")</f>
        <v>OBJETO:CONTRATAR EL MANTENIMIENTO DE LAS ZONAS SEGURIDAD Y CANALES DEL AEROPUERTO EL PINDO DE MONTELIBANO - CORDOBA</v>
      </c>
      <c r="AK45" s="315"/>
      <c r="AL45" s="315"/>
      <c r="AM45" s="315"/>
      <c r="AN45" s="315"/>
      <c r="AO45" s="315"/>
      <c r="AP45" s="315"/>
      <c r="AQ45" s="315"/>
      <c r="AR45" s="190"/>
      <c r="AS45" s="190"/>
      <c r="AT45" s="190"/>
      <c r="AU45" s="190"/>
      <c r="AV45" s="190"/>
      <c r="AW45" s="190"/>
      <c r="AX45" s="190"/>
    </row>
    <row r="46" spans="1:50" ht="21" customHeight="1" x14ac:dyDescent="0.2">
      <c r="B46" s="191" t="s">
        <v>9</v>
      </c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1"/>
      <c r="AE46" s="191"/>
      <c r="AF46" s="191"/>
      <c r="AG46" s="191"/>
      <c r="AH46" s="191"/>
      <c r="AI46" s="191"/>
      <c r="AJ46" s="183"/>
      <c r="AK46" s="183"/>
      <c r="AL46" s="172"/>
      <c r="AM46" s="172"/>
      <c r="AN46" s="172"/>
      <c r="AO46" s="172"/>
      <c r="AP46" s="172"/>
      <c r="AQ46" s="172"/>
      <c r="AR46" s="172"/>
      <c r="AS46" s="172"/>
    </row>
    <row r="47" spans="1:50" ht="152.25" customHeight="1" x14ac:dyDescent="0.2">
      <c r="A47" s="177"/>
      <c r="B47" s="178" t="s">
        <v>136</v>
      </c>
      <c r="C47" s="172"/>
      <c r="D47" s="172"/>
      <c r="E47" s="172"/>
      <c r="F47" s="303" t="s">
        <v>133</v>
      </c>
      <c r="G47" s="304"/>
      <c r="H47" s="303" t="s">
        <v>138</v>
      </c>
      <c r="I47" s="304"/>
      <c r="J47" s="303" t="s">
        <v>130</v>
      </c>
      <c r="K47" s="304"/>
      <c r="L47" s="303" t="s">
        <v>40</v>
      </c>
      <c r="M47" s="304"/>
      <c r="N47" s="303" t="s">
        <v>41</v>
      </c>
      <c r="O47" s="304"/>
      <c r="P47" s="305" t="s">
        <v>42</v>
      </c>
      <c r="Q47" s="306"/>
      <c r="R47" s="303" t="s">
        <v>43</v>
      </c>
      <c r="S47" s="304"/>
      <c r="T47" s="303" t="s">
        <v>22</v>
      </c>
      <c r="U47" s="304"/>
      <c r="V47" s="311"/>
      <c r="W47" s="312"/>
      <c r="X47" s="290"/>
      <c r="Y47" s="291"/>
      <c r="Z47" s="286"/>
      <c r="AA47" s="287"/>
      <c r="AB47" s="288" t="s">
        <v>60</v>
      </c>
      <c r="AC47" s="289"/>
      <c r="AD47" s="290" t="s">
        <v>56</v>
      </c>
      <c r="AE47" s="291"/>
      <c r="AF47" s="292" t="s">
        <v>57</v>
      </c>
      <c r="AG47" s="293"/>
      <c r="AH47" s="294" t="s">
        <v>58</v>
      </c>
      <c r="AI47" s="295"/>
      <c r="AJ47" s="285" t="s">
        <v>12</v>
      </c>
      <c r="AK47" s="285"/>
      <c r="AL47" s="285" t="s">
        <v>16</v>
      </c>
      <c r="AM47" s="285"/>
      <c r="AN47" s="285" t="s">
        <v>19</v>
      </c>
      <c r="AO47" s="285"/>
      <c r="AP47" s="285" t="s">
        <v>20</v>
      </c>
      <c r="AQ47" s="285"/>
      <c r="AR47" s="172"/>
      <c r="AS47" s="172"/>
    </row>
    <row r="48" spans="1:50" ht="24" x14ac:dyDescent="0.2">
      <c r="A48" s="56" t="s">
        <v>8</v>
      </c>
      <c r="B48" s="56" t="s">
        <v>7</v>
      </c>
      <c r="C48" s="56" t="s">
        <v>6</v>
      </c>
      <c r="D48" s="56" t="s">
        <v>5</v>
      </c>
      <c r="E48" s="72" t="s">
        <v>3</v>
      </c>
      <c r="F48" s="57" t="s">
        <v>4</v>
      </c>
      <c r="G48" s="56" t="s">
        <v>0</v>
      </c>
      <c r="H48" s="57" t="s">
        <v>4</v>
      </c>
      <c r="I48" s="56" t="s">
        <v>0</v>
      </c>
      <c r="J48" s="57" t="s">
        <v>4</v>
      </c>
      <c r="K48" s="56" t="s">
        <v>0</v>
      </c>
      <c r="L48" s="57" t="s">
        <v>4</v>
      </c>
      <c r="M48" s="56" t="s">
        <v>0</v>
      </c>
      <c r="N48" s="57" t="s">
        <v>4</v>
      </c>
      <c r="O48" s="56" t="s">
        <v>0</v>
      </c>
      <c r="P48" s="60" t="s">
        <v>4</v>
      </c>
      <c r="Q48" s="61" t="s">
        <v>0</v>
      </c>
      <c r="R48" s="57" t="s">
        <v>4</v>
      </c>
      <c r="S48" s="56" t="s">
        <v>0</v>
      </c>
      <c r="T48" s="62" t="s">
        <v>4</v>
      </c>
      <c r="U48" s="63" t="s">
        <v>0</v>
      </c>
      <c r="V48" s="64" t="s">
        <v>4</v>
      </c>
      <c r="W48" s="65" t="s">
        <v>0</v>
      </c>
      <c r="X48" s="66" t="s">
        <v>4</v>
      </c>
      <c r="Y48" s="67" t="s">
        <v>0</v>
      </c>
      <c r="Z48" s="68" t="s">
        <v>4</v>
      </c>
      <c r="AA48" s="69" t="s">
        <v>0</v>
      </c>
      <c r="AB48" s="60" t="s">
        <v>4</v>
      </c>
      <c r="AC48" s="61" t="s">
        <v>0</v>
      </c>
      <c r="AD48" s="66" t="s">
        <v>4</v>
      </c>
      <c r="AE48" s="67" t="s">
        <v>0</v>
      </c>
      <c r="AF48" s="58" t="s">
        <v>4</v>
      </c>
      <c r="AG48" s="59" t="s">
        <v>0</v>
      </c>
      <c r="AH48" s="60" t="s">
        <v>4</v>
      </c>
      <c r="AI48" s="61" t="s">
        <v>0</v>
      </c>
      <c r="AJ48" s="57" t="s">
        <v>4</v>
      </c>
      <c r="AK48" s="56" t="s">
        <v>0</v>
      </c>
      <c r="AL48" s="57" t="s">
        <v>4</v>
      </c>
      <c r="AM48" s="56" t="s">
        <v>0</v>
      </c>
      <c r="AN48" s="57" t="s">
        <v>4</v>
      </c>
      <c r="AO48" s="56" t="s">
        <v>0</v>
      </c>
      <c r="AP48" s="57" t="s">
        <v>4</v>
      </c>
      <c r="AQ48" s="56" t="s">
        <v>0</v>
      </c>
      <c r="AR48" s="172"/>
      <c r="AS48" s="172"/>
    </row>
    <row r="49" spans="1:52" ht="63.75" x14ac:dyDescent="0.2">
      <c r="A49" s="124">
        <v>5</v>
      </c>
      <c r="B49" s="102" t="s">
        <v>13</v>
      </c>
      <c r="C49" s="163" t="s">
        <v>1</v>
      </c>
      <c r="D49" s="112">
        <v>13</v>
      </c>
      <c r="E49" s="163">
        <v>4</v>
      </c>
      <c r="F49" s="20">
        <v>320000</v>
      </c>
      <c r="G49" s="166">
        <f>ROUND(D49*E49*F49,0)</f>
        <v>16640000</v>
      </c>
      <c r="H49" s="20">
        <v>612439</v>
      </c>
      <c r="I49" s="166">
        <f>ROUND(D49*E49*H49,0)</f>
        <v>31846828</v>
      </c>
      <c r="J49" s="20">
        <v>280000</v>
      </c>
      <c r="K49" s="166">
        <f>ROUND(D49*E49*J49,0)</f>
        <v>14560000</v>
      </c>
      <c r="L49" s="20">
        <v>250000</v>
      </c>
      <c r="M49" s="20">
        <f>L49*E49*D49</f>
        <v>13000000</v>
      </c>
      <c r="N49" s="167">
        <v>280000</v>
      </c>
      <c r="O49" s="167">
        <f>D49*E49*N49</f>
        <v>14560000</v>
      </c>
      <c r="P49" s="20">
        <v>300000</v>
      </c>
      <c r="Q49" s="23">
        <f>D49*E49*P49</f>
        <v>15600000</v>
      </c>
      <c r="R49" s="36">
        <v>310000</v>
      </c>
      <c r="S49" s="20">
        <f>D49*E49*R49</f>
        <v>16120000</v>
      </c>
      <c r="T49" s="40">
        <v>315000</v>
      </c>
      <c r="U49" s="36">
        <f>D49*E49*T49</f>
        <v>16380000</v>
      </c>
      <c r="V49" s="132"/>
      <c r="W49" s="132">
        <f>D49*E49*V49</f>
        <v>0</v>
      </c>
      <c r="X49" s="97"/>
      <c r="Y49" s="97">
        <f>D49*E49*X49</f>
        <v>0</v>
      </c>
      <c r="Z49" s="98"/>
      <c r="AA49" s="98">
        <f>D49*E49*Z49</f>
        <v>0</v>
      </c>
      <c r="AB49" s="23">
        <f>252500*1.0194*1.0366*1.0677*1.0575</f>
        <v>301263.72036659316</v>
      </c>
      <c r="AC49" s="23">
        <f>D49*E49*AB49</f>
        <v>15665713.459062845</v>
      </c>
      <c r="AD49" s="97">
        <f>274204*1.0366*1.0677*1.0575</f>
        <v>320933.17241320864</v>
      </c>
      <c r="AE49" s="97">
        <f>D49*E49*AD49</f>
        <v>16688524.965486849</v>
      </c>
      <c r="AF49" s="30">
        <f>252626*1.0677*1.0575</f>
        <v>285238.18506150006</v>
      </c>
      <c r="AG49" s="30">
        <f>D49*E49*AF49</f>
        <v>14832385.623198003</v>
      </c>
      <c r="AH49" s="30">
        <f>299376*1.0575</f>
        <v>316590.12000000005</v>
      </c>
      <c r="AI49" s="30">
        <f>ROUND((D49*E49*AH49),0)</f>
        <v>16462686</v>
      </c>
      <c r="AJ49" s="17">
        <f>ROUND((AVERAGE(F49,H49,J49,L49,N49,P49,R49,T49,AB49,AD49,AF49,AH49)),0)</f>
        <v>324289</v>
      </c>
      <c r="AK49" s="17">
        <f>ROUND((D49*E49*AJ49),0)</f>
        <v>16863028</v>
      </c>
      <c r="AL49" s="17">
        <f>ROUND((MEDIAN(F49,H49,J49,L49,N49,P49,R49,T49,V49,X49,Z49,AB49,AD49,AF49,AH49)),0)</f>
        <v>305632</v>
      </c>
      <c r="AM49" s="17">
        <f>ROUND((D49*E49*AL49),0)</f>
        <v>15892864</v>
      </c>
      <c r="AN49" s="17">
        <f>ROUND((HARMEAN(F49,H49,J49,L49,N49,P49,R49,T49,AB49,AD49,AF49,AH49)),0)</f>
        <v>309804</v>
      </c>
      <c r="AO49" s="17">
        <f>ROUND((D49*E49*AN49),0)</f>
        <v>16109808</v>
      </c>
      <c r="AP49" s="17">
        <f>ROUND((GEOMEAN(F49,H49,J49,L49,N49,P49,R49,T49,V49,X49,Z49,AB49,AD49,AF49,AH49)),0)</f>
        <v>315763</v>
      </c>
      <c r="AQ49" s="17">
        <f>ROUND((D49*E49*AP49),0)</f>
        <v>16419676</v>
      </c>
      <c r="AR49" s="172"/>
      <c r="AS49" s="172"/>
    </row>
    <row r="50" spans="1:52" ht="76.5" x14ac:dyDescent="0.2">
      <c r="A50" s="124">
        <v>6</v>
      </c>
      <c r="B50" s="102" t="s">
        <v>15</v>
      </c>
      <c r="C50" s="163" t="s">
        <v>2</v>
      </c>
      <c r="D50" s="112">
        <v>2792</v>
      </c>
      <c r="E50" s="163">
        <v>4</v>
      </c>
      <c r="F50" s="20">
        <v>2200</v>
      </c>
      <c r="G50" s="166">
        <f>ROUND(D50*E50*F50,0)</f>
        <v>24569600</v>
      </c>
      <c r="H50" s="20">
        <v>3860</v>
      </c>
      <c r="I50" s="166">
        <f>ROUND(D50*E50*H50,0)</f>
        <v>43108480</v>
      </c>
      <c r="J50" s="20">
        <v>1700</v>
      </c>
      <c r="K50" s="166">
        <f>ROUND(D50*E50*J50,0)</f>
        <v>18985600</v>
      </c>
      <c r="L50" s="20">
        <v>1800</v>
      </c>
      <c r="M50" s="20">
        <f>L50*E50*D50</f>
        <v>20102400</v>
      </c>
      <c r="N50" s="167">
        <v>2100</v>
      </c>
      <c r="O50" s="167">
        <f>D50*E50*N50</f>
        <v>23452800</v>
      </c>
      <c r="P50" s="20">
        <v>2950</v>
      </c>
      <c r="Q50" s="23">
        <f>D50*E50*P50</f>
        <v>32945600</v>
      </c>
      <c r="R50" s="36">
        <v>2700</v>
      </c>
      <c r="S50" s="20">
        <f>D50*E50*R50</f>
        <v>30153600</v>
      </c>
      <c r="T50" s="40">
        <v>2800</v>
      </c>
      <c r="U50" s="36">
        <f>D50*E50*T50</f>
        <v>31270400</v>
      </c>
      <c r="V50" s="132"/>
      <c r="W50" s="132">
        <f>D50*E50*V50</f>
        <v>0</v>
      </c>
      <c r="X50" s="97"/>
      <c r="Y50" s="97">
        <f>D50*E50*X50</f>
        <v>0</v>
      </c>
      <c r="Z50" s="98"/>
      <c r="AA50" s="98">
        <f>D50*E50*Z50</f>
        <v>0</v>
      </c>
      <c r="AB50" s="23"/>
      <c r="AC50" s="23">
        <f>D50*E50*AB50</f>
        <v>0</v>
      </c>
      <c r="AD50" s="97">
        <f>1762*1.0366*1.0677*1.0575</f>
        <v>2062.2757136733003</v>
      </c>
      <c r="AE50" s="97">
        <f>D50*E50*AD50</f>
        <v>23031495.170303419</v>
      </c>
      <c r="AF50" s="30">
        <f>1758*1.0677*1.0575</f>
        <v>1984.9450545000004</v>
      </c>
      <c r="AG50" s="30">
        <f>D50*E50*AF50</f>
        <v>22167866.368656006</v>
      </c>
      <c r="AH50" s="30">
        <f>1990*1.0575</f>
        <v>2104.4250000000002</v>
      </c>
      <c r="AI50" s="30">
        <f>ROUND((D50*E50*AH50),0)</f>
        <v>23502218</v>
      </c>
      <c r="AJ50" s="17">
        <f>ROUND((AVERAGE(F50,H50,J50,L50,N50,P50,R50,T50,AB50,AD50,AF50,AH50)),0)</f>
        <v>2387</v>
      </c>
      <c r="AK50" s="17">
        <f>ROUND((D50*E50*AJ50),0)</f>
        <v>26658016</v>
      </c>
      <c r="AL50" s="17">
        <f>ROUND((MEDIAN(F50,H50,J50,L50,N50,P50,R50,T50,V50,X50,Z50,AB50,AD50,AF50,AH50)),0)</f>
        <v>2104</v>
      </c>
      <c r="AM50" s="17">
        <f>ROUND((D50*E50*AL50),0)</f>
        <v>23497472</v>
      </c>
      <c r="AN50" s="17">
        <f>ROUND((HARMEAN(F50,H50,J50,L50,N50,P50,R50,T50,AB50,AD50,AF50,AH50)),0)</f>
        <v>2262</v>
      </c>
      <c r="AO50" s="17">
        <f>ROUND((D50*E50*AN50),0)</f>
        <v>25262016</v>
      </c>
      <c r="AP50" s="17">
        <f>ROUND((GEOMEAN(F50,H50,J50,L50,N50,P50,R50,T50,V50,X50,Z50,AB50,AD50,AF50,AH50)),0)</f>
        <v>2320</v>
      </c>
      <c r="AQ50" s="17">
        <f>ROUND((D50*E50*AP50),0)</f>
        <v>25909760</v>
      </c>
      <c r="AR50" s="172"/>
      <c r="AS50" s="172"/>
    </row>
    <row r="51" spans="1:52" ht="38.25" x14ac:dyDescent="0.2">
      <c r="A51" s="124">
        <v>7</v>
      </c>
      <c r="B51" s="102" t="s">
        <v>46</v>
      </c>
      <c r="C51" s="163" t="s">
        <v>1</v>
      </c>
      <c r="D51" s="112">
        <v>12</v>
      </c>
      <c r="E51" s="163">
        <v>4</v>
      </c>
      <c r="F51" s="20">
        <v>500000</v>
      </c>
      <c r="G51" s="166">
        <f>ROUND(D51*E51*F51,0)</f>
        <v>24000000</v>
      </c>
      <c r="H51" s="20">
        <v>1200000</v>
      </c>
      <c r="I51" s="166">
        <f>ROUND(D51*E51*H51,0)</f>
        <v>57600000</v>
      </c>
      <c r="J51" s="20">
        <v>150000</v>
      </c>
      <c r="K51" s="166">
        <f>ROUND(D51*E51*J51,0)</f>
        <v>7200000</v>
      </c>
      <c r="L51" s="20">
        <v>180000</v>
      </c>
      <c r="M51" s="20">
        <f>L51*E51*D51</f>
        <v>8640000</v>
      </c>
      <c r="N51" s="167">
        <v>200000</v>
      </c>
      <c r="O51" s="167">
        <f>D51*E51*N51</f>
        <v>9600000</v>
      </c>
      <c r="P51" s="20">
        <v>250000</v>
      </c>
      <c r="Q51" s="23">
        <f>D51*E51*P51</f>
        <v>12000000</v>
      </c>
      <c r="R51" s="36">
        <v>170000</v>
      </c>
      <c r="S51" s="20">
        <f>D51*E51*R51</f>
        <v>8160000</v>
      </c>
      <c r="T51" s="40">
        <v>180000</v>
      </c>
      <c r="U51" s="36">
        <f>D51*E51*T51</f>
        <v>8640000</v>
      </c>
      <c r="V51" s="132"/>
      <c r="W51" s="132">
        <f>D51*E51*V51</f>
        <v>0</v>
      </c>
      <c r="X51" s="97"/>
      <c r="Y51" s="97">
        <f>D51*E51*X51</f>
        <v>0</v>
      </c>
      <c r="Z51" s="98"/>
      <c r="AA51" s="98">
        <f>D51*E51*Z51</f>
        <v>0</v>
      </c>
      <c r="AB51" s="23">
        <f>147817*1.0194*1.0366*1.0677*1.0575</f>
        <v>176363.95783536116</v>
      </c>
      <c r="AC51" s="23">
        <f>D51*E51*AB51</f>
        <v>8465469.976097336</v>
      </c>
      <c r="AD51" s="97">
        <f>133543*1.0366*1.0677*1.0575</f>
        <v>156301.07016519498</v>
      </c>
      <c r="AE51" s="97">
        <f>D51*E51*AD51</f>
        <v>7502451.367929359</v>
      </c>
      <c r="AF51" s="30">
        <f>152496*1.0677*1.0575</f>
        <v>172182.12800400003</v>
      </c>
      <c r="AG51" s="30">
        <f>D51*E51*AF51</f>
        <v>8264742.1441920009</v>
      </c>
      <c r="AH51" s="30">
        <f>174748*1.0575</f>
        <v>184796.01</v>
      </c>
      <c r="AI51" s="30">
        <f>ROUND((D51*E51*AH51),0)</f>
        <v>8870208</v>
      </c>
      <c r="AJ51" s="17">
        <f>ROUND((AVERAGE(F51,H51,J51,L51,N51,P51,R51,T51,AB51,AD51,AF51,AH51)),0)</f>
        <v>293304</v>
      </c>
      <c r="AK51" s="17">
        <f>ROUND((D51*E51*AJ51),0)</f>
        <v>14078592</v>
      </c>
      <c r="AL51" s="17">
        <f>ROUND((MEDIAN(F51,H51,J51,L51,N51,P51,R51,T51,V51,X51,Z51,AB51,AD51,AF51,AH51)),0)</f>
        <v>180000</v>
      </c>
      <c r="AM51" s="17">
        <f>ROUND((D51*E51*AL51),0)</f>
        <v>8640000</v>
      </c>
      <c r="AN51" s="17">
        <f>ROUND((HARMEAN(F51,H51,J51,L51,N51,P51,R51,T51,AB51,AD51,AF51,AH51)),0)</f>
        <v>204149</v>
      </c>
      <c r="AO51" s="17">
        <f>ROUND((D51*E51*AN51),0)</f>
        <v>9799152</v>
      </c>
      <c r="AP51" s="17">
        <f>ROUND((GEOMEAN(F51,H51,J51,L51,N51,P51,R51,T51,V51,X51,Z51,AB51,AD51,AF51,AH51)),0)</f>
        <v>229847</v>
      </c>
      <c r="AQ51" s="17">
        <f>ROUND((D51*E51*AP51),0)</f>
        <v>11032656</v>
      </c>
      <c r="AR51" s="172"/>
      <c r="AS51" s="172"/>
    </row>
    <row r="52" spans="1:52" ht="63.75" x14ac:dyDescent="0.2">
      <c r="A52" s="124">
        <v>8</v>
      </c>
      <c r="B52" s="43" t="s">
        <v>149</v>
      </c>
      <c r="C52" s="163" t="s">
        <v>26</v>
      </c>
      <c r="D52" s="112">
        <f>1100*2</f>
        <v>2200</v>
      </c>
      <c r="E52" s="163">
        <v>4</v>
      </c>
      <c r="F52" s="20">
        <v>2800</v>
      </c>
      <c r="G52" s="166">
        <f>ROUND(D52*E52*F52,0)</f>
        <v>24640000</v>
      </c>
      <c r="H52" s="20">
        <v>1600</v>
      </c>
      <c r="I52" s="166">
        <f>ROUND(D52*E52*H52,0)</f>
        <v>14080000</v>
      </c>
      <c r="J52" s="20">
        <v>1800</v>
      </c>
      <c r="K52" s="166">
        <f>ROUND(D52*E52*J52,0)</f>
        <v>15840000</v>
      </c>
      <c r="L52" s="20">
        <v>3600</v>
      </c>
      <c r="M52" s="20">
        <f>L52*E52*D52</f>
        <v>31680000</v>
      </c>
      <c r="N52" s="167">
        <v>3500</v>
      </c>
      <c r="O52" s="167">
        <f>D52*E52*N52</f>
        <v>30800000</v>
      </c>
      <c r="P52" s="23">
        <v>3350</v>
      </c>
      <c r="Q52" s="23">
        <f>D52*E52*P52</f>
        <v>29480000</v>
      </c>
      <c r="R52" s="20">
        <v>3800</v>
      </c>
      <c r="S52" s="20">
        <f>D52*E52*R52</f>
        <v>33440000</v>
      </c>
      <c r="T52" s="36">
        <v>4200</v>
      </c>
      <c r="U52" s="36">
        <f>D52*E52*T52</f>
        <v>36960000</v>
      </c>
      <c r="V52" s="132"/>
      <c r="W52" s="132">
        <f>D52*E52*V52</f>
        <v>0</v>
      </c>
      <c r="X52" s="97"/>
      <c r="Y52" s="97">
        <f>D52*E52*X52</f>
        <v>0</v>
      </c>
      <c r="Z52" s="98"/>
      <c r="AA52" s="98">
        <f>D52*E52*Z52</f>
        <v>0</v>
      </c>
      <c r="AB52" s="23"/>
      <c r="AC52" s="23">
        <f>D52*E52*AB52</f>
        <v>0</v>
      </c>
      <c r="AD52" s="97">
        <f>2014*1.0366*1.0677*1.0575</f>
        <v>2357.2209349251002</v>
      </c>
      <c r="AE52" s="97">
        <f>D52*E52*AD52</f>
        <v>20743544.227340881</v>
      </c>
      <c r="AF52" s="30">
        <f>1947*1.0677*1.0575</f>
        <v>2198.3435842500003</v>
      </c>
      <c r="AG52" s="30">
        <f>D52*E52*AF52</f>
        <v>19345423.541400004</v>
      </c>
      <c r="AH52" s="30">
        <f>1587*1.0575</f>
        <v>1678.2525000000003</v>
      </c>
      <c r="AI52" s="30">
        <f>ROUND((D52*E52*AH52),0)</f>
        <v>14768622</v>
      </c>
      <c r="AJ52" s="17">
        <f>ROUND((AVERAGE(F52,H52,J52,L52,N52,P52,R52,T52,AB52,AD52,AF52,AH52)),0)</f>
        <v>2808</v>
      </c>
      <c r="AK52" s="17">
        <f>ROUND((D52*E52*AJ52),0)</f>
        <v>24710400</v>
      </c>
      <c r="AL52" s="17">
        <f>ROUND((MEDIAN(F52,H52,J52,L52,N52,P52,R52,T52,V52,X52,Z52,AB52,AD52,AF52,AH52)),0)</f>
        <v>2800</v>
      </c>
      <c r="AM52" s="17">
        <f>ROUND((D52*E52*AL52),0)</f>
        <v>24640000</v>
      </c>
      <c r="AN52" s="17">
        <f>ROUND((HARMEAN(F52,H52,J52,L52,N52,P52,R52,T52,AB52,AD52,AF52,AH52)),0)</f>
        <v>2514</v>
      </c>
      <c r="AO52" s="17">
        <f>ROUND((D52*E52*AN52),0)</f>
        <v>22123200</v>
      </c>
      <c r="AP52" s="17">
        <f>ROUND((GEOMEAN(F52,H52,J52,L52,N52,P52,R52,T52,V52,X52,Z52,AB52,AD52,AF52,AH52)),0)</f>
        <v>2660</v>
      </c>
      <c r="AQ52" s="17">
        <f>ROUND((D52*E52*AP52),0)</f>
        <v>23408000</v>
      </c>
      <c r="AR52" s="172"/>
      <c r="AS52" s="172"/>
    </row>
    <row r="53" spans="1:52" x14ac:dyDescent="0.2">
      <c r="A53" s="179"/>
      <c r="B53" s="70"/>
      <c r="C53" s="163"/>
      <c r="D53" s="71"/>
      <c r="E53" s="184"/>
      <c r="F53" s="184"/>
      <c r="G53" s="184"/>
      <c r="H53" s="184"/>
      <c r="I53" s="184"/>
      <c r="J53" s="184"/>
      <c r="K53" s="184"/>
      <c r="L53" s="20"/>
      <c r="M53" s="20"/>
      <c r="N53" s="167"/>
      <c r="O53" s="167"/>
      <c r="P53" s="23"/>
      <c r="Q53" s="23"/>
      <c r="R53" s="20"/>
      <c r="S53" s="20"/>
      <c r="T53" s="36"/>
      <c r="U53" s="36"/>
      <c r="V53" s="132"/>
      <c r="W53" s="132"/>
      <c r="X53" s="97"/>
      <c r="Y53" s="97"/>
      <c r="Z53" s="98"/>
      <c r="AA53" s="98"/>
      <c r="AB53" s="23"/>
      <c r="AC53" s="23"/>
      <c r="AD53" s="23"/>
      <c r="AE53" s="23"/>
      <c r="AF53" s="23"/>
      <c r="AG53" s="23"/>
      <c r="AH53" s="44"/>
      <c r="AI53" s="44"/>
      <c r="AJ53" s="44"/>
      <c r="AK53" s="44"/>
      <c r="AL53" s="17"/>
      <c r="AM53" s="44"/>
      <c r="AN53" s="44"/>
      <c r="AO53" s="44"/>
      <c r="AP53" s="44"/>
      <c r="AQ53" s="44"/>
      <c r="AR53" s="172"/>
      <c r="AS53" s="172"/>
    </row>
    <row r="54" spans="1:52" ht="15.75" x14ac:dyDescent="0.2">
      <c r="A54" s="179"/>
      <c r="B54" s="193" t="s">
        <v>150</v>
      </c>
      <c r="C54" s="45"/>
      <c r="D54" s="45"/>
      <c r="E54" s="45"/>
      <c r="F54" s="47"/>
      <c r="G54" s="46">
        <f>SUM(G49:G52)</f>
        <v>89849600</v>
      </c>
      <c r="H54" s="47"/>
      <c r="I54" s="46">
        <f>SUM(I49:I52)</f>
        <v>146635308</v>
      </c>
      <c r="J54" s="47"/>
      <c r="K54" s="46">
        <f>SUM(K49:K52)</f>
        <v>56585600</v>
      </c>
      <c r="L54" s="47"/>
      <c r="M54" s="46">
        <f>SUM(M49:M52)</f>
        <v>73422400</v>
      </c>
      <c r="N54" s="47"/>
      <c r="O54" s="46">
        <f>SUM(O49:O52)</f>
        <v>78412800</v>
      </c>
      <c r="P54" s="47"/>
      <c r="Q54" s="46">
        <f>SUM(Q49:Q52)</f>
        <v>90025600</v>
      </c>
      <c r="R54" s="47"/>
      <c r="S54" s="46">
        <f>SUM(S49:S52)</f>
        <v>87873600</v>
      </c>
      <c r="T54" s="47"/>
      <c r="U54" s="46">
        <f>SUM(U49:U52)</f>
        <v>93250400</v>
      </c>
      <c r="V54" s="47"/>
      <c r="W54" s="46">
        <f>SUM(W49:W52)</f>
        <v>0</v>
      </c>
      <c r="X54" s="47"/>
      <c r="Y54" s="46">
        <f>SUM(Y49:Y52)</f>
        <v>0</v>
      </c>
      <c r="Z54" s="47"/>
      <c r="AA54" s="46">
        <f>SUM(AA49:AA52)</f>
        <v>0</v>
      </c>
      <c r="AB54" s="47"/>
      <c r="AC54" s="46">
        <f>SUM(AC49:AC52)</f>
        <v>24131183.435160182</v>
      </c>
      <c r="AD54" s="47"/>
      <c r="AE54" s="46">
        <f>SUM(AE49:AE52)</f>
        <v>67966015.731060505</v>
      </c>
      <c r="AF54" s="47"/>
      <c r="AG54" s="46">
        <f>SUM(AG49:AG52)</f>
        <v>64610417.677446023</v>
      </c>
      <c r="AH54" s="47"/>
      <c r="AI54" s="46">
        <f>SUM(AI49:AI52)</f>
        <v>63603734</v>
      </c>
      <c r="AJ54" s="48"/>
      <c r="AK54" s="194">
        <f>SUM(AK49:AK52)</f>
        <v>82310036</v>
      </c>
      <c r="AL54" s="48"/>
      <c r="AM54" s="194">
        <f>SUM(AM49:AM52)</f>
        <v>72670336</v>
      </c>
      <c r="AN54" s="48"/>
      <c r="AO54" s="194">
        <f>SUM(AO49:AO52)</f>
        <v>73294176</v>
      </c>
      <c r="AP54" s="48"/>
      <c r="AQ54" s="194">
        <f>SUM(AQ49:AQ52)</f>
        <v>76770092</v>
      </c>
      <c r="AR54" s="172"/>
      <c r="AS54" s="172"/>
    </row>
    <row r="55" spans="1:52" ht="15.75" x14ac:dyDescent="0.2">
      <c r="A55" s="179"/>
      <c r="B55" s="193" t="s">
        <v>151</v>
      </c>
      <c r="C55" s="45"/>
      <c r="D55" s="45"/>
      <c r="E55" s="185"/>
      <c r="F55" s="181">
        <v>0.19</v>
      </c>
      <c r="G55" s="46">
        <f>ROUND(G54*F55,0)</f>
        <v>17071424</v>
      </c>
      <c r="H55" s="181">
        <v>0.19</v>
      </c>
      <c r="I55" s="46">
        <f>ROUND(I54*H55,0)</f>
        <v>27860709</v>
      </c>
      <c r="J55" s="181">
        <v>0.19</v>
      </c>
      <c r="K55" s="46">
        <f>ROUND(K54*J55,0)</f>
        <v>10751264</v>
      </c>
      <c r="L55" s="181">
        <v>0.19</v>
      </c>
      <c r="M55" s="46">
        <f>ROUND(M54*L55,0)</f>
        <v>13950256</v>
      </c>
      <c r="N55" s="181">
        <v>0.19</v>
      </c>
      <c r="O55" s="46">
        <f>ROUND(O54*N55,0)</f>
        <v>14898432</v>
      </c>
      <c r="P55" s="181">
        <v>0.19</v>
      </c>
      <c r="Q55" s="46">
        <f>ROUND(Q54*P55,0)</f>
        <v>17104864</v>
      </c>
      <c r="R55" s="181">
        <v>0.19</v>
      </c>
      <c r="S55" s="46">
        <f>ROUND(S54*R55,0)</f>
        <v>16695984</v>
      </c>
      <c r="T55" s="181">
        <v>0.19</v>
      </c>
      <c r="U55" s="46">
        <f>ROUND(U54*T55,0)</f>
        <v>17717576</v>
      </c>
      <c r="V55" s="181">
        <v>0.19</v>
      </c>
      <c r="W55" s="46">
        <f>ROUND(W54*V55,0)</f>
        <v>0</v>
      </c>
      <c r="X55" s="181">
        <v>0.19</v>
      </c>
      <c r="Y55" s="46">
        <f>ROUND(Y54*X55,0)</f>
        <v>0</v>
      </c>
      <c r="Z55" s="181">
        <v>0.19</v>
      </c>
      <c r="AA55" s="46">
        <f>ROUND(AA54*Z55,0)</f>
        <v>0</v>
      </c>
      <c r="AB55" s="181">
        <v>0.19</v>
      </c>
      <c r="AC55" s="46">
        <f>ROUND(AC54*AB55,0)</f>
        <v>4584925</v>
      </c>
      <c r="AD55" s="181">
        <v>0.19</v>
      </c>
      <c r="AE55" s="46">
        <f>ROUND(AE54*AD55,0)</f>
        <v>12913543</v>
      </c>
      <c r="AF55" s="181">
        <v>0.19</v>
      </c>
      <c r="AG55" s="46">
        <f>ROUND(AG54*AF55,0)</f>
        <v>12275979</v>
      </c>
      <c r="AH55" s="181">
        <v>0.19</v>
      </c>
      <c r="AI55" s="46">
        <f>ROUND(AI54*AH55,0)</f>
        <v>12084709</v>
      </c>
      <c r="AJ55" s="195">
        <v>0.19</v>
      </c>
      <c r="AK55" s="194">
        <f>ROUND(AK54*AJ55,0)</f>
        <v>15638907</v>
      </c>
      <c r="AL55" s="195">
        <v>0.19</v>
      </c>
      <c r="AM55" s="194">
        <f>ROUND(AM54*AL55,0)</f>
        <v>13807364</v>
      </c>
      <c r="AN55" s="195">
        <v>0.19</v>
      </c>
      <c r="AO55" s="194">
        <f>ROUND(AO54*AN55,0)</f>
        <v>13925893</v>
      </c>
      <c r="AP55" s="195">
        <v>0.19</v>
      </c>
      <c r="AQ55" s="194">
        <f>ROUND(AQ54*AP55,0)</f>
        <v>14586317</v>
      </c>
      <c r="AR55" s="172"/>
      <c r="AS55" s="172"/>
    </row>
    <row r="56" spans="1:52" ht="15.75" x14ac:dyDescent="0.2">
      <c r="A56" s="179"/>
      <c r="B56" s="165" t="s">
        <v>135</v>
      </c>
      <c r="C56" s="45"/>
      <c r="D56" s="45"/>
      <c r="E56" s="45"/>
      <c r="F56" s="47"/>
      <c r="G56" s="46">
        <f>SUM(G54:G55)</f>
        <v>106921024</v>
      </c>
      <c r="H56" s="47"/>
      <c r="I56" s="46">
        <f>SUM(I54:I55)</f>
        <v>174496017</v>
      </c>
      <c r="J56" s="47"/>
      <c r="K56" s="46">
        <f>SUM(K54:K55)</f>
        <v>67336864</v>
      </c>
      <c r="L56" s="47"/>
      <c r="M56" s="46">
        <f>SUM(M54:M55)</f>
        <v>87372656</v>
      </c>
      <c r="N56" s="47"/>
      <c r="O56" s="46">
        <f>SUM(O54:O55)</f>
        <v>93311232</v>
      </c>
      <c r="P56" s="47"/>
      <c r="Q56" s="46">
        <f>SUM(Q54:Q55)</f>
        <v>107130464</v>
      </c>
      <c r="R56" s="47"/>
      <c r="S56" s="46">
        <f>SUM(S54:S55)</f>
        <v>104569584</v>
      </c>
      <c r="T56" s="47"/>
      <c r="U56" s="46">
        <f>SUM(U54:U55)</f>
        <v>110967976</v>
      </c>
      <c r="V56" s="47"/>
      <c r="W56" s="46">
        <f>SUM(W54:W55)</f>
        <v>0</v>
      </c>
      <c r="X56" s="47"/>
      <c r="Y56" s="46">
        <f>SUM(Y54:Y55)</f>
        <v>0</v>
      </c>
      <c r="Z56" s="47"/>
      <c r="AA56" s="46">
        <f>SUM(AA54:AA55)</f>
        <v>0</v>
      </c>
      <c r="AB56" s="47"/>
      <c r="AC56" s="46">
        <f>SUM(AC54:AC55)</f>
        <v>28716108.435160182</v>
      </c>
      <c r="AD56" s="47"/>
      <c r="AE56" s="46">
        <f>SUM(AE54:AE55)</f>
        <v>80879558.731060505</v>
      </c>
      <c r="AF56" s="47"/>
      <c r="AG56" s="46">
        <f>SUM(AG54:AG55)</f>
        <v>76886396.677446023</v>
      </c>
      <c r="AH56" s="47"/>
      <c r="AI56" s="46">
        <f>SUM(AI54:AI55)</f>
        <v>75688443</v>
      </c>
      <c r="AJ56" s="48"/>
      <c r="AK56" s="194">
        <f>SUM(AK54:AK55)</f>
        <v>97948943</v>
      </c>
      <c r="AL56" s="48"/>
      <c r="AM56" s="194">
        <f>SUM(AM54:AM55)</f>
        <v>86477700</v>
      </c>
      <c r="AN56" s="48"/>
      <c r="AO56" s="194">
        <f>SUM(AO54:AO55)</f>
        <v>87220069</v>
      </c>
      <c r="AP56" s="48"/>
      <c r="AQ56" s="194">
        <f>SUM(AQ54:AQ55)</f>
        <v>91356409</v>
      </c>
      <c r="AR56" s="172"/>
      <c r="AS56" s="172"/>
    </row>
    <row r="57" spans="1:52" x14ac:dyDescent="0.2">
      <c r="A57" s="177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  <c r="M57" s="174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/>
      <c r="AH57" s="186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</row>
    <row r="58" spans="1:52" x14ac:dyDescent="0.2">
      <c r="A58" s="177"/>
      <c r="B58" s="45"/>
      <c r="C58" s="172"/>
      <c r="D58" s="172"/>
      <c r="E58" s="172"/>
      <c r="F58" s="172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4">
        <f>W40+W56</f>
        <v>0</v>
      </c>
      <c r="X58" s="172"/>
      <c r="Y58" s="174">
        <f>Y40+Y56</f>
        <v>42155189.881883308</v>
      </c>
      <c r="Z58" s="172"/>
      <c r="AA58" s="174">
        <f>AA40+AA56</f>
        <v>150304376.90077248</v>
      </c>
      <c r="AB58" s="172"/>
      <c r="AC58" s="174">
        <f>AC40+AC56</f>
        <v>84313792.316298336</v>
      </c>
      <c r="AD58" s="172"/>
      <c r="AE58" s="174">
        <f>AE40+AE56</f>
        <v>131719727.69949698</v>
      </c>
      <c r="AF58" s="172"/>
      <c r="AG58" s="174">
        <f>AG40+AG56</f>
        <v>188551660.24762946</v>
      </c>
      <c r="AH58" s="172"/>
      <c r="AI58" s="174">
        <f>AI40+AI56</f>
        <v>178729648.3435095</v>
      </c>
      <c r="AJ58" s="172"/>
      <c r="AK58" s="174">
        <f>AK40+AK56</f>
        <v>206843013.17000002</v>
      </c>
      <c r="AL58" s="172"/>
      <c r="AM58" s="174">
        <f>AM40+AM56</f>
        <v>217412623</v>
      </c>
      <c r="AN58" s="172"/>
      <c r="AO58" s="174">
        <f>AO40+AO56</f>
        <v>197980831</v>
      </c>
      <c r="AP58" s="172"/>
      <c r="AQ58" s="174">
        <f>AQ40+AQ56</f>
        <v>208541803</v>
      </c>
      <c r="AR58" s="172"/>
      <c r="AS58" s="172"/>
    </row>
    <row r="59" spans="1:52" x14ac:dyDescent="0.2">
      <c r="A59" s="177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/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</row>
    <row r="60" spans="1:52" ht="77.25" customHeight="1" x14ac:dyDescent="0.2">
      <c r="B60" s="190"/>
      <c r="C60" s="190"/>
      <c r="D60" s="190"/>
      <c r="E60" s="190"/>
      <c r="F60" s="315" t="str">
        <f>UPPER("OBJETO:Contratar el Mantenimiento de las zonas seguridad y canales del aeropuerto Morela de Puerto Berrio - Antioquia")</f>
        <v>OBJETO:CONTRATAR EL MANTENIMIENTO DE LAS ZONAS SEGURIDAD Y CANALES DEL AEROPUERTO MORELA DE PUERTO BERRIO - ANTIOQUIA</v>
      </c>
      <c r="G60" s="315"/>
      <c r="H60" s="315"/>
      <c r="I60" s="315"/>
      <c r="J60" s="315"/>
      <c r="K60" s="315"/>
      <c r="L60" s="315"/>
      <c r="M60" s="315"/>
      <c r="N60" s="315"/>
      <c r="O60" s="315"/>
      <c r="P60" s="315"/>
      <c r="Q60" s="315"/>
      <c r="R60" s="315"/>
      <c r="S60" s="315"/>
      <c r="T60" s="315"/>
      <c r="U60" s="315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0"/>
      <c r="AJ60" s="315" t="str">
        <f>UPPER("OBJETO:Contratar el Mantenimiento de las zonas seguridad y canales del aeropuerto Morela de Puerto Berrio - Antioquia")</f>
        <v>OBJETO:CONTRATAR EL MANTENIMIENTO DE LAS ZONAS SEGURIDAD Y CANALES DEL AEROPUERTO MORELA DE PUERTO BERRIO - ANTIOQUIA</v>
      </c>
      <c r="AK60" s="315"/>
      <c r="AL60" s="315"/>
      <c r="AM60" s="315"/>
      <c r="AN60" s="315"/>
      <c r="AO60" s="315"/>
      <c r="AP60" s="315"/>
      <c r="AQ60" s="315"/>
      <c r="AR60" s="190"/>
      <c r="AS60" s="190"/>
      <c r="AT60" s="190"/>
      <c r="AU60" s="190"/>
      <c r="AV60" s="190"/>
      <c r="AW60" s="190"/>
      <c r="AX60" s="190"/>
      <c r="AY60" s="190"/>
      <c r="AZ60" s="190"/>
    </row>
    <row r="61" spans="1:52" ht="21" customHeight="1" x14ac:dyDescent="0.2">
      <c r="B61" s="191" t="s">
        <v>9</v>
      </c>
      <c r="C61" s="191"/>
      <c r="D61" s="191"/>
      <c r="E61" s="191"/>
      <c r="F61" s="191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1"/>
      <c r="AE61" s="191"/>
      <c r="AF61" s="191"/>
      <c r="AG61" s="191"/>
      <c r="AH61" s="191"/>
      <c r="AI61" s="191"/>
      <c r="AJ61" s="191"/>
      <c r="AK61" s="191"/>
      <c r="AL61" s="191"/>
      <c r="AM61" s="191"/>
      <c r="AN61" s="172"/>
      <c r="AO61" s="172"/>
      <c r="AP61" s="172"/>
      <c r="AQ61" s="172"/>
      <c r="AR61" s="172"/>
      <c r="AS61" s="172"/>
    </row>
    <row r="62" spans="1:52" ht="158.25" customHeight="1" x14ac:dyDescent="0.2">
      <c r="A62" s="177"/>
      <c r="B62" s="178" t="s">
        <v>136</v>
      </c>
      <c r="C62" s="172"/>
      <c r="D62" s="172"/>
      <c r="E62" s="172"/>
      <c r="F62" s="303" t="s">
        <v>133</v>
      </c>
      <c r="G62" s="304"/>
      <c r="H62" s="303" t="s">
        <v>138</v>
      </c>
      <c r="I62" s="304"/>
      <c r="J62" s="303" t="s">
        <v>130</v>
      </c>
      <c r="K62" s="304"/>
      <c r="L62" s="303" t="s">
        <v>40</v>
      </c>
      <c r="M62" s="304"/>
      <c r="N62" s="303" t="s">
        <v>41</v>
      </c>
      <c r="O62" s="304"/>
      <c r="P62" s="305" t="s">
        <v>42</v>
      </c>
      <c r="Q62" s="306"/>
      <c r="R62" s="303" t="s">
        <v>43</v>
      </c>
      <c r="S62" s="304"/>
      <c r="T62" s="303" t="s">
        <v>22</v>
      </c>
      <c r="U62" s="304"/>
      <c r="V62" s="307" t="s">
        <v>62</v>
      </c>
      <c r="W62" s="308"/>
      <c r="X62" s="300" t="s">
        <v>63</v>
      </c>
      <c r="Y62" s="301"/>
      <c r="Z62" s="309" t="s">
        <v>64</v>
      </c>
      <c r="AA62" s="310"/>
      <c r="AB62" s="294" t="s">
        <v>65</v>
      </c>
      <c r="AC62" s="295"/>
      <c r="AD62" s="300" t="s">
        <v>66</v>
      </c>
      <c r="AE62" s="301"/>
      <c r="AF62" s="298" t="s">
        <v>67</v>
      </c>
      <c r="AG62" s="299"/>
      <c r="AH62" s="294" t="s">
        <v>39</v>
      </c>
      <c r="AI62" s="295"/>
      <c r="AJ62" s="313" t="s">
        <v>12</v>
      </c>
      <c r="AK62" s="314"/>
      <c r="AL62" s="313" t="s">
        <v>16</v>
      </c>
      <c r="AM62" s="314"/>
      <c r="AN62" s="313" t="s">
        <v>17</v>
      </c>
      <c r="AO62" s="314"/>
      <c r="AP62" s="296" t="s">
        <v>18</v>
      </c>
      <c r="AQ62" s="297"/>
      <c r="AR62" s="172"/>
      <c r="AS62" s="172"/>
    </row>
    <row r="63" spans="1:52" ht="24" x14ac:dyDescent="0.2">
      <c r="A63" s="56" t="s">
        <v>8</v>
      </c>
      <c r="B63" s="56" t="s">
        <v>7</v>
      </c>
      <c r="C63" s="56" t="s">
        <v>6</v>
      </c>
      <c r="D63" s="56" t="s">
        <v>5</v>
      </c>
      <c r="E63" s="56" t="s">
        <v>3</v>
      </c>
      <c r="F63" s="57" t="s">
        <v>4</v>
      </c>
      <c r="G63" s="56" t="s">
        <v>0</v>
      </c>
      <c r="H63" s="57" t="s">
        <v>4</v>
      </c>
      <c r="I63" s="56" t="s">
        <v>0</v>
      </c>
      <c r="J63" s="57" t="s">
        <v>4</v>
      </c>
      <c r="K63" s="56" t="s">
        <v>0</v>
      </c>
      <c r="L63" s="57" t="s">
        <v>4</v>
      </c>
      <c r="M63" s="56" t="s">
        <v>0</v>
      </c>
      <c r="N63" s="57" t="s">
        <v>4</v>
      </c>
      <c r="O63" s="56" t="s">
        <v>0</v>
      </c>
      <c r="P63" s="57" t="s">
        <v>4</v>
      </c>
      <c r="Q63" s="56" t="s">
        <v>0</v>
      </c>
      <c r="R63" s="57" t="s">
        <v>4</v>
      </c>
      <c r="S63" s="56" t="s">
        <v>0</v>
      </c>
      <c r="T63" s="62" t="s">
        <v>4</v>
      </c>
      <c r="U63" s="63" t="s">
        <v>0</v>
      </c>
      <c r="V63" s="64" t="s">
        <v>4</v>
      </c>
      <c r="W63" s="65" t="s">
        <v>0</v>
      </c>
      <c r="X63" s="66" t="s">
        <v>4</v>
      </c>
      <c r="Y63" s="67" t="s">
        <v>0</v>
      </c>
      <c r="Z63" s="68" t="s">
        <v>4</v>
      </c>
      <c r="AA63" s="69" t="s">
        <v>0</v>
      </c>
      <c r="AB63" s="60" t="s">
        <v>4</v>
      </c>
      <c r="AC63" s="61" t="s">
        <v>0</v>
      </c>
      <c r="AD63" s="66" t="s">
        <v>4</v>
      </c>
      <c r="AE63" s="67" t="s">
        <v>0</v>
      </c>
      <c r="AF63" s="58" t="s">
        <v>4</v>
      </c>
      <c r="AG63" s="59" t="s">
        <v>0</v>
      </c>
      <c r="AH63" s="60" t="s">
        <v>4</v>
      </c>
      <c r="AI63" s="61" t="s">
        <v>0</v>
      </c>
      <c r="AJ63" s="57" t="s">
        <v>4</v>
      </c>
      <c r="AK63" s="56" t="s">
        <v>0</v>
      </c>
      <c r="AL63" s="57" t="s">
        <v>4</v>
      </c>
      <c r="AM63" s="56" t="s">
        <v>0</v>
      </c>
      <c r="AN63" s="57" t="s">
        <v>4</v>
      </c>
      <c r="AO63" s="56" t="s">
        <v>0</v>
      </c>
      <c r="AP63" s="57" t="s">
        <v>4</v>
      </c>
      <c r="AQ63" s="56" t="s">
        <v>0</v>
      </c>
      <c r="AR63" s="172"/>
      <c r="AS63" s="172"/>
    </row>
    <row r="64" spans="1:52" ht="63.75" x14ac:dyDescent="0.2">
      <c r="A64" s="124">
        <v>1</v>
      </c>
      <c r="B64" s="102" t="s">
        <v>13</v>
      </c>
      <c r="C64" s="103" t="s">
        <v>1</v>
      </c>
      <c r="D64" s="51">
        <v>14</v>
      </c>
      <c r="E64" s="103">
        <v>4</v>
      </c>
      <c r="F64" s="20">
        <v>320000</v>
      </c>
      <c r="G64" s="166">
        <f>ROUND(D64*E64*F64,0)</f>
        <v>17920000</v>
      </c>
      <c r="H64" s="20">
        <v>612439</v>
      </c>
      <c r="I64" s="166">
        <f>ROUND(D64*E64*H64,0)</f>
        <v>34296584</v>
      </c>
      <c r="J64" s="20">
        <v>310000</v>
      </c>
      <c r="K64" s="166">
        <f>ROUND(D64*E64*J64,0)</f>
        <v>17360000</v>
      </c>
      <c r="L64" s="20">
        <v>256000</v>
      </c>
      <c r="M64" s="20">
        <f>L64*E64*D64</f>
        <v>14336000</v>
      </c>
      <c r="N64" s="167">
        <v>280000</v>
      </c>
      <c r="O64" s="167">
        <f>D64*E64*N64</f>
        <v>15680000</v>
      </c>
      <c r="P64" s="20">
        <v>300000</v>
      </c>
      <c r="Q64" s="23">
        <f>D64*E64*P64</f>
        <v>16800000</v>
      </c>
      <c r="R64" s="36">
        <v>310000</v>
      </c>
      <c r="S64" s="20">
        <f>D64*E64*R64</f>
        <v>17360000</v>
      </c>
      <c r="T64" s="40">
        <v>315000</v>
      </c>
      <c r="U64" s="36">
        <f>D64*E64*T64</f>
        <v>17640000</v>
      </c>
      <c r="V64" s="132">
        <f>300000*1.0317*1.0373*1.0244*1.0194*1.0366*1.0677*1.0575</f>
        <v>392404.59610050236</v>
      </c>
      <c r="W64" s="132">
        <f>D64*E64*V64</f>
        <v>21974657.381628133</v>
      </c>
      <c r="X64" s="97">
        <f>256861*1.0373*1.0244*1.0194*1.0366*1.0677*1.0575</f>
        <v>325654.86400753161</v>
      </c>
      <c r="Y64" s="97">
        <f>D64*E64*X64</f>
        <v>18236672.38442177</v>
      </c>
      <c r="Z64" s="98">
        <f>326042*1.0244*1.0194*1.0366*1.0677*1.0575</f>
        <v>398500.22490340361</v>
      </c>
      <c r="AA64" s="98">
        <f>D64*E64*Z64</f>
        <v>22316012.594590601</v>
      </c>
      <c r="AB64" s="23">
        <f>340040*1.0194*1.0366*1.0677*1.0575</f>
        <v>405709.76425131212</v>
      </c>
      <c r="AC64" s="23">
        <f>D64*E64*AB64</f>
        <v>22719746.798073478</v>
      </c>
      <c r="AD64" s="97">
        <f>265072*1.0366*1.0677*1.0575</f>
        <v>310244.91939546488</v>
      </c>
      <c r="AE64" s="97">
        <f>D64*E64*AD64</f>
        <v>17373715.486146033</v>
      </c>
      <c r="AF64" s="30">
        <f>274070*1.0677*1.0575</f>
        <v>309450.44999250007</v>
      </c>
      <c r="AG64" s="30">
        <f>D64*E64*AF64</f>
        <v>17329225.199580003</v>
      </c>
      <c r="AH64" s="23">
        <f>321631*1.0575</f>
        <v>340124.78250000003</v>
      </c>
      <c r="AI64" s="23">
        <f>D64*E64*AH64</f>
        <v>19046987.82</v>
      </c>
      <c r="AJ64" s="17">
        <f>ROUND((AVERAGE(F64,H64,J64,L64,N64,P64,R64,T64,V64,X64,Z64,AB64,AD64,AF64,AH64)),0)</f>
        <v>345702</v>
      </c>
      <c r="AK64" s="17">
        <f>ROUND((D64*E64*AJ64),0)</f>
        <v>19359312</v>
      </c>
      <c r="AL64" s="17">
        <f>ROUND((MEDIAN(F64,H64,J64,L64,N64,P64,R64,T64,V64,X64,Z64,AB64,AD64,AF64,AH64)),0)</f>
        <v>315000</v>
      </c>
      <c r="AM64" s="17">
        <f>ROUND((D64*E64*AL64),0)</f>
        <v>17640000</v>
      </c>
      <c r="AN64" s="17">
        <f>ROUND((HARMEAN(F64,H64,J64,L64,N64,P64,R64,T64,V64,X64,Z64,AB64,AD64,AF64,AH64)),0)</f>
        <v>331981</v>
      </c>
      <c r="AO64" s="17">
        <f>ROUND((HARMEAN(G64,I64,K64,M64,O64,Q64,S64,U64,W64,Y64,AA64,AC64,AE64,AG64,AI64)),0)</f>
        <v>18590945</v>
      </c>
      <c r="AP64" s="17">
        <f>ROUND((GEOMEAN(F64,H64,J64,L64,N64,P64,R64,T64,V64,X64,Z64,AB64,AD64,AF64,AH64)),0)</f>
        <v>338056</v>
      </c>
      <c r="AQ64" s="17">
        <f>ROUND((D64*E64*AP64),0)</f>
        <v>18931136</v>
      </c>
      <c r="AR64" s="172"/>
      <c r="AS64" s="172"/>
    </row>
    <row r="65" spans="1:53" ht="76.5" x14ac:dyDescent="0.2">
      <c r="A65" s="124">
        <v>2</v>
      </c>
      <c r="B65" s="102" t="s">
        <v>14</v>
      </c>
      <c r="C65" s="103" t="s">
        <v>2</v>
      </c>
      <c r="D65" s="104">
        <v>2787</v>
      </c>
      <c r="E65" s="103">
        <v>4</v>
      </c>
      <c r="F65" s="20">
        <v>2100</v>
      </c>
      <c r="G65" s="166">
        <f>ROUND(D65*E65*F65,0)</f>
        <v>23410800</v>
      </c>
      <c r="H65" s="20">
        <v>6500</v>
      </c>
      <c r="I65" s="166">
        <f>ROUND(D65*E65*H65,0)</f>
        <v>72462000</v>
      </c>
      <c r="J65" s="20">
        <v>1800</v>
      </c>
      <c r="K65" s="166">
        <f>ROUND(D65*E65*J65,0)</f>
        <v>20066400</v>
      </c>
      <c r="L65" s="20">
        <v>1810</v>
      </c>
      <c r="M65" s="20">
        <f>L65*E65*D65</f>
        <v>20177880</v>
      </c>
      <c r="N65" s="167">
        <v>2100</v>
      </c>
      <c r="O65" s="167">
        <f>D65*E65*N65</f>
        <v>23410800</v>
      </c>
      <c r="P65" s="20">
        <v>2950</v>
      </c>
      <c r="Q65" s="23">
        <f>D65*E65*P65</f>
        <v>32886600</v>
      </c>
      <c r="R65" s="36">
        <v>2700</v>
      </c>
      <c r="S65" s="20">
        <f>D65*E65*R65</f>
        <v>30099600</v>
      </c>
      <c r="T65" s="40">
        <v>2800</v>
      </c>
      <c r="U65" s="36">
        <f>D65*E65*T65</f>
        <v>31214400</v>
      </c>
      <c r="V65" s="132">
        <f>3780*1.0317*1.0373*1.0244*1.0194*1.0366*1.0677*1.0575</f>
        <v>4944.2979108663294</v>
      </c>
      <c r="W65" s="132">
        <f>D65*E65*V65</f>
        <v>55119033.110337839</v>
      </c>
      <c r="X65" s="97">
        <f>2335*1.0373*1.0244*1.0194*1.0366*1.0677*1.0575</f>
        <v>2960.3719811788719</v>
      </c>
      <c r="Y65" s="97">
        <f>D65*E65*X65</f>
        <v>33002226.846182063</v>
      </c>
      <c r="Z65" s="98">
        <f>1917*1.0244*1.0194*1.0366*1.0677*1.0575</f>
        <v>2343.0261473669793</v>
      </c>
      <c r="AA65" s="98">
        <f>D65*E65*Z65</f>
        <v>26120055.490847085</v>
      </c>
      <c r="AB65" s="23">
        <f>2040*1.0194*1.0366*1.0677*1.0575</f>
        <v>2433.9722358330691</v>
      </c>
      <c r="AC65" s="23">
        <f>D65*E65*AB65</f>
        <v>27133922.485067055</v>
      </c>
      <c r="AD65" s="97">
        <f>1728*1.0366*1.0677*1.0575</f>
        <v>2022.4815171552002</v>
      </c>
      <c r="AE65" s="97">
        <f>D65*E65*AD65</f>
        <v>22546623.953246173</v>
      </c>
      <c r="AF65" s="30">
        <f>1737*1.0677*1.0575</f>
        <v>1961.2341067500004</v>
      </c>
      <c r="AG65" s="30">
        <f>D65*E65*AF65</f>
        <v>21863837.822049003</v>
      </c>
      <c r="AH65" s="23">
        <f>1979*1.0575</f>
        <v>2092.7925</v>
      </c>
      <c r="AI65" s="23">
        <f>D65*E65*AH65</f>
        <v>23330450.789999999</v>
      </c>
      <c r="AJ65" s="17">
        <f>ROUND((AVERAGE(F65,H65,J65,L65,N65,P65,R65,T65,V65,X65,Z65,AB65,AD65,AF65,AH65)),0)</f>
        <v>2768</v>
      </c>
      <c r="AK65" s="17">
        <f>ROUND((D65*E65*AJ65),0)</f>
        <v>30857664</v>
      </c>
      <c r="AL65" s="17">
        <f>ROUND((MEDIAN(F65,H65,J65,L65,N65,P65,R65,T65,V65,X65,Z65,AB65,AD65,AF65,AH65)),0)</f>
        <v>2343</v>
      </c>
      <c r="AM65" s="17">
        <f>ROUND((D65*E65*AL65),0)</f>
        <v>26119764</v>
      </c>
      <c r="AN65" s="17">
        <f>ROUND((HARMEAN(F65,H65,J65,L65,N65,P65,R65,T65,V65,X65,Z65,AB65,AD65,AF65,AH65)),0)</f>
        <v>2443</v>
      </c>
      <c r="AO65" s="17">
        <f>ROUND((D65*E65*AN65),0)</f>
        <v>27234564</v>
      </c>
      <c r="AP65" s="17">
        <f>ROUND((GEOMEAN(F65,H65,J65,L65,N65,P65,R65,T65,V65,X65,Z65,AB65,AD65,AF65,AH65)),0)</f>
        <v>2574</v>
      </c>
      <c r="AQ65" s="17">
        <f>ROUND((D65*E65*AP65),0)</f>
        <v>28694952</v>
      </c>
      <c r="AR65" s="172"/>
      <c r="AS65" s="172"/>
    </row>
    <row r="66" spans="1:53" ht="76.5" x14ac:dyDescent="0.2">
      <c r="A66" s="124">
        <v>3</v>
      </c>
      <c r="B66" s="102" t="s">
        <v>15</v>
      </c>
      <c r="C66" s="103" t="s">
        <v>2</v>
      </c>
      <c r="D66" s="51">
        <v>3247</v>
      </c>
      <c r="E66" s="103">
        <v>4</v>
      </c>
      <c r="F66" s="20">
        <v>2200</v>
      </c>
      <c r="G66" s="166">
        <f>ROUND(D66*E66*F66,0)</f>
        <v>28573600</v>
      </c>
      <c r="H66" s="20">
        <v>3860</v>
      </c>
      <c r="I66" s="166">
        <f>ROUND(D66*E66*H66,0)</f>
        <v>50133680</v>
      </c>
      <c r="J66" s="20">
        <v>1900</v>
      </c>
      <c r="K66" s="166">
        <f>ROUND(D66*E66*J66,0)</f>
        <v>24677200</v>
      </c>
      <c r="L66" s="20">
        <v>1800</v>
      </c>
      <c r="M66" s="20">
        <f>L66*E66*D66</f>
        <v>23378400</v>
      </c>
      <c r="N66" s="167">
        <v>2100</v>
      </c>
      <c r="O66" s="167">
        <f>D66*E66*N66</f>
        <v>27274800</v>
      </c>
      <c r="P66" s="20">
        <v>2950</v>
      </c>
      <c r="Q66" s="23">
        <f>D66*E66*P66</f>
        <v>38314600</v>
      </c>
      <c r="R66" s="36">
        <v>2700</v>
      </c>
      <c r="S66" s="20">
        <f>D66*E66*R66</f>
        <v>35067600</v>
      </c>
      <c r="T66" s="40">
        <v>2800</v>
      </c>
      <c r="U66" s="36">
        <f>D66*E66*T66</f>
        <v>36366400</v>
      </c>
      <c r="V66" s="132">
        <f>1180*1.0317*1.0373*1.0244*1.0194*1.0366*1.0677*1.0575</f>
        <v>1543.4580779953092</v>
      </c>
      <c r="W66" s="132">
        <f>D66*E66*V66</f>
        <v>20046433.517003074</v>
      </c>
      <c r="X66" s="97">
        <f>2182*1.0373*1.0244*1.0194*1.0366*1.0677*1.0575</f>
        <v>2766.3947164592287</v>
      </c>
      <c r="Y66" s="97">
        <f>D66*E66*X66</f>
        <v>35929934.577372462</v>
      </c>
      <c r="Z66" s="98">
        <f>1960*1.0244*1.0194*1.0366*1.0677*1.0575</f>
        <v>2395.5822894310277</v>
      </c>
      <c r="AA66" s="98">
        <f>D66*E66*Z66</f>
        <v>31113822.775130186</v>
      </c>
      <c r="AB66" s="23">
        <f>2050*1.0194*1.0366*1.0677*1.0575</f>
        <v>2445.9034722832307</v>
      </c>
      <c r="AC66" s="23">
        <f>D66*E66*AB66</f>
        <v>31767394.2980146</v>
      </c>
      <c r="AD66" s="97">
        <f>1720*1.0366*1.0677*1.0575</f>
        <v>2013.1181767980004</v>
      </c>
      <c r="AE66" s="97">
        <f>D66*E66*AD66</f>
        <v>26146378.880252428</v>
      </c>
      <c r="AF66" s="30">
        <f>1748*1.0677*1.0575</f>
        <v>1973.6541270000005</v>
      </c>
      <c r="AG66" s="30">
        <f>D66*E66*AF66</f>
        <v>25633819.801476005</v>
      </c>
      <c r="AH66" s="23">
        <f>1840*1.0575</f>
        <v>1945.8000000000002</v>
      </c>
      <c r="AI66" s="23">
        <f>D66*E66*AH66</f>
        <v>25272050.400000002</v>
      </c>
      <c r="AJ66" s="17">
        <f>ROUND((AVERAGE(F66,H66,J66,L66,N66,P66,R66,T66,V66,X66,Z66,AB66,AD66,AF66,AH66)),0)</f>
        <v>2360</v>
      </c>
      <c r="AK66" s="17">
        <f>ROUND((D66*E66*AJ66),0)</f>
        <v>30651680</v>
      </c>
      <c r="AL66" s="17">
        <f>ROUND((MEDIAN(F66,H66,J66,L66,N66,P66,R66,T66,V66,X66,Z66,AB66,AD66,AF66,AH66)),0)</f>
        <v>2200</v>
      </c>
      <c r="AM66" s="17">
        <f>ROUND((D66*E66*AL66),0)</f>
        <v>28573600</v>
      </c>
      <c r="AN66" s="17">
        <f>ROUND((HARMEAN(F66,H66,J66,L66,N66,P66,R66,T66,V66,X66,Z66,AB66,AD66,AF66,AH66)),0)</f>
        <v>2242</v>
      </c>
      <c r="AO66" s="17">
        <f>ROUND((D66*E66*AN66),0)</f>
        <v>29119096</v>
      </c>
      <c r="AP66" s="17">
        <f>ROUND((GEOMEAN(F66,H66,J66,L66,N66,P66,R66,T66,V66,X66,Z66,AB66,AD66,AF66,AH66)),0)</f>
        <v>2298</v>
      </c>
      <c r="AQ66" s="17">
        <f>ROUND((D66*E66*AP66),0)</f>
        <v>29846424</v>
      </c>
      <c r="AR66" s="172"/>
      <c r="AS66" s="172"/>
    </row>
    <row r="67" spans="1:53" ht="38.25" x14ac:dyDescent="0.2">
      <c r="A67" s="124">
        <v>4</v>
      </c>
      <c r="B67" s="105" t="s">
        <v>46</v>
      </c>
      <c r="C67" s="52" t="s">
        <v>1</v>
      </c>
      <c r="D67" s="51">
        <v>13</v>
      </c>
      <c r="E67" s="52">
        <v>4</v>
      </c>
      <c r="F67" s="20">
        <v>500000</v>
      </c>
      <c r="G67" s="166">
        <f>ROUND(D67*E67*F67,0)</f>
        <v>26000000</v>
      </c>
      <c r="H67" s="20">
        <v>1200000</v>
      </c>
      <c r="I67" s="166">
        <f>ROUND(D67*E67*H67,0)</f>
        <v>62400000</v>
      </c>
      <c r="J67" s="20">
        <v>155000</v>
      </c>
      <c r="K67" s="166">
        <f>ROUND(D67*E67*J67,0)</f>
        <v>8060000</v>
      </c>
      <c r="L67" s="20">
        <v>180000</v>
      </c>
      <c r="M67" s="20">
        <f>L67*E67*D67</f>
        <v>9360000</v>
      </c>
      <c r="N67" s="167">
        <v>200000</v>
      </c>
      <c r="O67" s="167">
        <f>D67*E67*N67</f>
        <v>10400000</v>
      </c>
      <c r="P67" s="20">
        <v>250000</v>
      </c>
      <c r="Q67" s="23">
        <f>D67*E67*P67</f>
        <v>13000000</v>
      </c>
      <c r="R67" s="36">
        <v>170000</v>
      </c>
      <c r="S67" s="20">
        <f>D67*E67*R67</f>
        <v>8840000</v>
      </c>
      <c r="T67" s="40">
        <v>180000</v>
      </c>
      <c r="U67" s="36">
        <f>D67*E67*T67</f>
        <v>9360000</v>
      </c>
      <c r="V67" s="132">
        <f>124000*1.0317*1.0373*1.0244*1.0194*1.0366*1.0677*1.0575</f>
        <v>162193.89972154092</v>
      </c>
      <c r="W67" s="132">
        <f>D67*E67*V67</f>
        <v>8434082.785520127</v>
      </c>
      <c r="X67" s="97">
        <f>205367*1.0373*1.0244*1.0194*1.0366*1.0677*1.0575</f>
        <v>260369.47008940537</v>
      </c>
      <c r="Y67" s="97">
        <f>D67*E67*X67</f>
        <v>13539212.44464908</v>
      </c>
      <c r="Z67" s="98">
        <f>196192*1.0244*1.0194*1.0366*1.0677*1.0575</f>
        <v>239792.898228598</v>
      </c>
      <c r="AA67" s="98">
        <f>D67*E67*Z67</f>
        <v>12469230.707887096</v>
      </c>
      <c r="AB67" s="23">
        <f>177790*1.0194*1.0366*1.0677*1.0575</f>
        <v>212125.452847432</v>
      </c>
      <c r="AC67" s="23">
        <f>D67*E67*AB67</f>
        <v>11030523.548066463</v>
      </c>
      <c r="AD67" s="97">
        <f>131783*1.0366*1.0677*1.0575</f>
        <v>154241.13528661098</v>
      </c>
      <c r="AE67" s="97">
        <f>D67*E67*AD67</f>
        <v>8020539.0349037712</v>
      </c>
      <c r="AF67" s="30">
        <f>157753*1.0677*1.0575</f>
        <v>178117.76859075003</v>
      </c>
      <c r="AG67" s="30">
        <f>D67*E67*AF67</f>
        <v>9262123.9667190015</v>
      </c>
      <c r="AH67" s="23">
        <f>180512*1.0575</f>
        <v>190891.44000000003</v>
      </c>
      <c r="AI67" s="23">
        <f>D67*E67*AH67</f>
        <v>9926354.8800000008</v>
      </c>
      <c r="AJ67" s="17">
        <f>ROUND((AVERAGE(F67,H67,J67,L67,N67,P67,R67,T67,V67,X67,Z67,AB67,AD67,AF67,AH67)),0)</f>
        <v>282182</v>
      </c>
      <c r="AK67" s="17">
        <f>ROUND((D67*E67*AJ67),0)</f>
        <v>14673464</v>
      </c>
      <c r="AL67" s="17">
        <f>ROUND((MEDIAN(F67,H67,J67,L67,N67,P67,R67,T67,V67,X67,Z67,AB67,AD67,AF67,AH67)),0)</f>
        <v>190891</v>
      </c>
      <c r="AM67" s="17">
        <f>ROUND((D67*E67*AL67),0)</f>
        <v>9926332</v>
      </c>
      <c r="AN67" s="17">
        <f>ROUND((HARMEAN(F67,H67,J67,L67,N67,P67,R67,T67,V67,X67,Z67,AB67,AD67,AF67,AH67)),0)</f>
        <v>209775</v>
      </c>
      <c r="AO67" s="17">
        <f>ROUND((D67*E67*AN67),0)</f>
        <v>10908300</v>
      </c>
      <c r="AP67" s="17">
        <f>ROUND((GEOMEAN(F67,H67,J67,L67,N67,P67,R67,T67,V67,X67,Z67,AB67,AD67,AF67,AH67)),0)</f>
        <v>231213</v>
      </c>
      <c r="AQ67" s="17">
        <f>ROUND((D67*E67*AP67),0)</f>
        <v>12023076</v>
      </c>
      <c r="AR67" s="172"/>
      <c r="AS67" s="172"/>
    </row>
    <row r="68" spans="1:53" x14ac:dyDescent="0.2">
      <c r="A68" s="179"/>
      <c r="B68" s="184"/>
      <c r="C68" s="184"/>
      <c r="D68" s="188"/>
      <c r="E68" s="184"/>
      <c r="F68" s="184"/>
      <c r="G68" s="184"/>
      <c r="H68" s="184"/>
      <c r="I68" s="184"/>
      <c r="J68" s="184"/>
      <c r="K68" s="184"/>
      <c r="L68" s="20"/>
      <c r="M68" s="20"/>
      <c r="N68" s="167"/>
      <c r="O68" s="167"/>
      <c r="P68" s="23"/>
      <c r="Q68" s="23"/>
      <c r="R68" s="20"/>
      <c r="S68" s="20"/>
      <c r="T68" s="36"/>
      <c r="U68" s="36"/>
      <c r="V68" s="132"/>
      <c r="W68" s="132"/>
      <c r="X68" s="97"/>
      <c r="Y68" s="97"/>
      <c r="Z68" s="98"/>
      <c r="AA68" s="98"/>
      <c r="AB68" s="23"/>
      <c r="AC68" s="23"/>
      <c r="AD68" s="97"/>
      <c r="AE68" s="97"/>
      <c r="AF68" s="30"/>
      <c r="AG68" s="30"/>
      <c r="AH68" s="23"/>
      <c r="AI68" s="23"/>
      <c r="AJ68" s="44"/>
      <c r="AK68" s="44"/>
      <c r="AL68" s="44"/>
      <c r="AM68" s="44"/>
      <c r="AN68" s="44"/>
      <c r="AO68" s="44"/>
      <c r="AP68" s="44"/>
      <c r="AQ68" s="44"/>
      <c r="AR68" s="172"/>
      <c r="AS68" s="172"/>
    </row>
    <row r="69" spans="1:53" ht="15.75" x14ac:dyDescent="0.2">
      <c r="A69" s="179"/>
      <c r="B69" s="193" t="s">
        <v>150</v>
      </c>
      <c r="C69" s="45"/>
      <c r="D69" s="45"/>
      <c r="E69" s="45"/>
      <c r="F69" s="47"/>
      <c r="G69" s="46">
        <f>SUM(G64:G67)</f>
        <v>95904400</v>
      </c>
      <c r="H69" s="47"/>
      <c r="I69" s="46">
        <f>SUM(I64:I67)</f>
        <v>219292264</v>
      </c>
      <c r="J69" s="47"/>
      <c r="K69" s="46">
        <f>SUM(K64:K67)</f>
        <v>70163600</v>
      </c>
      <c r="L69" s="47"/>
      <c r="M69" s="46">
        <f>SUM(M64:M67)</f>
        <v>67252280</v>
      </c>
      <c r="N69" s="47"/>
      <c r="O69" s="46">
        <f>SUM(O64:O67)</f>
        <v>76765600</v>
      </c>
      <c r="P69" s="47"/>
      <c r="Q69" s="46">
        <f>SUM(Q64:Q67)</f>
        <v>101001200</v>
      </c>
      <c r="R69" s="47"/>
      <c r="S69" s="46">
        <f>SUM(S64:S67)</f>
        <v>91367200</v>
      </c>
      <c r="T69" s="47"/>
      <c r="U69" s="46">
        <f>SUM(U64:U67)</f>
        <v>94580800</v>
      </c>
      <c r="V69" s="47"/>
      <c r="W69" s="46">
        <f>SUM(W64:W67)</f>
        <v>105574206.79448918</v>
      </c>
      <c r="X69" s="47"/>
      <c r="Y69" s="46">
        <f>SUM(Y64:Y67)</f>
        <v>100708046.25262538</v>
      </c>
      <c r="Z69" s="47"/>
      <c r="AA69" s="46">
        <f>SUM(AA64:AA67)</f>
        <v>92019121.568454966</v>
      </c>
      <c r="AB69" s="47"/>
      <c r="AC69" s="46">
        <f>SUM(AC64:AC67)</f>
        <v>92651587.129221603</v>
      </c>
      <c r="AD69" s="47"/>
      <c r="AE69" s="46">
        <f>SUM(AE64:AE67)</f>
        <v>74087257.35454841</v>
      </c>
      <c r="AF69" s="47"/>
      <c r="AG69" s="46">
        <f>SUM(AG64:AG67)</f>
        <v>74089006.789824009</v>
      </c>
      <c r="AH69" s="47"/>
      <c r="AI69" s="46">
        <f>SUM(AI64:AI67)</f>
        <v>77575843.890000001</v>
      </c>
      <c r="AJ69" s="48"/>
      <c r="AK69" s="194">
        <f>SUM(AK64:AK67)</f>
        <v>95542120</v>
      </c>
      <c r="AL69" s="48"/>
      <c r="AM69" s="194">
        <f>SUM(AM64:AM67)</f>
        <v>82259696</v>
      </c>
      <c r="AN69" s="48"/>
      <c r="AO69" s="194">
        <f>SUM(AO64:AO67)</f>
        <v>85852905</v>
      </c>
      <c r="AP69" s="48"/>
      <c r="AQ69" s="194">
        <f>SUM(AQ64:AQ67)</f>
        <v>89495588</v>
      </c>
      <c r="AR69" s="172"/>
      <c r="AS69" s="172"/>
    </row>
    <row r="70" spans="1:53" ht="15.75" x14ac:dyDescent="0.2">
      <c r="A70" s="179"/>
      <c r="B70" s="193" t="s">
        <v>151</v>
      </c>
      <c r="C70" s="45"/>
      <c r="D70" s="45"/>
      <c r="E70" s="185">
        <v>0.19</v>
      </c>
      <c r="F70" s="181">
        <v>0.19</v>
      </c>
      <c r="G70" s="46">
        <f>ROUND(G69*F70,0)</f>
        <v>18221836</v>
      </c>
      <c r="H70" s="181">
        <v>0.19</v>
      </c>
      <c r="I70" s="46">
        <f>ROUND(I69*H70,0)</f>
        <v>41665530</v>
      </c>
      <c r="J70" s="181">
        <v>0.19</v>
      </c>
      <c r="K70" s="46">
        <f>ROUND(K69*J70,0)</f>
        <v>13331084</v>
      </c>
      <c r="L70" s="181">
        <v>0.19</v>
      </c>
      <c r="M70" s="46">
        <f>ROUND(M69*L70,0)</f>
        <v>12777933</v>
      </c>
      <c r="N70" s="181">
        <v>0.19</v>
      </c>
      <c r="O70" s="46">
        <f>ROUND(O69*N70,0)</f>
        <v>14585464</v>
      </c>
      <c r="P70" s="181">
        <v>0.19</v>
      </c>
      <c r="Q70" s="46">
        <f>ROUND(Q69*P70,0)</f>
        <v>19190228</v>
      </c>
      <c r="R70" s="181">
        <v>0.19</v>
      </c>
      <c r="S70" s="46">
        <f>ROUND(S69*R70,0)</f>
        <v>17359768</v>
      </c>
      <c r="T70" s="181">
        <v>0.19</v>
      </c>
      <c r="U70" s="46">
        <f>ROUND(U69*T70,0)</f>
        <v>17970352</v>
      </c>
      <c r="V70" s="181">
        <v>0.19</v>
      </c>
      <c r="W70" s="46">
        <f>ROUND(W69*V70,0)</f>
        <v>20059099</v>
      </c>
      <c r="X70" s="181">
        <v>0.19</v>
      </c>
      <c r="Y70" s="46">
        <f>ROUND(Y69*X70,0)</f>
        <v>19134529</v>
      </c>
      <c r="Z70" s="181">
        <v>0.19</v>
      </c>
      <c r="AA70" s="46">
        <f>ROUND(AA69*Z70,0)</f>
        <v>17483633</v>
      </c>
      <c r="AB70" s="181">
        <v>0.19</v>
      </c>
      <c r="AC70" s="46">
        <f>ROUND(AC69*AB70,0)</f>
        <v>17603802</v>
      </c>
      <c r="AD70" s="181">
        <v>0.19</v>
      </c>
      <c r="AE70" s="46">
        <f>ROUND(AE69*AD70,0)</f>
        <v>14076579</v>
      </c>
      <c r="AF70" s="181">
        <v>0.19</v>
      </c>
      <c r="AG70" s="46">
        <f>ROUND(AG69*AF70,0)</f>
        <v>14076911</v>
      </c>
      <c r="AH70" s="181">
        <v>0.19</v>
      </c>
      <c r="AI70" s="46">
        <f>ROUND(AI69*AH70,0)</f>
        <v>14739410</v>
      </c>
      <c r="AJ70" s="195">
        <v>0.19</v>
      </c>
      <c r="AK70" s="194">
        <f>ROUND(AK69*AJ70,0)</f>
        <v>18153003</v>
      </c>
      <c r="AL70" s="195">
        <v>0.19</v>
      </c>
      <c r="AM70" s="194">
        <f>ROUND(AM69*AL70,0)</f>
        <v>15629342</v>
      </c>
      <c r="AN70" s="195">
        <v>0.19</v>
      </c>
      <c r="AO70" s="194">
        <f>ROUND(AO69*AN70,0)</f>
        <v>16312052</v>
      </c>
      <c r="AP70" s="195">
        <v>0.19</v>
      </c>
      <c r="AQ70" s="194">
        <f>ROUND(AQ69*AP70,0)</f>
        <v>17004162</v>
      </c>
      <c r="AR70" s="172"/>
      <c r="AS70" s="172"/>
    </row>
    <row r="71" spans="1:53" ht="15.75" x14ac:dyDescent="0.2">
      <c r="A71" s="179"/>
      <c r="B71" s="165" t="s">
        <v>135</v>
      </c>
      <c r="C71" s="45"/>
      <c r="D71" s="45"/>
      <c r="E71" s="45"/>
      <c r="F71" s="47"/>
      <c r="G71" s="46">
        <f>SUM(G69:G70)</f>
        <v>114126236</v>
      </c>
      <c r="H71" s="47"/>
      <c r="I71" s="46">
        <f>SUM(I69:I70)</f>
        <v>260957794</v>
      </c>
      <c r="J71" s="47"/>
      <c r="K71" s="46">
        <f>SUM(K69:K70)</f>
        <v>83494684</v>
      </c>
      <c r="L71" s="47"/>
      <c r="M71" s="46">
        <f>SUM(M69:M70)</f>
        <v>80030213</v>
      </c>
      <c r="N71" s="47"/>
      <c r="O71" s="46">
        <f>SUM(O69:O70)</f>
        <v>91351064</v>
      </c>
      <c r="P71" s="47"/>
      <c r="Q71" s="46">
        <f>SUM(Q69:Q70)</f>
        <v>120191428</v>
      </c>
      <c r="R71" s="47"/>
      <c r="S71" s="46">
        <f>SUM(S69:S70)</f>
        <v>108726968</v>
      </c>
      <c r="T71" s="47"/>
      <c r="U71" s="46">
        <f>SUM(U69:U70)</f>
        <v>112551152</v>
      </c>
      <c r="V71" s="47"/>
      <c r="W71" s="46">
        <f>SUM(W69:W70)</f>
        <v>125633305.79448918</v>
      </c>
      <c r="X71" s="47"/>
      <c r="Y71" s="46">
        <f>SUM(Y69:Y70)</f>
        <v>119842575.25262538</v>
      </c>
      <c r="Z71" s="47"/>
      <c r="AA71" s="46">
        <f>SUM(AA69:AA70)</f>
        <v>109502754.56845497</v>
      </c>
      <c r="AB71" s="47"/>
      <c r="AC71" s="46">
        <f>SUM(AC69:AC70)</f>
        <v>110255389.1292216</v>
      </c>
      <c r="AD71" s="47"/>
      <c r="AE71" s="46">
        <f>SUM(AE69:AE70)</f>
        <v>88163836.35454841</v>
      </c>
      <c r="AF71" s="47"/>
      <c r="AG71" s="46">
        <f>SUM(AG69:AG70)</f>
        <v>88165917.789824009</v>
      </c>
      <c r="AH71" s="47"/>
      <c r="AI71" s="46">
        <f>SUM(AI69:AI70)</f>
        <v>92315253.890000001</v>
      </c>
      <c r="AJ71" s="48"/>
      <c r="AK71" s="194">
        <f>SUM(AK69:AK70)</f>
        <v>113695123</v>
      </c>
      <c r="AL71" s="48"/>
      <c r="AM71" s="194">
        <f>SUM(AM69:AM70)</f>
        <v>97889038</v>
      </c>
      <c r="AN71" s="48"/>
      <c r="AO71" s="194">
        <f>SUM(AO69:AO70)</f>
        <v>102164957</v>
      </c>
      <c r="AP71" s="48"/>
      <c r="AQ71" s="194">
        <f>SUM(AQ69:AQ70)</f>
        <v>106499750</v>
      </c>
      <c r="AR71" s="172"/>
      <c r="AS71" s="172"/>
    </row>
    <row r="72" spans="1:53" x14ac:dyDescent="0.2">
      <c r="A72" s="177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72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/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</row>
    <row r="73" spans="1:53" ht="73.5" customHeight="1" x14ac:dyDescent="0.2">
      <c r="B73" s="190"/>
      <c r="C73" s="190"/>
      <c r="D73" s="190"/>
      <c r="E73" s="190"/>
      <c r="F73" s="315" t="str">
        <f>UPPER("OBJETO: Contratar el mantenimiento de las zonas de seguridad y canales del aeropuerto de Gustavo Rojas Pinilla de Cimitarra - Santander")</f>
        <v>OBJETO: CONTRATAR EL MANTENIMIENTO DE LAS ZONAS DE SEGURIDAD Y CANALES DEL AEROPUERTO DE GUSTAVO ROJAS PINILLA DE CIMITARRA - SANTANDER</v>
      </c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5"/>
      <c r="T73" s="315"/>
      <c r="U73" s="315"/>
      <c r="V73" s="315"/>
      <c r="W73" s="190"/>
      <c r="X73" s="190"/>
      <c r="Y73" s="190"/>
      <c r="Z73" s="190"/>
      <c r="AA73" s="190"/>
      <c r="AB73" s="190"/>
      <c r="AC73" s="190"/>
      <c r="AD73" s="190"/>
      <c r="AE73" s="190"/>
      <c r="AF73" s="190"/>
      <c r="AG73" s="190"/>
      <c r="AH73" s="190"/>
      <c r="AI73" s="190"/>
      <c r="AJ73" s="315" t="str">
        <f>UPPER("OBJETO: Contratar el mantenimiento de las zonas de seguridad y canales del aeropuerto de Gustavo Rojas Pinilla de Cimitarra - Santander")</f>
        <v>OBJETO: CONTRATAR EL MANTENIMIENTO DE LAS ZONAS DE SEGURIDAD Y CANALES DEL AEROPUERTO DE GUSTAVO ROJAS PINILLA DE CIMITARRA - SANTANDER</v>
      </c>
      <c r="AK73" s="315"/>
      <c r="AL73" s="315"/>
      <c r="AM73" s="315"/>
      <c r="AN73" s="315"/>
      <c r="AO73" s="315"/>
      <c r="AP73" s="315"/>
      <c r="AQ73" s="315"/>
      <c r="AR73" s="190"/>
      <c r="AS73" s="190"/>
      <c r="AT73" s="190"/>
      <c r="AU73" s="190"/>
      <c r="AV73" s="190"/>
      <c r="AW73" s="190"/>
      <c r="AX73" s="190"/>
      <c r="AY73" s="190"/>
      <c r="AZ73" s="190"/>
      <c r="BA73" s="190"/>
    </row>
    <row r="74" spans="1:53" ht="21" customHeight="1" x14ac:dyDescent="0.2">
      <c r="B74" s="191" t="s">
        <v>9</v>
      </c>
      <c r="C74" s="191"/>
      <c r="D74" s="191"/>
      <c r="E74" s="191"/>
      <c r="F74" s="191"/>
      <c r="G74" s="191"/>
      <c r="H74" s="191"/>
      <c r="I74" s="191"/>
      <c r="J74" s="191"/>
      <c r="K74" s="191"/>
      <c r="L74" s="191"/>
      <c r="M74" s="191"/>
      <c r="N74" s="191"/>
      <c r="O74" s="191"/>
      <c r="P74" s="191"/>
      <c r="Q74" s="191"/>
      <c r="R74" s="191"/>
      <c r="S74" s="191"/>
      <c r="T74" s="191"/>
      <c r="U74" s="191"/>
      <c r="V74" s="191"/>
      <c r="W74" s="191"/>
      <c r="X74" s="191"/>
      <c r="Y74" s="191"/>
      <c r="Z74" s="191"/>
      <c r="AA74" s="191"/>
      <c r="AB74" s="191"/>
      <c r="AC74" s="191"/>
      <c r="AD74" s="191"/>
      <c r="AE74" s="191"/>
      <c r="AF74" s="191"/>
      <c r="AG74" s="191"/>
      <c r="AH74" s="191"/>
      <c r="AI74" s="191"/>
      <c r="AJ74" s="183"/>
      <c r="AK74" s="183"/>
      <c r="AL74" s="172"/>
      <c r="AM74" s="172"/>
      <c r="AN74" s="172"/>
      <c r="AO74" s="172"/>
      <c r="AP74" s="172"/>
      <c r="AQ74" s="172"/>
      <c r="AR74" s="172"/>
      <c r="AS74" s="172"/>
    </row>
    <row r="75" spans="1:53" ht="172.5" customHeight="1" x14ac:dyDescent="0.2">
      <c r="A75" s="177"/>
      <c r="B75" s="178" t="s">
        <v>136</v>
      </c>
      <c r="C75" s="172"/>
      <c r="D75" s="172"/>
      <c r="E75" s="172"/>
      <c r="F75" s="303" t="s">
        <v>133</v>
      </c>
      <c r="G75" s="304"/>
      <c r="H75" s="303" t="s">
        <v>138</v>
      </c>
      <c r="I75" s="304"/>
      <c r="J75" s="303" t="s">
        <v>130</v>
      </c>
      <c r="K75" s="304"/>
      <c r="L75" s="303" t="s">
        <v>40</v>
      </c>
      <c r="M75" s="304"/>
      <c r="N75" s="303" t="s">
        <v>41</v>
      </c>
      <c r="O75" s="304"/>
      <c r="P75" s="305" t="s">
        <v>42</v>
      </c>
      <c r="Q75" s="306"/>
      <c r="R75" s="303" t="s">
        <v>43</v>
      </c>
      <c r="S75" s="304"/>
      <c r="T75" s="303" t="s">
        <v>22</v>
      </c>
      <c r="U75" s="304"/>
      <c r="V75" s="311" t="s">
        <v>68</v>
      </c>
      <c r="W75" s="312"/>
      <c r="X75" s="290" t="s">
        <v>69</v>
      </c>
      <c r="Y75" s="291"/>
      <c r="Z75" s="286" t="s">
        <v>70</v>
      </c>
      <c r="AA75" s="287"/>
      <c r="AB75" s="288" t="s">
        <v>71</v>
      </c>
      <c r="AC75" s="289"/>
      <c r="AD75" s="290" t="s">
        <v>72</v>
      </c>
      <c r="AE75" s="291"/>
      <c r="AF75" s="292" t="s">
        <v>67</v>
      </c>
      <c r="AG75" s="293"/>
      <c r="AH75" s="294" t="s">
        <v>39</v>
      </c>
      <c r="AI75" s="295"/>
      <c r="AJ75" s="285" t="s">
        <v>12</v>
      </c>
      <c r="AK75" s="285"/>
      <c r="AL75" s="285" t="s">
        <v>16</v>
      </c>
      <c r="AM75" s="285"/>
      <c r="AN75" s="285" t="s">
        <v>19</v>
      </c>
      <c r="AO75" s="285"/>
      <c r="AP75" s="285" t="s">
        <v>20</v>
      </c>
      <c r="AQ75" s="285"/>
      <c r="AR75" s="172"/>
      <c r="AS75" s="172"/>
    </row>
    <row r="76" spans="1:53" ht="36.75" customHeight="1" x14ac:dyDescent="0.2">
      <c r="A76" s="56" t="s">
        <v>8</v>
      </c>
      <c r="B76" s="56" t="s">
        <v>7</v>
      </c>
      <c r="C76" s="56" t="s">
        <v>6</v>
      </c>
      <c r="D76" s="56" t="s">
        <v>5</v>
      </c>
      <c r="E76" s="72" t="s">
        <v>3</v>
      </c>
      <c r="F76" s="57" t="s">
        <v>4</v>
      </c>
      <c r="G76" s="56" t="s">
        <v>0</v>
      </c>
      <c r="H76" s="57" t="s">
        <v>4</v>
      </c>
      <c r="I76" s="56" t="s">
        <v>0</v>
      </c>
      <c r="J76" s="57" t="s">
        <v>4</v>
      </c>
      <c r="K76" s="56" t="s">
        <v>0</v>
      </c>
      <c r="L76" s="57" t="s">
        <v>4</v>
      </c>
      <c r="M76" s="56" t="s">
        <v>0</v>
      </c>
      <c r="N76" s="57" t="s">
        <v>4</v>
      </c>
      <c r="O76" s="56" t="s">
        <v>0</v>
      </c>
      <c r="P76" s="57" t="s">
        <v>4</v>
      </c>
      <c r="Q76" s="56" t="s">
        <v>0</v>
      </c>
      <c r="R76" s="57" t="s">
        <v>4</v>
      </c>
      <c r="S76" s="56" t="s">
        <v>0</v>
      </c>
      <c r="T76" s="62" t="s">
        <v>4</v>
      </c>
      <c r="U76" s="63" t="s">
        <v>0</v>
      </c>
      <c r="V76" s="64" t="s">
        <v>4</v>
      </c>
      <c r="W76" s="65" t="s">
        <v>0</v>
      </c>
      <c r="X76" s="66" t="s">
        <v>4</v>
      </c>
      <c r="Y76" s="67" t="s">
        <v>0</v>
      </c>
      <c r="Z76" s="68" t="s">
        <v>4</v>
      </c>
      <c r="AA76" s="69" t="s">
        <v>0</v>
      </c>
      <c r="AB76" s="60" t="s">
        <v>4</v>
      </c>
      <c r="AC76" s="61" t="s">
        <v>0</v>
      </c>
      <c r="AD76" s="66" t="s">
        <v>4</v>
      </c>
      <c r="AE76" s="67" t="s">
        <v>0</v>
      </c>
      <c r="AF76" s="58" t="s">
        <v>4</v>
      </c>
      <c r="AG76" s="59" t="s">
        <v>0</v>
      </c>
      <c r="AH76" s="60" t="s">
        <v>4</v>
      </c>
      <c r="AI76" s="61" t="s">
        <v>0</v>
      </c>
      <c r="AJ76" s="57" t="s">
        <v>4</v>
      </c>
      <c r="AK76" s="56" t="s">
        <v>0</v>
      </c>
      <c r="AL76" s="57" t="s">
        <v>4</v>
      </c>
      <c r="AM76" s="56" t="s">
        <v>0</v>
      </c>
      <c r="AN76" s="57" t="s">
        <v>4</v>
      </c>
      <c r="AO76" s="56" t="s">
        <v>0</v>
      </c>
      <c r="AP76" s="57" t="s">
        <v>4</v>
      </c>
      <c r="AQ76" s="56" t="s">
        <v>0</v>
      </c>
      <c r="AR76" s="172"/>
      <c r="AS76" s="172"/>
    </row>
    <row r="77" spans="1:53" ht="63.75" x14ac:dyDescent="0.2">
      <c r="A77" s="113">
        <v>5</v>
      </c>
      <c r="B77" s="114" t="s">
        <v>13</v>
      </c>
      <c r="C77" s="115" t="s">
        <v>1</v>
      </c>
      <c r="D77" s="116">
        <v>24.85</v>
      </c>
      <c r="E77" s="163">
        <v>4</v>
      </c>
      <c r="F77" s="20">
        <v>320000</v>
      </c>
      <c r="G77" s="166">
        <f>ROUND(D77*E77*F77,0)</f>
        <v>31808000</v>
      </c>
      <c r="H77" s="20">
        <v>612439</v>
      </c>
      <c r="I77" s="166">
        <f>ROUND(D77*E77*H77,0)</f>
        <v>60876437</v>
      </c>
      <c r="J77" s="20">
        <v>320000</v>
      </c>
      <c r="K77" s="166">
        <f>ROUND(D77*E77*J77,0)</f>
        <v>31808000</v>
      </c>
      <c r="L77" s="20">
        <v>250000</v>
      </c>
      <c r="M77" s="20">
        <f>L77*E77*D77</f>
        <v>24850000</v>
      </c>
      <c r="N77" s="167">
        <v>280000</v>
      </c>
      <c r="O77" s="167">
        <f>D77*E77*N77</f>
        <v>27832000</v>
      </c>
      <c r="P77" s="20">
        <v>300000</v>
      </c>
      <c r="Q77" s="23">
        <f>D77*E77*P77</f>
        <v>29820000</v>
      </c>
      <c r="R77" s="36">
        <v>310000</v>
      </c>
      <c r="S77" s="20">
        <f>D77*E77*R77</f>
        <v>30814000</v>
      </c>
      <c r="T77" s="40">
        <v>315000</v>
      </c>
      <c r="U77" s="36">
        <f>D77*E77*T77</f>
        <v>31311000</v>
      </c>
      <c r="V77" s="132">
        <f>301327*1.0317*1.0373*1.0244*1.0194*1.0366*1.0677*1.0575</f>
        <v>394140.33243058686</v>
      </c>
      <c r="W77" s="132">
        <f>D77*E77*V77</f>
        <v>39177549.043600336</v>
      </c>
      <c r="X77" s="97">
        <f>287884*1.0373*1.0244*1.0194*1.0366*1.0677*1.0575</f>
        <v>364986.6070362734</v>
      </c>
      <c r="Y77" s="97">
        <f>D77*E77*X77</f>
        <v>36279668.73940558</v>
      </c>
      <c r="Z77" s="98">
        <f>231829*1.0244*1.0194*1.0366*1.0677*1.0575</f>
        <v>283349.71764107433</v>
      </c>
      <c r="AA77" s="98">
        <f>D77*E77*Z77</f>
        <v>28164961.933522791</v>
      </c>
      <c r="AB77" s="23">
        <f>239143*1.0194*1.0366*1.0677*1.0575</f>
        <v>285327.16784011159</v>
      </c>
      <c r="AC77" s="23">
        <f>D77*E77*AB77</f>
        <v>28361520.483307093</v>
      </c>
      <c r="AD77" s="97">
        <f>250078*1.0366*1.0677*1.0575</f>
        <v>292695.67873098276</v>
      </c>
      <c r="AE77" s="97">
        <f>D77*E77*AD77</f>
        <v>29093950.465859689</v>
      </c>
      <c r="AF77" s="30">
        <f>261096*1.0677*1.0575</f>
        <v>294801.60065400007</v>
      </c>
      <c r="AG77" s="30">
        <f>D77*E77*AF77</f>
        <v>29303279.105007607</v>
      </c>
      <c r="AH77" s="23">
        <f>300226*1.0575</f>
        <v>317488.99500000005</v>
      </c>
      <c r="AI77" s="23">
        <f>ROUND((D77*E77*AH77),0)</f>
        <v>31558406</v>
      </c>
      <c r="AJ77" s="17">
        <f>ROUND((AVERAGE(F77,H77,J77,L77,N77,P77,R77,T77,V77,X77,Z77,AB77,AD77,AF77,AH77)),0)</f>
        <v>329349</v>
      </c>
      <c r="AK77" s="17">
        <f>ROUND((D77*E77*AJ77),0)</f>
        <v>32737291</v>
      </c>
      <c r="AL77" s="17">
        <f>ROUND((MEDIAN(F77,H77,J77,L77,N77,P77,R77,T77,V77,X77,Z77,AB77,AD77,AF77,AH77)),0)</f>
        <v>310000</v>
      </c>
      <c r="AM77" s="17">
        <f>ROUND((D77*E77*AL77),0)</f>
        <v>30814000</v>
      </c>
      <c r="AN77" s="17">
        <f>ROUND((HARMEAN(F77,H77,J77,L77,N77,P77,R77,T77,V77,X77,Z77,AB77,AD77,AF77,AH77)),0)</f>
        <v>316074</v>
      </c>
      <c r="AO77" s="17">
        <f>ROUND((D77*E77*AN77),0)</f>
        <v>31417756</v>
      </c>
      <c r="AP77" s="17">
        <f>ROUND((GEOMEAN(F77,H77,J77,L77,N77,P77,R77,T77,V77,X77,Z77,AB77,AD77,AF77,AH77)),0)</f>
        <v>321737</v>
      </c>
      <c r="AQ77" s="17">
        <f>ROUND((D77*E77*AP77),0)</f>
        <v>31980658</v>
      </c>
      <c r="AR77" s="172"/>
      <c r="AS77" s="172"/>
    </row>
    <row r="78" spans="1:53" ht="76.5" x14ac:dyDescent="0.2">
      <c r="A78" s="113">
        <v>6</v>
      </c>
      <c r="B78" s="70" t="s">
        <v>14</v>
      </c>
      <c r="C78" s="117" t="s">
        <v>2</v>
      </c>
      <c r="D78" s="118">
        <v>2300</v>
      </c>
      <c r="E78" s="163">
        <v>4</v>
      </c>
      <c r="F78" s="20">
        <v>2100</v>
      </c>
      <c r="G78" s="166">
        <f>ROUND(D78*E78*F78,0)</f>
        <v>19320000</v>
      </c>
      <c r="H78" s="20">
        <v>6500</v>
      </c>
      <c r="I78" s="166">
        <f>ROUND(D78*E78*H78,0)</f>
        <v>59800000</v>
      </c>
      <c r="J78" s="20">
        <v>1800</v>
      </c>
      <c r="K78" s="166">
        <f>ROUND(D78*E78*J78,0)</f>
        <v>16560000</v>
      </c>
      <c r="L78" s="20">
        <v>1800</v>
      </c>
      <c r="M78" s="20">
        <f>L78*E78*D78</f>
        <v>16560000</v>
      </c>
      <c r="N78" s="167">
        <v>2100</v>
      </c>
      <c r="O78" s="167">
        <f>D78*E78*N78</f>
        <v>19320000</v>
      </c>
      <c r="P78" s="20">
        <v>2950</v>
      </c>
      <c r="Q78" s="23">
        <f>D78*E78*P78</f>
        <v>27140000</v>
      </c>
      <c r="R78" s="36">
        <v>2700</v>
      </c>
      <c r="S78" s="20">
        <f>D78*E78*R78</f>
        <v>24840000</v>
      </c>
      <c r="T78" s="40">
        <v>2800</v>
      </c>
      <c r="U78" s="36">
        <f>D78*E78*T78</f>
        <v>25760000</v>
      </c>
      <c r="V78" s="132">
        <f>930*1.0317*1.0373*1.0244*1.0194*1.0366*1.0677*1.0575</f>
        <v>1216.4542479115571</v>
      </c>
      <c r="W78" s="132">
        <f>D78*E78*V78</f>
        <v>11191379.080786325</v>
      </c>
      <c r="X78" s="97">
        <f>1750*1.0373*1.0244*1.0194*1.0366*1.0677*1.0575</f>
        <v>2218.6942043096469</v>
      </c>
      <c r="Y78" s="97">
        <f>D78*E78*X78</f>
        <v>20411986.679648753</v>
      </c>
      <c r="Z78" s="98">
        <f>1652*1.0244*1.0194*1.0366*1.0677*1.0575</f>
        <v>2019.133643949009</v>
      </c>
      <c r="AA78" s="98">
        <f>D78*E78*Z78</f>
        <v>18576029.524330884</v>
      </c>
      <c r="AB78" s="23">
        <f>1146*1.0194*1.0366*1.0677*1.0575</f>
        <v>1367.319697188577</v>
      </c>
      <c r="AC78" s="23">
        <f>D78*E78*AB78</f>
        <v>12579341.214134909</v>
      </c>
      <c r="AD78" s="97">
        <f>1516*1.0366*1.0677*1.0575</f>
        <v>1774.3529976894004</v>
      </c>
      <c r="AE78" s="97">
        <f>D78*E78*AD78</f>
        <v>16324047.578742484</v>
      </c>
      <c r="AF78" s="30">
        <f>1558*1.0677*1.0575</f>
        <v>1759.1265045000005</v>
      </c>
      <c r="AG78" s="30">
        <f>D78*E78*AF78</f>
        <v>16183963.841400005</v>
      </c>
      <c r="AH78" s="23">
        <f>1628*1.0575</f>
        <v>1721.6100000000001</v>
      </c>
      <c r="AI78" s="23">
        <f>ROUND((D78*E78*AH78),0)</f>
        <v>15838812</v>
      </c>
      <c r="AJ78" s="17">
        <f>ROUND((AVERAGE(F78,H78,J78,L78,N78,P78,R78,T78,V78,X78,Z78,AB78,AD78,AF78,AH78)),0)</f>
        <v>2322</v>
      </c>
      <c r="AK78" s="17">
        <f>ROUND((D78*E78*AJ78),0)</f>
        <v>21362400</v>
      </c>
      <c r="AL78" s="17">
        <f>ROUND((MEDIAN(F78,H78,J78,L78,N78,P78,R78,T78,V78,X78,Z78,AB78,AD78,AF78,AH78)),0)</f>
        <v>2019</v>
      </c>
      <c r="AM78" s="17">
        <f>ROUND((D78*E78*AL78),0)</f>
        <v>18574800</v>
      </c>
      <c r="AN78" s="17">
        <f>ROUND((HARMEAN(F78,H78,J78,L78,N78,P78,R78,T78,V78,X78,Z78,AB78,AD78,AF78,AH78)),0)</f>
        <v>2001</v>
      </c>
      <c r="AO78" s="17">
        <f>ROUND((D78*E78*AN78),0)</f>
        <v>18409200</v>
      </c>
      <c r="AP78" s="17">
        <f>ROUND((GEOMEAN(F78,H78,J78,L78,N78,P78,R78,T78,V78,X78,Z78,AB78,AD78,AF78,AH78)),0)</f>
        <v>2128</v>
      </c>
      <c r="AQ78" s="17">
        <f>ROUND((D78*E78*AP78),0)</f>
        <v>19577600</v>
      </c>
      <c r="AR78" s="172"/>
      <c r="AS78" s="172"/>
    </row>
    <row r="79" spans="1:53" ht="76.5" x14ac:dyDescent="0.2">
      <c r="A79" s="113">
        <v>7</v>
      </c>
      <c r="B79" s="70" t="s">
        <v>15</v>
      </c>
      <c r="C79" s="117" t="s">
        <v>2</v>
      </c>
      <c r="D79" s="119">
        <v>4000</v>
      </c>
      <c r="E79" s="163">
        <v>4</v>
      </c>
      <c r="F79" s="20">
        <v>2200</v>
      </c>
      <c r="G79" s="166">
        <f>ROUND(D79*E79*F79,0)</f>
        <v>35200000</v>
      </c>
      <c r="H79" s="20">
        <v>3860</v>
      </c>
      <c r="I79" s="166">
        <f>ROUND(D79*E79*H79,0)</f>
        <v>61760000</v>
      </c>
      <c r="J79" s="20">
        <v>1600</v>
      </c>
      <c r="K79" s="166">
        <f>ROUND(D79*E79*J79,0)</f>
        <v>25600000</v>
      </c>
      <c r="L79" s="20">
        <v>1800</v>
      </c>
      <c r="M79" s="20">
        <f>L79*E79*D79</f>
        <v>28800000</v>
      </c>
      <c r="N79" s="167">
        <v>2100</v>
      </c>
      <c r="O79" s="167">
        <f>D79*E79*N79</f>
        <v>33600000</v>
      </c>
      <c r="P79" s="20">
        <v>2950</v>
      </c>
      <c r="Q79" s="23">
        <f>D79*E79*P79</f>
        <v>47200000</v>
      </c>
      <c r="R79" s="36">
        <v>2700</v>
      </c>
      <c r="S79" s="20">
        <f>D79*E79*R79</f>
        <v>43200000</v>
      </c>
      <c r="T79" s="40">
        <v>2800</v>
      </c>
      <c r="U79" s="36">
        <f>D79*E79*T79</f>
        <v>44800000</v>
      </c>
      <c r="V79" s="132">
        <f>757*1.0317*1.0373*1.0244*1.0194*1.0366*1.0677*1.0575</f>
        <v>990.16759749360085</v>
      </c>
      <c r="W79" s="132">
        <f>D79*E79*V79</f>
        <v>15842681.559897613</v>
      </c>
      <c r="X79" s="97"/>
      <c r="Y79" s="97">
        <f>D79*E79*X79</f>
        <v>0</v>
      </c>
      <c r="Z79" s="98">
        <f>2133*1.0244*1.0194*1.0366*1.0677*1.0575</f>
        <v>2607.0290935491739</v>
      </c>
      <c r="AA79" s="98">
        <f>D79*E79*Z79</f>
        <v>41712465.496786781</v>
      </c>
      <c r="AB79" s="23">
        <f>1154*1.0194*1.0366*1.0677*1.0575</f>
        <v>1376.8646863487065</v>
      </c>
      <c r="AC79" s="23">
        <f>D79*E79*AB79</f>
        <v>22029834.981579304</v>
      </c>
      <c r="AD79" s="97">
        <f>1451*1.0366*1.0677*1.0575</f>
        <v>1698.2758572871501</v>
      </c>
      <c r="AE79" s="97">
        <f>D79*E79*AD79</f>
        <v>27172413.716594402</v>
      </c>
      <c r="AF79" s="30">
        <f>1581*1.0677*1.0575</f>
        <v>1785.0956377500004</v>
      </c>
      <c r="AG79" s="30">
        <f>D79*E79*AF79</f>
        <v>28561530.204000007</v>
      </c>
      <c r="AH79" s="23">
        <f>1671*1.0575</f>
        <v>1767.0825000000002</v>
      </c>
      <c r="AI79" s="23">
        <f>ROUND((D79*E79*AH79),0)</f>
        <v>28273320</v>
      </c>
      <c r="AJ79" s="17">
        <f>ROUND((AVERAGE(F79,H79,J79,L79,N79,P79,R79,T79,V79,X79,Z79,AB79,AD79,AF79,AH79)),0)</f>
        <v>2160</v>
      </c>
      <c r="AK79" s="17">
        <f>ROUND((D79*E79*AJ79),0)</f>
        <v>34560000</v>
      </c>
      <c r="AL79" s="17">
        <f>ROUND((MEDIAN(F79,H79,J79,L79,N79,P79,R79,T79,V79,X79,Z79,AB79,AD79,AF79,AH79)),0)</f>
        <v>1950</v>
      </c>
      <c r="AM79" s="17">
        <f>ROUND((D79*E79*AL79),0)</f>
        <v>31200000</v>
      </c>
      <c r="AN79" s="17">
        <f>ROUND((HARMEAN(F79,H79,J79,L79,N79,P79,R79,T79,V79,X79,Z79,AB79,AD79,AF79,AH79)),0)</f>
        <v>1925</v>
      </c>
      <c r="AO79" s="17">
        <f>ROUND((D79*E79*AN79),0)</f>
        <v>30800000</v>
      </c>
      <c r="AP79" s="17">
        <f>ROUND((GEOMEAN(F79,H79,J79,L79,N79,P79,R79,T79,V79,X79,Z79,AB79,AD79,AF79,AH79)),0)</f>
        <v>2041</v>
      </c>
      <c r="AQ79" s="17">
        <f>ROUND((D79*E79*AP79),0)</f>
        <v>32656000</v>
      </c>
      <c r="AR79" s="172"/>
      <c r="AS79" s="172"/>
    </row>
    <row r="80" spans="1:53" ht="38.25" x14ac:dyDescent="0.2">
      <c r="A80" s="113">
        <v>8</v>
      </c>
      <c r="B80" s="120" t="s">
        <v>46</v>
      </c>
      <c r="C80" s="117" t="s">
        <v>1</v>
      </c>
      <c r="D80" s="118">
        <v>18</v>
      </c>
      <c r="E80" s="163">
        <v>4</v>
      </c>
      <c r="F80" s="20">
        <v>500000</v>
      </c>
      <c r="G80" s="166">
        <f>ROUND(D80*E80*F80,0)</f>
        <v>36000000</v>
      </c>
      <c r="H80" s="20">
        <v>1200000</v>
      </c>
      <c r="I80" s="166">
        <f>ROUND(D80*E80*H80,0)</f>
        <v>86400000</v>
      </c>
      <c r="J80" s="20">
        <v>150000</v>
      </c>
      <c r="K80" s="166">
        <f>ROUND(D80*E80*J80,0)</f>
        <v>10800000</v>
      </c>
      <c r="L80" s="20">
        <v>180000</v>
      </c>
      <c r="M80" s="20">
        <f>L80*E80*D80</f>
        <v>12960000</v>
      </c>
      <c r="N80" s="167">
        <v>200000</v>
      </c>
      <c r="O80" s="167">
        <f>D80*E80*N80</f>
        <v>14400000</v>
      </c>
      <c r="P80" s="20">
        <v>250000</v>
      </c>
      <c r="Q80" s="23">
        <f>D80*E80*P80</f>
        <v>18000000</v>
      </c>
      <c r="R80" s="36">
        <v>170000</v>
      </c>
      <c r="S80" s="20">
        <f>D80*E80*R80</f>
        <v>12240000</v>
      </c>
      <c r="T80" s="40">
        <v>180000</v>
      </c>
      <c r="U80" s="36">
        <f>D80*E80*T80</f>
        <v>12960000</v>
      </c>
      <c r="V80" s="132">
        <f>122575*1.0317*1.0373*1.0244*1.0194*1.0366*1.0677*1.0575</f>
        <v>160329.97789006354</v>
      </c>
      <c r="W80" s="132">
        <f>D80*E80*V80</f>
        <v>11543758.408084575</v>
      </c>
      <c r="X80" s="97">
        <f>114902*1.0373*1.0244*1.0194*1.0366*1.0677*1.0575</f>
        <v>145675.65797919262</v>
      </c>
      <c r="Y80" s="97">
        <f>D80*E80*X80</f>
        <v>10488647.374501869</v>
      </c>
      <c r="Z80" s="98">
        <f>189871*1.0244*1.0194*1.0366*1.0677*1.0575</f>
        <v>232067.14534518294</v>
      </c>
      <c r="AA80" s="98">
        <f>D80*E80*Z80</f>
        <v>16708834.464853171</v>
      </c>
      <c r="AB80" s="23">
        <f>139286*1.0194*1.0366*1.0677*1.0575</f>
        <v>166185.42001972787</v>
      </c>
      <c r="AC80" s="23">
        <f>D80*E80*AB80</f>
        <v>11965350.241420407</v>
      </c>
      <c r="AD80" s="97">
        <f>127435*1.0366*1.0677*1.0575</f>
        <v>149152.15980247274</v>
      </c>
      <c r="AE80" s="97">
        <f>D80*E80*AD80</f>
        <v>10738955.505778037</v>
      </c>
      <c r="AF80" s="30">
        <f>148855*1.0677*1.0575</f>
        <v>168071.10130125002</v>
      </c>
      <c r="AG80" s="30">
        <f>D80*E80*AF80</f>
        <v>12101119.293690002</v>
      </c>
      <c r="AH80" s="23">
        <f>169622*1.0575</f>
        <v>179375.26500000001</v>
      </c>
      <c r="AI80" s="23">
        <f>ROUND((D80*E80*AH80),0)</f>
        <v>12915019</v>
      </c>
      <c r="AJ80" s="17">
        <f>ROUND((AVERAGE(F80,H80,J80,L80,N80,P80,R80,T80,V80,X80,Z80,AB80,AD80,AF80,AH80)),0)</f>
        <v>268724</v>
      </c>
      <c r="AK80" s="17">
        <f>ROUND((D80*E80*AJ80),0)</f>
        <v>19348128</v>
      </c>
      <c r="AL80" s="17">
        <f>ROUND((MEDIAN(F80,H80,J80,L80,N80,P80,R80,T80,V80,X80,Z80,AB80,AD80,AF80,AH80)),0)</f>
        <v>179375</v>
      </c>
      <c r="AM80" s="17">
        <f>ROUND((D80*E80*AL80),0)</f>
        <v>12915000</v>
      </c>
      <c r="AN80" s="17">
        <f>ROUND((HARMEAN(F80,H80,J80,L80,N80,P80,R80,T80,V80,X80,Z80,AB80,AD80,AF80,AH80)),0)</f>
        <v>194424</v>
      </c>
      <c r="AO80" s="17">
        <f>ROUND((D80*E80*AN80),0)</f>
        <v>13998528</v>
      </c>
      <c r="AP80" s="17">
        <f>ROUND((GEOMEAN(F80,H80,J80,L80,N80,P80,R80,T80,V80,X80,Z80,AB80,AD80,AF80,AH80)),0)</f>
        <v>215500</v>
      </c>
      <c r="AQ80" s="17">
        <f>ROUND((D80*E80*AP80),0)</f>
        <v>15516000</v>
      </c>
      <c r="AR80" s="172"/>
      <c r="AS80" s="172"/>
    </row>
    <row r="81" spans="1:53" x14ac:dyDescent="0.2">
      <c r="A81" s="179"/>
      <c r="B81" s="70"/>
      <c r="C81" s="163"/>
      <c r="D81" s="71"/>
      <c r="E81" s="184"/>
      <c r="F81" s="184"/>
      <c r="G81" s="184"/>
      <c r="H81" s="184"/>
      <c r="I81" s="184"/>
      <c r="J81" s="184"/>
      <c r="K81" s="184"/>
      <c r="L81" s="20"/>
      <c r="M81" s="20"/>
      <c r="N81" s="167"/>
      <c r="O81" s="167"/>
      <c r="P81" s="23"/>
      <c r="Q81" s="23"/>
      <c r="R81" s="20"/>
      <c r="S81" s="20"/>
      <c r="T81" s="36"/>
      <c r="U81" s="36"/>
      <c r="V81" s="132"/>
      <c r="W81" s="132"/>
      <c r="X81" s="97"/>
      <c r="Y81" s="97"/>
      <c r="Z81" s="98"/>
      <c r="AA81" s="98"/>
      <c r="AB81" s="23"/>
      <c r="AC81" s="23"/>
      <c r="AD81" s="23"/>
      <c r="AE81" s="23"/>
      <c r="AF81" s="23"/>
      <c r="AG81" s="23"/>
      <c r="AH81" s="44"/>
      <c r="AI81" s="44"/>
      <c r="AJ81" s="44"/>
      <c r="AK81" s="44"/>
      <c r="AL81" s="17"/>
      <c r="AM81" s="44"/>
      <c r="AN81" s="44"/>
      <c r="AO81" s="44"/>
      <c r="AP81" s="44"/>
      <c r="AQ81" s="44"/>
      <c r="AR81" s="172"/>
      <c r="AS81" s="172"/>
    </row>
    <row r="82" spans="1:53" ht="15.75" x14ac:dyDescent="0.2">
      <c r="A82" s="179"/>
      <c r="B82" s="193" t="s">
        <v>150</v>
      </c>
      <c r="C82" s="45"/>
      <c r="D82" s="45"/>
      <c r="E82" s="45"/>
      <c r="F82" s="47"/>
      <c r="G82" s="46">
        <f>SUM(G77:G80)</f>
        <v>122328000</v>
      </c>
      <c r="H82" s="47"/>
      <c r="I82" s="46">
        <f>SUM(I77:I80)</f>
        <v>268836437</v>
      </c>
      <c r="J82" s="47"/>
      <c r="K82" s="46">
        <f>SUM(K77:K80)</f>
        <v>84768000</v>
      </c>
      <c r="L82" s="47"/>
      <c r="M82" s="46">
        <f>SUM(M77:M80)</f>
        <v>83170000</v>
      </c>
      <c r="N82" s="47"/>
      <c r="O82" s="46">
        <f>SUM(O77:O80)</f>
        <v>95152000</v>
      </c>
      <c r="P82" s="47"/>
      <c r="Q82" s="46">
        <f>SUM(Q77:Q80)</f>
        <v>122160000</v>
      </c>
      <c r="R82" s="47"/>
      <c r="S82" s="46">
        <f>SUM(S77:S80)</f>
        <v>111094000</v>
      </c>
      <c r="T82" s="47"/>
      <c r="U82" s="46">
        <f>SUM(U77:U80)</f>
        <v>114831000</v>
      </c>
      <c r="V82" s="47"/>
      <c r="W82" s="46">
        <f>SUM(W77:W80)</f>
        <v>77755368.092368841</v>
      </c>
      <c r="X82" s="47"/>
      <c r="Y82" s="46">
        <f>SUM(Y77:Y80)</f>
        <v>67180302.793556198</v>
      </c>
      <c r="Z82" s="47"/>
      <c r="AA82" s="46">
        <f>SUM(AA77:AA80)</f>
        <v>105162291.41949362</v>
      </c>
      <c r="AB82" s="47"/>
      <c r="AC82" s="46">
        <f>SUM(AC77:AC80)</f>
        <v>74936046.920441717</v>
      </c>
      <c r="AD82" s="47"/>
      <c r="AE82" s="46">
        <f>SUM(AE77:AE80)</f>
        <v>83329367.266974598</v>
      </c>
      <c r="AF82" s="47"/>
      <c r="AG82" s="46">
        <f>SUM(AG77:AG80)</f>
        <v>86149892.444097623</v>
      </c>
      <c r="AH82" s="47"/>
      <c r="AI82" s="46">
        <f>SUM(AI77:AI80)</f>
        <v>88585557</v>
      </c>
      <c r="AJ82" s="48"/>
      <c r="AK82" s="194">
        <f>SUM(AK77:AK80)</f>
        <v>108007819</v>
      </c>
      <c r="AL82" s="48"/>
      <c r="AM82" s="194">
        <f>SUM(AM77:AM80)</f>
        <v>93503800</v>
      </c>
      <c r="AN82" s="48"/>
      <c r="AO82" s="194">
        <f>SUM(AO77:AO80)</f>
        <v>94625484</v>
      </c>
      <c r="AP82" s="48"/>
      <c r="AQ82" s="194">
        <f>SUM(AQ77:AQ80)</f>
        <v>99730258</v>
      </c>
      <c r="AR82" s="172"/>
      <c r="AS82" s="172"/>
    </row>
    <row r="83" spans="1:53" ht="15.75" x14ac:dyDescent="0.2">
      <c r="A83" s="179"/>
      <c r="B83" s="193" t="s">
        <v>151</v>
      </c>
      <c r="C83" s="45"/>
      <c r="D83" s="45"/>
      <c r="E83" s="185"/>
      <c r="F83" s="181">
        <v>0.19</v>
      </c>
      <c r="G83" s="46">
        <f>ROUND(G82*F83,0)</f>
        <v>23242320</v>
      </c>
      <c r="H83" s="181">
        <v>0.19</v>
      </c>
      <c r="I83" s="46">
        <f>ROUND(I82*H83,0)</f>
        <v>51078923</v>
      </c>
      <c r="J83" s="181">
        <v>0.19</v>
      </c>
      <c r="K83" s="46">
        <f>ROUND(K82*J83,0)</f>
        <v>16105920</v>
      </c>
      <c r="L83" s="181">
        <v>0.19</v>
      </c>
      <c r="M83" s="46">
        <f>ROUND(M82*L83,0)</f>
        <v>15802300</v>
      </c>
      <c r="N83" s="181">
        <v>0.19</v>
      </c>
      <c r="O83" s="46">
        <f>ROUND(O82*N83,0)</f>
        <v>18078880</v>
      </c>
      <c r="P83" s="181">
        <v>0.19</v>
      </c>
      <c r="Q83" s="46">
        <f>ROUND(Q82*P83,0)</f>
        <v>23210400</v>
      </c>
      <c r="R83" s="181">
        <v>0.19</v>
      </c>
      <c r="S83" s="46">
        <f>ROUND(S82*R83,0)</f>
        <v>21107860</v>
      </c>
      <c r="T83" s="181">
        <v>0.19</v>
      </c>
      <c r="U83" s="46">
        <f>ROUND(U82*T83,0)</f>
        <v>21817890</v>
      </c>
      <c r="V83" s="181">
        <v>0.19</v>
      </c>
      <c r="W83" s="46">
        <f>ROUND(W82*V83,0)</f>
        <v>14773520</v>
      </c>
      <c r="X83" s="181">
        <v>0.19</v>
      </c>
      <c r="Y83" s="46">
        <f>ROUND(Y82*X83,0)</f>
        <v>12764258</v>
      </c>
      <c r="Z83" s="181">
        <v>0.19</v>
      </c>
      <c r="AA83" s="46">
        <f>ROUND(AA82*Z83,0)</f>
        <v>19980835</v>
      </c>
      <c r="AB83" s="181">
        <v>0.19</v>
      </c>
      <c r="AC83" s="46">
        <f>ROUND(AC82*AB83,0)</f>
        <v>14237849</v>
      </c>
      <c r="AD83" s="181">
        <v>0.19</v>
      </c>
      <c r="AE83" s="46">
        <f>ROUND(AE82*AD83,0)</f>
        <v>15832580</v>
      </c>
      <c r="AF83" s="181">
        <v>0.19</v>
      </c>
      <c r="AG83" s="46">
        <f>ROUND(AG82*AF83,0)</f>
        <v>16368480</v>
      </c>
      <c r="AH83" s="181">
        <v>0.19</v>
      </c>
      <c r="AI83" s="46">
        <f>ROUND(AI82*AH83,0)</f>
        <v>16831256</v>
      </c>
      <c r="AJ83" s="195">
        <v>0.19</v>
      </c>
      <c r="AK83" s="194">
        <f>ROUND(AK82*AJ83,0)</f>
        <v>20521486</v>
      </c>
      <c r="AL83" s="195">
        <v>0.19</v>
      </c>
      <c r="AM83" s="194">
        <f>ROUND(AM82*AL83,0)</f>
        <v>17765722</v>
      </c>
      <c r="AN83" s="195">
        <v>0.19</v>
      </c>
      <c r="AO83" s="194">
        <f>ROUND(AO82*AN83,0)</f>
        <v>17978842</v>
      </c>
      <c r="AP83" s="195">
        <v>0.19</v>
      </c>
      <c r="AQ83" s="194">
        <f>ROUND(AQ82*AP83,0)</f>
        <v>18948749</v>
      </c>
      <c r="AR83" s="172"/>
      <c r="AS83" s="172"/>
    </row>
    <row r="84" spans="1:53" ht="15.75" x14ac:dyDescent="0.2">
      <c r="A84" s="179"/>
      <c r="B84" s="165" t="s">
        <v>135</v>
      </c>
      <c r="C84" s="45"/>
      <c r="D84" s="45"/>
      <c r="E84" s="45"/>
      <c r="F84" s="47"/>
      <c r="G84" s="46">
        <f>SUM(G82:G83)</f>
        <v>145570320</v>
      </c>
      <c r="H84" s="47"/>
      <c r="I84" s="46">
        <f>SUM(I82:I83)</f>
        <v>319915360</v>
      </c>
      <c r="J84" s="47"/>
      <c r="K84" s="46">
        <f>SUM(K82:K83)</f>
        <v>100873920</v>
      </c>
      <c r="L84" s="47"/>
      <c r="M84" s="46">
        <f>SUM(M82:M83)</f>
        <v>98972300</v>
      </c>
      <c r="N84" s="47"/>
      <c r="O84" s="46">
        <f>SUM(O82:O83)</f>
        <v>113230880</v>
      </c>
      <c r="P84" s="47"/>
      <c r="Q84" s="46">
        <f>SUM(Q82:Q83)</f>
        <v>145370400</v>
      </c>
      <c r="R84" s="47"/>
      <c r="S84" s="46">
        <f>SUM(S82:S83)</f>
        <v>132201860</v>
      </c>
      <c r="T84" s="47"/>
      <c r="U84" s="46">
        <f>SUM(U82:U83)</f>
        <v>136648890</v>
      </c>
      <c r="V84" s="47"/>
      <c r="W84" s="46">
        <f>SUM(W82:W83)</f>
        <v>92528888.092368841</v>
      </c>
      <c r="X84" s="47"/>
      <c r="Y84" s="46">
        <f>SUM(Y82:Y83)</f>
        <v>79944560.793556198</v>
      </c>
      <c r="Z84" s="47"/>
      <c r="AA84" s="46">
        <f>SUM(AA82:AA83)</f>
        <v>125143126.41949362</v>
      </c>
      <c r="AB84" s="47"/>
      <c r="AC84" s="46">
        <f>SUM(AC82:AC83)</f>
        <v>89173895.920441717</v>
      </c>
      <c r="AD84" s="47"/>
      <c r="AE84" s="46">
        <f>SUM(AE82:AE83)</f>
        <v>99161947.266974598</v>
      </c>
      <c r="AF84" s="47"/>
      <c r="AG84" s="46">
        <f>SUM(AG82:AG83)</f>
        <v>102518372.44409762</v>
      </c>
      <c r="AH84" s="47"/>
      <c r="AI84" s="46">
        <f>SUM(AI82:AI83)</f>
        <v>105416813</v>
      </c>
      <c r="AJ84" s="48"/>
      <c r="AK84" s="194">
        <f>SUM(AK82:AK83)</f>
        <v>128529305</v>
      </c>
      <c r="AL84" s="48"/>
      <c r="AM84" s="194">
        <f>SUM(AM82:AM83)</f>
        <v>111269522</v>
      </c>
      <c r="AN84" s="48"/>
      <c r="AO84" s="194">
        <f>SUM(AO82:AO83)</f>
        <v>112604326</v>
      </c>
      <c r="AP84" s="48"/>
      <c r="AQ84" s="194">
        <f>SUM(AQ82:AQ83)</f>
        <v>118679007</v>
      </c>
      <c r="AR84" s="172"/>
      <c r="AS84" s="172"/>
    </row>
    <row r="85" spans="1:53" x14ac:dyDescent="0.2">
      <c r="A85" s="177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172"/>
      <c r="S85" s="172"/>
      <c r="T85" s="172"/>
      <c r="U85" s="172"/>
      <c r="V85" s="172"/>
      <c r="W85" s="172"/>
      <c r="X85" s="172"/>
      <c r="Y85" s="172"/>
      <c r="Z85" s="172"/>
      <c r="AA85" s="172"/>
      <c r="AB85" s="172"/>
      <c r="AC85" s="172"/>
      <c r="AD85" s="172"/>
      <c r="AE85" s="172"/>
      <c r="AF85" s="172"/>
      <c r="AG85" s="172"/>
      <c r="AH85" s="172"/>
      <c r="AI85" s="172"/>
      <c r="AJ85" s="172"/>
      <c r="AK85" s="172"/>
      <c r="AL85" s="172"/>
      <c r="AM85" s="172"/>
      <c r="AN85" s="172"/>
      <c r="AO85" s="172"/>
      <c r="AP85" s="172"/>
      <c r="AQ85" s="172"/>
      <c r="AR85" s="172"/>
      <c r="AS85" s="172"/>
    </row>
    <row r="86" spans="1:53" x14ac:dyDescent="0.2">
      <c r="A86" s="177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  <c r="M86" s="172"/>
      <c r="N86" s="172"/>
      <c r="O86" s="172"/>
      <c r="P86" s="172"/>
      <c r="Q86" s="172"/>
      <c r="R86" s="172"/>
      <c r="S86" s="172"/>
      <c r="T86" s="172"/>
      <c r="U86" s="172"/>
      <c r="V86" s="172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/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</row>
    <row r="87" spans="1:53" ht="67.5" customHeight="1" x14ac:dyDescent="0.2">
      <c r="B87" s="190"/>
      <c r="C87" s="190"/>
      <c r="D87" s="190"/>
      <c r="E87" s="190"/>
      <c r="F87" s="315" t="str">
        <f>UPPER("OBJETO:Mantenimiento de las zonas seguridad y canales del aeropuerto Mandinga de Condoto - Chocó")</f>
        <v>OBJETO:MANTENIMIENTO DE LAS ZONAS SEGURIDAD Y CANALES DEL AEROPUERTO MANDINGA DE CONDOTO - CHOCÓ</v>
      </c>
      <c r="G87" s="315"/>
      <c r="H87" s="315"/>
      <c r="I87" s="315"/>
      <c r="J87" s="315"/>
      <c r="K87" s="315"/>
      <c r="L87" s="315"/>
      <c r="M87" s="315"/>
      <c r="N87" s="315"/>
      <c r="O87" s="315"/>
      <c r="P87" s="315"/>
      <c r="Q87" s="315"/>
      <c r="R87" s="315"/>
      <c r="S87" s="315"/>
      <c r="T87" s="315"/>
      <c r="U87" s="315"/>
      <c r="V87" s="190"/>
      <c r="W87" s="190"/>
      <c r="X87" s="190"/>
      <c r="Y87" s="190"/>
      <c r="Z87" s="190"/>
      <c r="AA87" s="190"/>
      <c r="AB87" s="190"/>
      <c r="AC87" s="190"/>
      <c r="AD87" s="190"/>
      <c r="AE87" s="190"/>
      <c r="AF87" s="190"/>
      <c r="AG87" s="190"/>
      <c r="AH87" s="190"/>
      <c r="AI87" s="190"/>
      <c r="AJ87" s="190"/>
      <c r="AK87" s="190"/>
      <c r="AL87" s="315" t="str">
        <f>UPPER("OBJETO:Mantenimiento de las zonas seguridad y canales del aeropuerto Mandinga de Condoto - Chocó")</f>
        <v>OBJETO:MANTENIMIENTO DE LAS ZONAS SEGURIDAD Y CANALES DEL AEROPUERTO MANDINGA DE CONDOTO - CHOCÓ</v>
      </c>
      <c r="AM87" s="315"/>
      <c r="AN87" s="315"/>
      <c r="AO87" s="315"/>
      <c r="AP87" s="315"/>
      <c r="AQ87" s="315"/>
      <c r="AR87" s="315"/>
      <c r="AS87" s="315"/>
      <c r="AT87" s="190"/>
      <c r="AU87" s="190"/>
      <c r="AV87" s="190"/>
      <c r="AW87" s="190"/>
      <c r="AX87" s="190"/>
      <c r="AY87" s="190"/>
      <c r="AZ87" s="190"/>
      <c r="BA87" s="190"/>
    </row>
    <row r="88" spans="1:53" ht="21" customHeight="1" x14ac:dyDescent="0.2">
      <c r="B88" s="191" t="s">
        <v>9</v>
      </c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191"/>
      <c r="O88" s="191"/>
      <c r="P88" s="191"/>
      <c r="Q88" s="191"/>
      <c r="R88" s="191"/>
      <c r="S88" s="191"/>
      <c r="T88" s="191"/>
      <c r="U88" s="191"/>
      <c r="V88" s="191"/>
      <c r="W88" s="191"/>
      <c r="X88" s="191"/>
      <c r="Y88" s="191"/>
      <c r="Z88" s="191"/>
      <c r="AA88" s="191"/>
      <c r="AB88" s="191"/>
      <c r="AC88" s="191"/>
      <c r="AD88" s="191"/>
      <c r="AE88" s="191"/>
      <c r="AF88" s="191"/>
      <c r="AG88" s="191"/>
      <c r="AH88" s="191"/>
      <c r="AI88" s="191"/>
      <c r="AJ88" s="191"/>
      <c r="AK88" s="191"/>
      <c r="AL88" s="191"/>
      <c r="AM88" s="191"/>
      <c r="AN88" s="172"/>
      <c r="AO88" s="172"/>
      <c r="AP88" s="172"/>
      <c r="AQ88" s="172"/>
      <c r="AR88" s="172"/>
      <c r="AS88" s="172"/>
    </row>
    <row r="89" spans="1:53" ht="142.5" customHeight="1" x14ac:dyDescent="0.2">
      <c r="A89" s="177"/>
      <c r="B89" s="178" t="s">
        <v>136</v>
      </c>
      <c r="C89" s="172"/>
      <c r="D89" s="172"/>
      <c r="E89" s="172"/>
      <c r="F89" s="303" t="s">
        <v>133</v>
      </c>
      <c r="G89" s="304"/>
      <c r="H89" s="303" t="s">
        <v>138</v>
      </c>
      <c r="I89" s="304"/>
      <c r="J89" s="303" t="s">
        <v>130</v>
      </c>
      <c r="K89" s="304"/>
      <c r="L89" s="303" t="s">
        <v>40</v>
      </c>
      <c r="M89" s="304"/>
      <c r="N89" s="303" t="s">
        <v>41</v>
      </c>
      <c r="O89" s="304"/>
      <c r="P89" s="305" t="s">
        <v>42</v>
      </c>
      <c r="Q89" s="306"/>
      <c r="R89" s="303" t="s">
        <v>43</v>
      </c>
      <c r="S89" s="304"/>
      <c r="T89" s="303" t="s">
        <v>22</v>
      </c>
      <c r="U89" s="304"/>
      <c r="V89" s="307" t="s">
        <v>73</v>
      </c>
      <c r="W89" s="308"/>
      <c r="X89" s="300" t="s">
        <v>74</v>
      </c>
      <c r="Y89" s="301"/>
      <c r="Z89" s="309" t="s">
        <v>75</v>
      </c>
      <c r="AA89" s="310"/>
      <c r="AB89" s="294" t="s">
        <v>76</v>
      </c>
      <c r="AC89" s="295"/>
      <c r="AD89" s="298"/>
      <c r="AE89" s="299"/>
      <c r="AF89" s="300" t="s">
        <v>77</v>
      </c>
      <c r="AG89" s="301"/>
      <c r="AH89" s="298" t="s">
        <v>78</v>
      </c>
      <c r="AI89" s="299"/>
      <c r="AJ89" s="294" t="s">
        <v>79</v>
      </c>
      <c r="AK89" s="295"/>
      <c r="AL89" s="296" t="s">
        <v>12</v>
      </c>
      <c r="AM89" s="297"/>
      <c r="AN89" s="296" t="s">
        <v>16</v>
      </c>
      <c r="AO89" s="297"/>
      <c r="AP89" s="296" t="s">
        <v>17</v>
      </c>
      <c r="AQ89" s="297"/>
      <c r="AR89" s="296" t="s">
        <v>18</v>
      </c>
      <c r="AS89" s="297"/>
    </row>
    <row r="90" spans="1:53" ht="24" x14ac:dyDescent="0.2">
      <c r="A90" s="56" t="s">
        <v>8</v>
      </c>
      <c r="B90" s="56" t="s">
        <v>7</v>
      </c>
      <c r="C90" s="56" t="s">
        <v>6</v>
      </c>
      <c r="D90" s="56" t="s">
        <v>5</v>
      </c>
      <c r="E90" s="56" t="s">
        <v>3</v>
      </c>
      <c r="F90" s="57" t="s">
        <v>4</v>
      </c>
      <c r="G90" s="56" t="s">
        <v>0</v>
      </c>
      <c r="H90" s="57" t="s">
        <v>4</v>
      </c>
      <c r="I90" s="56" t="s">
        <v>0</v>
      </c>
      <c r="J90" s="57" t="s">
        <v>4</v>
      </c>
      <c r="K90" s="56" t="s">
        <v>0</v>
      </c>
      <c r="L90" s="57" t="s">
        <v>4</v>
      </c>
      <c r="M90" s="56" t="s">
        <v>0</v>
      </c>
      <c r="N90" s="57" t="s">
        <v>4</v>
      </c>
      <c r="O90" s="56" t="s">
        <v>0</v>
      </c>
      <c r="P90" s="57" t="s">
        <v>4</v>
      </c>
      <c r="Q90" s="56" t="s">
        <v>0</v>
      </c>
      <c r="R90" s="57" t="s">
        <v>4</v>
      </c>
      <c r="S90" s="56" t="s">
        <v>0</v>
      </c>
      <c r="T90" s="62" t="s">
        <v>4</v>
      </c>
      <c r="U90" s="63" t="s">
        <v>0</v>
      </c>
      <c r="V90" s="64" t="s">
        <v>4</v>
      </c>
      <c r="W90" s="65" t="s">
        <v>0</v>
      </c>
      <c r="X90" s="66" t="s">
        <v>4</v>
      </c>
      <c r="Y90" s="67" t="s">
        <v>0</v>
      </c>
      <c r="Z90" s="68" t="s">
        <v>4</v>
      </c>
      <c r="AA90" s="69" t="s">
        <v>0</v>
      </c>
      <c r="AB90" s="60" t="s">
        <v>4</v>
      </c>
      <c r="AC90" s="61" t="s">
        <v>0</v>
      </c>
      <c r="AD90" s="58" t="s">
        <v>4</v>
      </c>
      <c r="AE90" s="59" t="s">
        <v>0</v>
      </c>
      <c r="AF90" s="66" t="s">
        <v>4</v>
      </c>
      <c r="AG90" s="67" t="s">
        <v>0</v>
      </c>
      <c r="AH90" s="58" t="s">
        <v>4</v>
      </c>
      <c r="AI90" s="59" t="s">
        <v>0</v>
      </c>
      <c r="AJ90" s="60" t="s">
        <v>4</v>
      </c>
      <c r="AK90" s="61" t="s">
        <v>0</v>
      </c>
      <c r="AL90" s="57" t="s">
        <v>4</v>
      </c>
      <c r="AM90" s="56" t="s">
        <v>0</v>
      </c>
      <c r="AN90" s="57" t="s">
        <v>4</v>
      </c>
      <c r="AO90" s="56" t="s">
        <v>0</v>
      </c>
      <c r="AP90" s="57" t="s">
        <v>4</v>
      </c>
      <c r="AQ90" s="56" t="s">
        <v>0</v>
      </c>
      <c r="AR90" s="57" t="s">
        <v>4</v>
      </c>
      <c r="AS90" s="56" t="s">
        <v>0</v>
      </c>
    </row>
    <row r="91" spans="1:53" ht="67.5" customHeight="1" x14ac:dyDescent="0.2">
      <c r="A91" s="124">
        <v>1</v>
      </c>
      <c r="B91" s="197" t="s">
        <v>13</v>
      </c>
      <c r="C91" s="163" t="s">
        <v>1</v>
      </c>
      <c r="D91" s="112">
        <v>32</v>
      </c>
      <c r="E91" s="163">
        <v>4</v>
      </c>
      <c r="F91" s="20">
        <v>400000</v>
      </c>
      <c r="G91" s="166">
        <f t="shared" ref="G91:G97" si="23">ROUND(D91*E91*F91,0)</f>
        <v>51200000</v>
      </c>
      <c r="H91" s="20">
        <v>758989</v>
      </c>
      <c r="I91" s="166">
        <f t="shared" ref="I91:I97" si="24">ROUND(D91*E91*H91,0)</f>
        <v>97150592</v>
      </c>
      <c r="J91" s="20">
        <v>330000</v>
      </c>
      <c r="K91" s="166">
        <f t="shared" ref="K91:K97" si="25">ROUND(D91*E91*J91,0)</f>
        <v>42240000</v>
      </c>
      <c r="L91" s="20">
        <v>325000</v>
      </c>
      <c r="M91" s="20">
        <f t="shared" ref="M91:M97" si="26">L91*E91*D91</f>
        <v>41600000</v>
      </c>
      <c r="N91" s="167">
        <v>330000</v>
      </c>
      <c r="O91" s="167">
        <f t="shared" ref="O91:O97" si="27">D91*E91*N91</f>
        <v>42240000</v>
      </c>
      <c r="P91" s="20">
        <v>335000</v>
      </c>
      <c r="Q91" s="23">
        <f t="shared" ref="Q91:Q97" si="28">D91*E91*P91</f>
        <v>42880000</v>
      </c>
      <c r="R91" s="36">
        <v>325000</v>
      </c>
      <c r="S91" s="20">
        <f t="shared" ref="S91:S97" si="29">D91*E91*R91</f>
        <v>41600000</v>
      </c>
      <c r="T91" s="40">
        <v>335000</v>
      </c>
      <c r="U91" s="36">
        <f t="shared" ref="U91:U97" si="30">D91*E91*T91</f>
        <v>42880000</v>
      </c>
      <c r="V91" s="132">
        <f>323438*1.0317*1.0373*1.0244*1.0194*1.0366*1.0677*1.0575</f>
        <v>423061.8591785141</v>
      </c>
      <c r="W91" s="132">
        <f t="shared" ref="W91:W97" si="31">D91*E91*V91</f>
        <v>54151917.974849805</v>
      </c>
      <c r="X91" s="97">
        <f>250000*1.0373*1.0244*1.0194*1.0366*1.0677*1.0575</f>
        <v>316956.31490137824</v>
      </c>
      <c r="Y91" s="97">
        <f t="shared" ref="Y91:Y97" si="32">D91*E91*X91</f>
        <v>40570408.307376415</v>
      </c>
      <c r="Z91" s="98">
        <f>293937*1.0244*1.0194*1.0366*1.0677*1.0575</f>
        <v>359260.34255535103</v>
      </c>
      <c r="AA91" s="98">
        <f t="shared" ref="AA91:AA97" si="33">D91*E91*Z91</f>
        <v>45985323.847084932</v>
      </c>
      <c r="AB91" s="167">
        <f>363335*1.0194*1.0366*1.0677*1.0575</f>
        <v>433503.57956196478</v>
      </c>
      <c r="AC91" s="23">
        <f>D91*E91*AB91</f>
        <v>55488458.183931492</v>
      </c>
      <c r="AD91" s="30"/>
      <c r="AE91" s="30">
        <f>D91*E91*AD91</f>
        <v>0</v>
      </c>
      <c r="AF91" s="97">
        <f>268008*1.0366*1.0677*1.0575</f>
        <v>313681.26530655724</v>
      </c>
      <c r="AG91" s="97">
        <f t="shared" ref="AG91:AG97" si="34">D91*E91*AF91</f>
        <v>40151201.959239326</v>
      </c>
      <c r="AH91" s="30">
        <f>270408*1.0677*1.0575</f>
        <v>305315.71234200004</v>
      </c>
      <c r="AI91" s="30">
        <f t="shared" ref="AI91:AI97" si="35">D91*E91*AH91</f>
        <v>39080411.179776005</v>
      </c>
      <c r="AJ91" s="23">
        <f>322396*1.0575</f>
        <v>340933.77</v>
      </c>
      <c r="AK91" s="23">
        <f t="shared" ref="AK91:AK97" si="36">D91*E91*AJ91</f>
        <v>43639522.560000002</v>
      </c>
      <c r="AL91" s="17">
        <f>ROUND((AVERAGE(F91,H91,J91,L91,N91,P91,R91,T91,V91,X91,Z91,AB91,AF91,AH91,AJ91)),0)</f>
        <v>375447</v>
      </c>
      <c r="AM91" s="17">
        <f t="shared" ref="AM91:AM97" si="37">ROUND((D91*E91*AL91),0)</f>
        <v>48057216</v>
      </c>
      <c r="AN91" s="17">
        <f>ROUND((MEDIAN(F91,H91,J91,N91,L91,P91,R91,T91,V91,X91,Z91,AB91,AF91,AH91,AJ91)),0)</f>
        <v>335000</v>
      </c>
      <c r="AO91" s="17">
        <f t="shared" ref="AO91:AO97" si="38">ROUND((D91*E91*AN91),0)</f>
        <v>42880000</v>
      </c>
      <c r="AP91" s="17">
        <f t="shared" ref="AP91:AP97" si="39">ROUND((HARMEAN(F91,H91,J91,L91,N91,P91,R91,T91,V91,X91,Z91,AB91,AF91,AH91,AJ91)),0)</f>
        <v>357079</v>
      </c>
      <c r="AQ91" s="17">
        <f t="shared" ref="AQ91:AQ97" si="40">ROUND((D91*E91*AP91),0)</f>
        <v>45706112</v>
      </c>
      <c r="AR91" s="17">
        <f>ROUND((GEOMEAN(F91,H91,J91,L91,N91,P91,R91,T91,V91,X91,Z91,AB91,AF91,AH91,AJ91)),0)</f>
        <v>364580</v>
      </c>
      <c r="AS91" s="17">
        <f t="shared" ref="AS91:AS97" si="41">ROUND((D91*E91*AR91),0)</f>
        <v>46666240</v>
      </c>
    </row>
    <row r="92" spans="1:53" ht="81.75" customHeight="1" x14ac:dyDescent="0.2">
      <c r="A92" s="124">
        <v>2</v>
      </c>
      <c r="B92" s="197" t="s">
        <v>14</v>
      </c>
      <c r="C92" s="163" t="s">
        <v>2</v>
      </c>
      <c r="D92" s="112">
        <v>2944</v>
      </c>
      <c r="E92" s="163">
        <v>4</v>
      </c>
      <c r="F92" s="20">
        <v>2500</v>
      </c>
      <c r="G92" s="166">
        <f t="shared" si="23"/>
        <v>29440000</v>
      </c>
      <c r="H92" s="20">
        <v>6500</v>
      </c>
      <c r="I92" s="166">
        <f t="shared" si="24"/>
        <v>76544000</v>
      </c>
      <c r="J92" s="20">
        <v>1700</v>
      </c>
      <c r="K92" s="166">
        <f t="shared" si="25"/>
        <v>20019200</v>
      </c>
      <c r="L92" s="20">
        <v>1800</v>
      </c>
      <c r="M92" s="20">
        <f t="shared" si="26"/>
        <v>21196800</v>
      </c>
      <c r="N92" s="167">
        <v>2100</v>
      </c>
      <c r="O92" s="167">
        <f t="shared" si="27"/>
        <v>24729600</v>
      </c>
      <c r="P92" s="20">
        <v>2950</v>
      </c>
      <c r="Q92" s="23">
        <f t="shared" si="28"/>
        <v>34739200</v>
      </c>
      <c r="R92" s="36">
        <v>2700</v>
      </c>
      <c r="S92" s="20">
        <f t="shared" si="29"/>
        <v>31795200</v>
      </c>
      <c r="T92" s="40">
        <v>2800</v>
      </c>
      <c r="U92" s="36">
        <f t="shared" si="30"/>
        <v>32972800</v>
      </c>
      <c r="V92" s="132">
        <f>1399*1.0317*1.0373*1.0244*1.0194*1.0366*1.0677*1.0575</f>
        <v>1829.9134331486757</v>
      </c>
      <c r="W92" s="132">
        <f t="shared" si="31"/>
        <v>21549060.588758804</v>
      </c>
      <c r="X92" s="97">
        <f>1500*1.0373*1.0244*1.0194*1.0366*1.0677*1.0575</f>
        <v>1901.7378894082692</v>
      </c>
      <c r="Y92" s="97">
        <f t="shared" si="32"/>
        <v>22394865.38567178</v>
      </c>
      <c r="Z92" s="98">
        <f>1600*1.0244*1.0194*1.0366*1.0677*1.0575</f>
        <v>1955.5773791273693</v>
      </c>
      <c r="AA92" s="98">
        <f t="shared" si="33"/>
        <v>23028879.216603901</v>
      </c>
      <c r="AB92" s="167">
        <f>1738*1.0194*1.0366*1.0677*1.0575</f>
        <v>2073.6488950381736</v>
      </c>
      <c r="AC92" s="23">
        <f>D92*E92*AB92</f>
        <v>24419289.387969531</v>
      </c>
      <c r="AD92" s="30"/>
      <c r="AE92" s="30">
        <f>D92*E92*AD92</f>
        <v>0</v>
      </c>
      <c r="AF92" s="97">
        <f>1695*1.0366*1.0677*1.0575</f>
        <v>1983.8577381817504</v>
      </c>
      <c r="AG92" s="97">
        <f t="shared" si="34"/>
        <v>23361908.724828292</v>
      </c>
      <c r="AH92" s="30">
        <f>1670*1.0677*1.0575</f>
        <v>1885.5848925000005</v>
      </c>
      <c r="AI92" s="30">
        <f t="shared" si="35"/>
        <v>22204647.694080006</v>
      </c>
      <c r="AJ92" s="23">
        <f>1759*1.0575</f>
        <v>1860.1425000000002</v>
      </c>
      <c r="AK92" s="23">
        <f t="shared" si="36"/>
        <v>21905038.080000002</v>
      </c>
      <c r="AL92" s="17">
        <f t="shared" ref="AL92:AL97" si="42">ROUND((AVERAGE(F92,H92,J92,L92,N92,P92,R92,T92,V92,X92,Z92,AB92,AF92,AH92,AJ92)),0)</f>
        <v>2436</v>
      </c>
      <c r="AM92" s="17">
        <f t="shared" si="37"/>
        <v>28686336</v>
      </c>
      <c r="AN92" s="17">
        <f t="shared" ref="AN92:AN97" si="43">ROUND((MEDIAN(F92,H92,J92,N92,L92,P92,R92,T92,V92,X92,Z92,AB92,AF92,AH92,AJ92)),0)</f>
        <v>1984</v>
      </c>
      <c r="AO92" s="17">
        <f t="shared" si="38"/>
        <v>23363584</v>
      </c>
      <c r="AP92" s="17">
        <f t="shared" si="39"/>
        <v>2181</v>
      </c>
      <c r="AQ92" s="17">
        <f t="shared" si="40"/>
        <v>25683456</v>
      </c>
      <c r="AR92" s="17">
        <f t="shared" ref="AR92:AR97" si="44">ROUND((GEOMEAN(F92,H92,J92,L92,N92,P92,R92,T92,V92,X92,Z92,AB92,AF92,AH92,AJ92)),0)</f>
        <v>2277</v>
      </c>
      <c r="AS92" s="17">
        <f t="shared" si="41"/>
        <v>26813952</v>
      </c>
    </row>
    <row r="93" spans="1:53" ht="78" customHeight="1" x14ac:dyDescent="0.2">
      <c r="A93" s="124">
        <v>3</v>
      </c>
      <c r="B93" s="197" t="s">
        <v>80</v>
      </c>
      <c r="C93" s="163" t="s">
        <v>26</v>
      </c>
      <c r="D93" s="112">
        <v>500</v>
      </c>
      <c r="E93" s="163">
        <v>4</v>
      </c>
      <c r="F93" s="20">
        <v>5000</v>
      </c>
      <c r="G93" s="166">
        <f t="shared" si="23"/>
        <v>10000000</v>
      </c>
      <c r="H93" s="20">
        <v>90000</v>
      </c>
      <c r="I93" s="166">
        <f t="shared" si="24"/>
        <v>180000000</v>
      </c>
      <c r="J93" s="20">
        <v>6000</v>
      </c>
      <c r="K93" s="166">
        <f t="shared" si="25"/>
        <v>12000000</v>
      </c>
      <c r="L93" s="20">
        <v>9500</v>
      </c>
      <c r="M93" s="20">
        <f t="shared" si="26"/>
        <v>19000000</v>
      </c>
      <c r="N93" s="167">
        <v>2100</v>
      </c>
      <c r="O93" s="167">
        <f t="shared" si="27"/>
        <v>4200000</v>
      </c>
      <c r="P93" s="20">
        <v>3500</v>
      </c>
      <c r="Q93" s="23">
        <f t="shared" si="28"/>
        <v>7000000</v>
      </c>
      <c r="R93" s="36">
        <v>5000</v>
      </c>
      <c r="S93" s="20">
        <f t="shared" si="29"/>
        <v>10000000</v>
      </c>
      <c r="T93" s="40">
        <v>4800</v>
      </c>
      <c r="U93" s="36">
        <f t="shared" si="30"/>
        <v>9600000</v>
      </c>
      <c r="V93" s="132">
        <f>4588*1.0317*1.0373*1.0244*1.0194*1.0366*1.0677*1.0575</f>
        <v>6001.1742896970154</v>
      </c>
      <c r="W93" s="132">
        <f t="shared" si="31"/>
        <v>12002348.579394031</v>
      </c>
      <c r="X93" s="97">
        <f>3300*1.0373*1.0244*1.0194*1.0366*1.0677*1.0575</f>
        <v>4183.8233566981917</v>
      </c>
      <c r="Y93" s="97">
        <f t="shared" si="32"/>
        <v>8367646.7133963834</v>
      </c>
      <c r="Z93" s="98">
        <f>3506*1.0244*1.0194*1.0366*1.0677*1.0575</f>
        <v>4285.1589320128487</v>
      </c>
      <c r="AA93" s="98">
        <f t="shared" si="33"/>
        <v>8570317.8640256971</v>
      </c>
      <c r="AB93" s="167">
        <f>3333*1.0194*1.0366*1.0677*1.0575</f>
        <v>3976.6811088390286</v>
      </c>
      <c r="AC93" s="23">
        <f>D93*E93*AB93</f>
        <v>7953362.217678057</v>
      </c>
      <c r="AD93" s="30"/>
      <c r="AE93" s="30">
        <f>D93*E93*AD93</f>
        <v>0</v>
      </c>
      <c r="AF93" s="97">
        <f>3435*1.0366*1.0677*1.0575</f>
        <v>4020.3842658727508</v>
      </c>
      <c r="AG93" s="97">
        <f t="shared" si="34"/>
        <v>8040768.5317455018</v>
      </c>
      <c r="AH93" s="30">
        <f>3655*1.0677*1.0575</f>
        <v>4126.8340012500012</v>
      </c>
      <c r="AI93" s="30">
        <f t="shared" si="35"/>
        <v>8253668.0025000023</v>
      </c>
      <c r="AJ93" s="23">
        <f>3862*1.0575</f>
        <v>4084.0650000000005</v>
      </c>
      <c r="AK93" s="23">
        <f t="shared" si="36"/>
        <v>8168130.0000000009</v>
      </c>
      <c r="AL93" s="17">
        <f t="shared" si="42"/>
        <v>10439</v>
      </c>
      <c r="AM93" s="17">
        <f t="shared" si="37"/>
        <v>20878000</v>
      </c>
      <c r="AN93" s="17">
        <f t="shared" si="43"/>
        <v>4285</v>
      </c>
      <c r="AO93" s="17">
        <f t="shared" si="38"/>
        <v>8570000</v>
      </c>
      <c r="AP93" s="17">
        <f t="shared" si="39"/>
        <v>4574</v>
      </c>
      <c r="AQ93" s="17">
        <f t="shared" si="40"/>
        <v>9148000</v>
      </c>
      <c r="AR93" s="17">
        <f t="shared" si="44"/>
        <v>5510</v>
      </c>
      <c r="AS93" s="17">
        <f t="shared" si="41"/>
        <v>11020000</v>
      </c>
    </row>
    <row r="94" spans="1:53" ht="76.5" x14ac:dyDescent="0.2">
      <c r="A94" s="124">
        <v>4</v>
      </c>
      <c r="B94" s="197" t="s">
        <v>15</v>
      </c>
      <c r="C94" s="163" t="s">
        <v>2</v>
      </c>
      <c r="D94" s="112">
        <v>4184</v>
      </c>
      <c r="E94" s="163">
        <v>4</v>
      </c>
      <c r="F94" s="20">
        <v>2400</v>
      </c>
      <c r="G94" s="166">
        <f t="shared" si="23"/>
        <v>40166400</v>
      </c>
      <c r="H94" s="20">
        <v>3860</v>
      </c>
      <c r="I94" s="166">
        <f t="shared" si="24"/>
        <v>64600960</v>
      </c>
      <c r="J94" s="20">
        <v>1800</v>
      </c>
      <c r="K94" s="166">
        <f t="shared" si="25"/>
        <v>30124800</v>
      </c>
      <c r="L94" s="20">
        <v>1800</v>
      </c>
      <c r="M94" s="20">
        <f t="shared" si="26"/>
        <v>30124800</v>
      </c>
      <c r="N94" s="167">
        <v>2100</v>
      </c>
      <c r="O94" s="167">
        <f t="shared" si="27"/>
        <v>35145600</v>
      </c>
      <c r="P94" s="20">
        <v>2950</v>
      </c>
      <c r="Q94" s="23">
        <f t="shared" si="28"/>
        <v>49371200</v>
      </c>
      <c r="R94" s="36">
        <v>2700</v>
      </c>
      <c r="S94" s="20">
        <f t="shared" si="29"/>
        <v>45187200</v>
      </c>
      <c r="T94" s="40">
        <v>2800</v>
      </c>
      <c r="U94" s="36">
        <f t="shared" si="30"/>
        <v>46860800</v>
      </c>
      <c r="V94" s="132">
        <f>1303*1.0317*1.0373*1.0244*1.0194*1.0366*1.0677*1.0575</f>
        <v>1704.3439623965148</v>
      </c>
      <c r="W94" s="132">
        <f t="shared" si="31"/>
        <v>28523900.554668073</v>
      </c>
      <c r="X94" s="97">
        <f>1800*1.0373*1.0244*1.0194*1.0366*1.0677*1.0575</f>
        <v>2282.0854672899227</v>
      </c>
      <c r="Y94" s="97">
        <f t="shared" si="32"/>
        <v>38192982.380564146</v>
      </c>
      <c r="Z94" s="98">
        <f>2133*1.0244*1.0194*1.0366*1.0677*1.0575</f>
        <v>2607.0290935491739</v>
      </c>
      <c r="AA94" s="98">
        <f t="shared" si="33"/>
        <v>43631238.909638971</v>
      </c>
      <c r="AB94" s="167">
        <f>1840*1.0194*1.0366*1.0677*1.0575</f>
        <v>2195.3475068298267</v>
      </c>
      <c r="AC94" s="23">
        <f>D94*E94*AB94</f>
        <v>36741335.874303982</v>
      </c>
      <c r="AD94" s="30"/>
      <c r="AE94" s="30"/>
      <c r="AF94" s="97">
        <f>1769*1.0366*1.0677*1.0575</f>
        <v>2070.4686364858503</v>
      </c>
      <c r="AG94" s="97">
        <f t="shared" si="34"/>
        <v>34651363.100227192</v>
      </c>
      <c r="AH94" s="30">
        <f>1719*1.0677*1.0575</f>
        <v>1940.9104372500003</v>
      </c>
      <c r="AI94" s="30">
        <f t="shared" si="35"/>
        <v>32483077.077816006</v>
      </c>
      <c r="AJ94" s="23">
        <f>1838*1.0575</f>
        <v>1943.6850000000002</v>
      </c>
      <c r="AK94" s="23">
        <f t="shared" si="36"/>
        <v>32529512.160000004</v>
      </c>
      <c r="AL94" s="17">
        <f t="shared" si="42"/>
        <v>2344</v>
      </c>
      <c r="AM94" s="17">
        <f t="shared" si="37"/>
        <v>39229184</v>
      </c>
      <c r="AN94" s="17">
        <f t="shared" si="43"/>
        <v>2195</v>
      </c>
      <c r="AO94" s="17">
        <f t="shared" si="38"/>
        <v>36735520</v>
      </c>
      <c r="AP94" s="17">
        <f t="shared" si="39"/>
        <v>2237</v>
      </c>
      <c r="AQ94" s="17">
        <f t="shared" si="40"/>
        <v>37438432</v>
      </c>
      <c r="AR94" s="17">
        <f t="shared" si="44"/>
        <v>2287</v>
      </c>
      <c r="AS94" s="17">
        <f t="shared" si="41"/>
        <v>38275232</v>
      </c>
    </row>
    <row r="95" spans="1:53" ht="42" customHeight="1" x14ac:dyDescent="0.2">
      <c r="A95" s="124">
        <v>5</v>
      </c>
      <c r="B95" s="197" t="s">
        <v>81</v>
      </c>
      <c r="C95" s="163" t="s">
        <v>1</v>
      </c>
      <c r="D95" s="112">
        <v>12</v>
      </c>
      <c r="E95" s="163">
        <v>4</v>
      </c>
      <c r="F95" s="20">
        <v>600000</v>
      </c>
      <c r="G95" s="166">
        <f t="shared" si="23"/>
        <v>28800000</v>
      </c>
      <c r="H95" s="20">
        <v>1200000</v>
      </c>
      <c r="I95" s="166">
        <f t="shared" si="24"/>
        <v>57600000</v>
      </c>
      <c r="J95" s="20">
        <v>160000</v>
      </c>
      <c r="K95" s="166">
        <f t="shared" si="25"/>
        <v>7680000</v>
      </c>
      <c r="L95" s="20">
        <v>180000</v>
      </c>
      <c r="M95" s="20">
        <f t="shared" si="26"/>
        <v>8640000</v>
      </c>
      <c r="N95" s="167">
        <v>200000</v>
      </c>
      <c r="O95" s="167">
        <f t="shared" si="27"/>
        <v>9600000</v>
      </c>
      <c r="P95" s="20">
        <v>250000</v>
      </c>
      <c r="Q95" s="23">
        <f t="shared" si="28"/>
        <v>12000000</v>
      </c>
      <c r="R95" s="36">
        <v>170000</v>
      </c>
      <c r="S95" s="20">
        <f t="shared" si="29"/>
        <v>8160000</v>
      </c>
      <c r="T95" s="40">
        <v>180000</v>
      </c>
      <c r="U95" s="36">
        <f t="shared" si="30"/>
        <v>8640000</v>
      </c>
      <c r="V95" s="132">
        <f>108664*1.0317*1.0373*1.0244*1.0194*1.0366*1.0677*1.0575</f>
        <v>142134.17676888328</v>
      </c>
      <c r="W95" s="132">
        <f t="shared" si="31"/>
        <v>6822440.4849063978</v>
      </c>
      <c r="X95" s="97">
        <f>175000*1.0373*1.0244*1.0194*1.0366*1.0677*1.0575</f>
        <v>221869.42043096476</v>
      </c>
      <c r="Y95" s="97">
        <f t="shared" si="32"/>
        <v>10649732.180686308</v>
      </c>
      <c r="Z95" s="98">
        <f>147935*1.0244*1.0194*1.0366*1.0677*1.0575</f>
        <v>180811.46223825464</v>
      </c>
      <c r="AA95" s="98">
        <f t="shared" si="33"/>
        <v>8678950.187436223</v>
      </c>
      <c r="AB95" s="167">
        <f>157375*1.0194*1.0366*1.0677*1.0575</f>
        <v>187767.83363442609</v>
      </c>
      <c r="AC95" s="23">
        <f>D95*E95*AB95</f>
        <v>9012856.0144524518</v>
      </c>
      <c r="AD95" s="30"/>
      <c r="AE95" s="30"/>
      <c r="AF95" s="97">
        <f>157437*1.0366*1.0677*1.0575</f>
        <v>184267.02697706208</v>
      </c>
      <c r="AG95" s="97">
        <f t="shared" si="34"/>
        <v>8844817.2948989794</v>
      </c>
      <c r="AH95" s="30">
        <f>148291*1.0677*1.0575</f>
        <v>167434.29299025005</v>
      </c>
      <c r="AI95" s="30">
        <f t="shared" si="35"/>
        <v>8036846.0635320023</v>
      </c>
      <c r="AJ95" s="23">
        <f>191196*1.0575</f>
        <v>202189.77000000002</v>
      </c>
      <c r="AK95" s="23">
        <f t="shared" si="36"/>
        <v>9705108.9600000009</v>
      </c>
      <c r="AL95" s="17">
        <f t="shared" si="42"/>
        <v>281765</v>
      </c>
      <c r="AM95" s="17">
        <f t="shared" si="37"/>
        <v>13524720</v>
      </c>
      <c r="AN95" s="17">
        <f t="shared" si="43"/>
        <v>184267</v>
      </c>
      <c r="AO95" s="17">
        <f t="shared" si="38"/>
        <v>8844816</v>
      </c>
      <c r="AP95" s="17">
        <f t="shared" si="39"/>
        <v>204115</v>
      </c>
      <c r="AQ95" s="17">
        <f t="shared" si="40"/>
        <v>9797520</v>
      </c>
      <c r="AR95" s="17">
        <f t="shared" si="44"/>
        <v>226503</v>
      </c>
      <c r="AS95" s="17">
        <f t="shared" si="41"/>
        <v>10872144</v>
      </c>
    </row>
    <row r="96" spans="1:53" ht="74.25" customHeight="1" x14ac:dyDescent="0.2">
      <c r="A96" s="124">
        <v>6</v>
      </c>
      <c r="B96" s="197" t="s">
        <v>149</v>
      </c>
      <c r="C96" s="163" t="s">
        <v>26</v>
      </c>
      <c r="D96" s="112">
        <f>1150*2</f>
        <v>2300</v>
      </c>
      <c r="E96" s="163">
        <v>4</v>
      </c>
      <c r="F96" s="20">
        <v>3000</v>
      </c>
      <c r="G96" s="166">
        <f t="shared" si="23"/>
        <v>27600000</v>
      </c>
      <c r="H96" s="20">
        <v>1600</v>
      </c>
      <c r="I96" s="166">
        <f t="shared" si="24"/>
        <v>14720000</v>
      </c>
      <c r="J96" s="20">
        <v>1900</v>
      </c>
      <c r="K96" s="166">
        <f t="shared" si="25"/>
        <v>17480000</v>
      </c>
      <c r="L96" s="20">
        <v>3600</v>
      </c>
      <c r="M96" s="20">
        <f t="shared" si="26"/>
        <v>33120000</v>
      </c>
      <c r="N96" s="167">
        <v>3500</v>
      </c>
      <c r="O96" s="167">
        <f t="shared" si="27"/>
        <v>32200000</v>
      </c>
      <c r="P96" s="23">
        <v>3350</v>
      </c>
      <c r="Q96" s="23">
        <f t="shared" si="28"/>
        <v>30820000</v>
      </c>
      <c r="R96" s="20">
        <v>3800</v>
      </c>
      <c r="S96" s="20">
        <f t="shared" si="29"/>
        <v>34960000</v>
      </c>
      <c r="T96" s="36">
        <v>4200</v>
      </c>
      <c r="U96" s="36">
        <f t="shared" si="30"/>
        <v>38640000</v>
      </c>
      <c r="V96" s="132"/>
      <c r="W96" s="132">
        <f t="shared" si="31"/>
        <v>0</v>
      </c>
      <c r="X96" s="97"/>
      <c r="Y96" s="97">
        <f t="shared" si="32"/>
        <v>0</v>
      </c>
      <c r="Z96" s="98"/>
      <c r="AA96" s="98">
        <f t="shared" si="33"/>
        <v>0</v>
      </c>
      <c r="AB96" s="23"/>
      <c r="AC96" s="23"/>
      <c r="AD96" s="30"/>
      <c r="AE96" s="30"/>
      <c r="AF96" s="97">
        <f>1700*1.0366*1.0677*1.0575</f>
        <v>1989.7098259050003</v>
      </c>
      <c r="AG96" s="97">
        <f t="shared" si="34"/>
        <v>18305330.398326002</v>
      </c>
      <c r="AH96" s="30">
        <f>2048*1.0677*1.0575</f>
        <v>2312.3819520000006</v>
      </c>
      <c r="AI96" s="30">
        <f t="shared" si="35"/>
        <v>21273913.958400007</v>
      </c>
      <c r="AJ96" s="23">
        <f>1727*1.0575</f>
        <v>1826.3025000000002</v>
      </c>
      <c r="AK96" s="23">
        <f t="shared" si="36"/>
        <v>16801983.000000004</v>
      </c>
      <c r="AL96" s="17">
        <f t="shared" si="42"/>
        <v>2825</v>
      </c>
      <c r="AM96" s="17">
        <f t="shared" si="37"/>
        <v>25990000</v>
      </c>
      <c r="AN96" s="17">
        <f t="shared" si="43"/>
        <v>3000</v>
      </c>
      <c r="AO96" s="17">
        <f t="shared" si="38"/>
        <v>27600000</v>
      </c>
      <c r="AP96" s="17">
        <f t="shared" si="39"/>
        <v>2540</v>
      </c>
      <c r="AQ96" s="17">
        <f t="shared" si="40"/>
        <v>23368000</v>
      </c>
      <c r="AR96" s="17">
        <f t="shared" si="44"/>
        <v>2682</v>
      </c>
      <c r="AS96" s="17">
        <f t="shared" si="41"/>
        <v>24674400</v>
      </c>
    </row>
    <row r="97" spans="1:52" ht="89.25" x14ac:dyDescent="0.2">
      <c r="A97" s="124">
        <v>7</v>
      </c>
      <c r="B97" s="197" t="s">
        <v>27</v>
      </c>
      <c r="C97" s="163" t="s">
        <v>1</v>
      </c>
      <c r="D97" s="122">
        <v>3</v>
      </c>
      <c r="E97" s="123">
        <v>1</v>
      </c>
      <c r="F97" s="20">
        <v>2500000</v>
      </c>
      <c r="G97" s="166">
        <f t="shared" si="23"/>
        <v>7500000</v>
      </c>
      <c r="H97" s="20">
        <v>1062585</v>
      </c>
      <c r="I97" s="166">
        <f t="shared" si="24"/>
        <v>3187755</v>
      </c>
      <c r="J97" s="20">
        <v>1200000</v>
      </c>
      <c r="K97" s="166">
        <f t="shared" si="25"/>
        <v>3600000</v>
      </c>
      <c r="L97" s="20">
        <v>1150000</v>
      </c>
      <c r="M97" s="20">
        <f t="shared" si="26"/>
        <v>3450000</v>
      </c>
      <c r="N97" s="167">
        <v>1500000</v>
      </c>
      <c r="O97" s="167">
        <f t="shared" si="27"/>
        <v>4500000</v>
      </c>
      <c r="P97" s="20">
        <v>1000000</v>
      </c>
      <c r="Q97" s="23">
        <f t="shared" si="28"/>
        <v>3000000</v>
      </c>
      <c r="R97" s="20">
        <v>1500000</v>
      </c>
      <c r="S97" s="20">
        <f t="shared" si="29"/>
        <v>4500000</v>
      </c>
      <c r="T97" s="36">
        <v>1030000</v>
      </c>
      <c r="U97" s="36">
        <f t="shared" si="30"/>
        <v>3090000</v>
      </c>
      <c r="V97" s="132"/>
      <c r="W97" s="132">
        <f t="shared" si="31"/>
        <v>0</v>
      </c>
      <c r="X97" s="97">
        <f>1300000*1.0373*1.0244*1.0194*1.0366*1.0677*1.0575</f>
        <v>1648172.8374871665</v>
      </c>
      <c r="Y97" s="97">
        <f t="shared" si="32"/>
        <v>4944518.5124614993</v>
      </c>
      <c r="Z97" s="98">
        <f>720864*1.0244*1.0194*1.0366*1.0677*1.0575</f>
        <v>881065.83239204495</v>
      </c>
      <c r="AA97" s="98">
        <f t="shared" si="33"/>
        <v>2643197.497176135</v>
      </c>
      <c r="AB97" s="23"/>
      <c r="AC97" s="23">
        <f>D97*E97*AB97</f>
        <v>0</v>
      </c>
      <c r="AD97" s="30"/>
      <c r="AE97" s="30">
        <f>D97*E97*AD97</f>
        <v>0</v>
      </c>
      <c r="AF97" s="97">
        <f>801667*1.0366*1.0677*1.0575</f>
        <v>938285.12176693173</v>
      </c>
      <c r="AG97" s="97">
        <f t="shared" si="34"/>
        <v>2814855.3653007951</v>
      </c>
      <c r="AH97" s="30">
        <f>1005705*1.0677*1.0575</f>
        <v>1135534.2241387502</v>
      </c>
      <c r="AI97" s="30">
        <f t="shared" si="35"/>
        <v>3406602.6724162507</v>
      </c>
      <c r="AJ97" s="23">
        <f>1107149*1.0575</f>
        <v>1170810.0675000001</v>
      </c>
      <c r="AK97" s="23">
        <f t="shared" si="36"/>
        <v>3512430.2025000006</v>
      </c>
      <c r="AL97" s="17">
        <f t="shared" si="42"/>
        <v>1285881</v>
      </c>
      <c r="AM97" s="17">
        <f t="shared" si="37"/>
        <v>3857643</v>
      </c>
      <c r="AN97" s="17">
        <f t="shared" si="43"/>
        <v>1150000</v>
      </c>
      <c r="AO97" s="17">
        <f t="shared" si="38"/>
        <v>3450000</v>
      </c>
      <c r="AP97" s="17">
        <f t="shared" si="39"/>
        <v>1193706</v>
      </c>
      <c r="AQ97" s="17">
        <f t="shared" si="40"/>
        <v>3581118</v>
      </c>
      <c r="AR97" s="17">
        <f t="shared" si="44"/>
        <v>1234030</v>
      </c>
      <c r="AS97" s="17">
        <f t="shared" si="41"/>
        <v>3702090</v>
      </c>
    </row>
    <row r="98" spans="1:52" x14ac:dyDescent="0.2">
      <c r="A98" s="152"/>
      <c r="B98" s="53"/>
      <c r="C98" s="52"/>
      <c r="D98" s="51"/>
      <c r="E98" s="52"/>
      <c r="F98" s="52"/>
      <c r="G98" s="52"/>
      <c r="H98" s="52"/>
      <c r="I98" s="52"/>
      <c r="J98" s="52"/>
      <c r="K98" s="52"/>
      <c r="L98" s="20"/>
      <c r="M98" s="20"/>
      <c r="N98" s="167"/>
      <c r="O98" s="167"/>
      <c r="P98" s="23"/>
      <c r="Q98" s="23"/>
      <c r="R98" s="20"/>
      <c r="S98" s="20"/>
      <c r="T98" s="36"/>
      <c r="U98" s="36"/>
      <c r="V98" s="132"/>
      <c r="W98" s="132"/>
      <c r="X98" s="97"/>
      <c r="Y98" s="97"/>
      <c r="Z98" s="98"/>
      <c r="AA98" s="98"/>
      <c r="AB98" s="23"/>
      <c r="AC98" s="23">
        <f>D98*E98*AB98</f>
        <v>0</v>
      </c>
      <c r="AD98" s="30"/>
      <c r="AE98" s="30"/>
      <c r="AF98" s="97"/>
      <c r="AG98" s="97"/>
      <c r="AH98" s="30"/>
      <c r="AI98" s="30"/>
      <c r="AJ98" s="23"/>
      <c r="AK98" s="23"/>
      <c r="AL98" s="17"/>
      <c r="AM98" s="17"/>
      <c r="AN98" s="17"/>
      <c r="AO98" s="17"/>
      <c r="AP98" s="17"/>
      <c r="AQ98" s="17"/>
      <c r="AR98" s="17"/>
      <c r="AS98" s="17"/>
    </row>
    <row r="99" spans="1:52" ht="15.75" x14ac:dyDescent="0.2">
      <c r="A99" s="179"/>
      <c r="B99" s="193" t="s">
        <v>150</v>
      </c>
      <c r="C99" s="184"/>
      <c r="D99" s="188"/>
      <c r="E99" s="184"/>
      <c r="F99" s="47"/>
      <c r="G99" s="46">
        <f>SUM(G91:G97)</f>
        <v>194706400</v>
      </c>
      <c r="H99" s="47"/>
      <c r="I99" s="46">
        <f>SUM(I91:I97)</f>
        <v>493803307</v>
      </c>
      <c r="J99" s="47"/>
      <c r="K99" s="46">
        <f>SUM(K91:K97)</f>
        <v>133144000</v>
      </c>
      <c r="L99" s="47"/>
      <c r="M99" s="46">
        <f>SUM(M91:M97)</f>
        <v>157131600</v>
      </c>
      <c r="N99" s="47"/>
      <c r="O99" s="46">
        <f>SUM(O91:O97)</f>
        <v>152615200</v>
      </c>
      <c r="P99" s="47"/>
      <c r="Q99" s="46">
        <f>SUM(Q91:Q97)</f>
        <v>179810400</v>
      </c>
      <c r="R99" s="47"/>
      <c r="S99" s="46">
        <f>SUM(S91:S97)</f>
        <v>176202400</v>
      </c>
      <c r="T99" s="47"/>
      <c r="U99" s="46">
        <f>SUM(U91:U97)</f>
        <v>182683600</v>
      </c>
      <c r="V99" s="47"/>
      <c r="W99" s="46">
        <f>SUM(W91:W97)</f>
        <v>123049668.1825771</v>
      </c>
      <c r="X99" s="47"/>
      <c r="Y99" s="46">
        <f>SUM(Y91:Y97)</f>
        <v>125120153.48015654</v>
      </c>
      <c r="Z99" s="47"/>
      <c r="AA99" s="46">
        <f>SUM(AA91:AA97)</f>
        <v>132537907.52196586</v>
      </c>
      <c r="AB99" s="47"/>
      <c r="AC99" s="46">
        <f>SUM(AC91:AC97)</f>
        <v>133615301.67833552</v>
      </c>
      <c r="AD99" s="47"/>
      <c r="AE99" s="46">
        <f>SUM(AE91:AE97)</f>
        <v>0</v>
      </c>
      <c r="AF99" s="47"/>
      <c r="AG99" s="46">
        <f>SUM(AG91:AG97)</f>
        <v>136170245.37456611</v>
      </c>
      <c r="AH99" s="47"/>
      <c r="AI99" s="46">
        <f>SUM(AI91:AI97)</f>
        <v>134739166.64852026</v>
      </c>
      <c r="AJ99" s="47"/>
      <c r="AK99" s="46">
        <f>SUM(AK91:AK97)</f>
        <v>136261724.96250004</v>
      </c>
      <c r="AL99" s="48"/>
      <c r="AM99" s="194">
        <f>SUM(AM91:AM97)</f>
        <v>180223099</v>
      </c>
      <c r="AN99" s="48"/>
      <c r="AO99" s="194">
        <f>SUM(AO91:AO97)</f>
        <v>151443920</v>
      </c>
      <c r="AP99" s="48"/>
      <c r="AQ99" s="194">
        <f>SUM(AQ91:AQ97)</f>
        <v>154722638</v>
      </c>
      <c r="AR99" s="48"/>
      <c r="AS99" s="194">
        <f>SUM(AS91:AS97)</f>
        <v>162024058</v>
      </c>
    </row>
    <row r="100" spans="1:52" ht="15.75" x14ac:dyDescent="0.2">
      <c r="A100" s="179"/>
      <c r="B100" s="193" t="s">
        <v>151</v>
      </c>
      <c r="C100" s="45"/>
      <c r="D100" s="45"/>
      <c r="E100" s="185">
        <v>0.19</v>
      </c>
      <c r="F100" s="181">
        <v>0.19</v>
      </c>
      <c r="G100" s="46">
        <f>ROUND(G99*F100,0)</f>
        <v>36994216</v>
      </c>
      <c r="H100" s="181">
        <v>0.19</v>
      </c>
      <c r="I100" s="46">
        <f>ROUND(I99*H100,0)</f>
        <v>93822628</v>
      </c>
      <c r="J100" s="181">
        <v>0.19</v>
      </c>
      <c r="K100" s="46">
        <f>ROUND(K99*J100,0)</f>
        <v>25297360</v>
      </c>
      <c r="L100" s="181">
        <v>0.19</v>
      </c>
      <c r="M100" s="46">
        <f>ROUND(M99*L100,0)</f>
        <v>29855004</v>
      </c>
      <c r="N100" s="181">
        <v>0.19</v>
      </c>
      <c r="O100" s="46">
        <f>ROUND(O99*N100,0)</f>
        <v>28996888</v>
      </c>
      <c r="P100" s="181">
        <v>0.19</v>
      </c>
      <c r="Q100" s="46">
        <f>ROUND(Q99*P100,0)</f>
        <v>34163976</v>
      </c>
      <c r="R100" s="181">
        <v>0.19</v>
      </c>
      <c r="S100" s="46">
        <f>ROUND(S99*R100,0)</f>
        <v>33478456</v>
      </c>
      <c r="T100" s="181">
        <v>0.19</v>
      </c>
      <c r="U100" s="46">
        <f>ROUND(U99*T100,0)</f>
        <v>34709884</v>
      </c>
      <c r="V100" s="181">
        <v>0.19</v>
      </c>
      <c r="W100" s="46">
        <f>ROUND(W99*V100,0)</f>
        <v>23379437</v>
      </c>
      <c r="X100" s="181">
        <v>0.19</v>
      </c>
      <c r="Y100" s="46">
        <f>ROUND(Y99*X100,0)</f>
        <v>23772829</v>
      </c>
      <c r="Z100" s="181">
        <v>0.19</v>
      </c>
      <c r="AA100" s="46">
        <f>ROUND(AA99*Z100,0)</f>
        <v>25182202</v>
      </c>
      <c r="AB100" s="181">
        <v>0.19</v>
      </c>
      <c r="AC100" s="46">
        <f>ROUND(AC99*AB100,0)</f>
        <v>25386907</v>
      </c>
      <c r="AD100" s="181">
        <v>0.19</v>
      </c>
      <c r="AE100" s="46">
        <f>ROUND(AE99*AD100,0)</f>
        <v>0</v>
      </c>
      <c r="AF100" s="181">
        <v>0.19</v>
      </c>
      <c r="AG100" s="46">
        <f>ROUND(AG99*AF100,0)</f>
        <v>25872347</v>
      </c>
      <c r="AH100" s="181">
        <v>0.19</v>
      </c>
      <c r="AI100" s="46">
        <f>ROUND(AI99*AH100,0)</f>
        <v>25600442</v>
      </c>
      <c r="AJ100" s="181">
        <v>0.19</v>
      </c>
      <c r="AK100" s="46">
        <f>ROUND(AK99*AJ100,0)</f>
        <v>25889728</v>
      </c>
      <c r="AL100" s="195">
        <v>0.19</v>
      </c>
      <c r="AM100" s="194">
        <f>ROUND(AM99*AL100,0)</f>
        <v>34242389</v>
      </c>
      <c r="AN100" s="195">
        <v>0.19</v>
      </c>
      <c r="AO100" s="194">
        <f>ROUND(AO99*AN100,0)</f>
        <v>28774345</v>
      </c>
      <c r="AP100" s="195">
        <v>0.19</v>
      </c>
      <c r="AQ100" s="194">
        <f>ROUND(AQ99*AP100,0)</f>
        <v>29397301</v>
      </c>
      <c r="AR100" s="195">
        <v>0.19</v>
      </c>
      <c r="AS100" s="194">
        <f>ROUND(AS99*AR100,0)</f>
        <v>30784571</v>
      </c>
    </row>
    <row r="101" spans="1:52" ht="15.75" x14ac:dyDescent="0.2">
      <c r="A101" s="179"/>
      <c r="B101" s="165" t="s">
        <v>135</v>
      </c>
      <c r="C101" s="45"/>
      <c r="D101" s="45"/>
      <c r="E101" s="45"/>
      <c r="F101" s="47"/>
      <c r="G101" s="46">
        <f>SUM(G99:G100)</f>
        <v>231700616</v>
      </c>
      <c r="H101" s="47"/>
      <c r="I101" s="46">
        <f>SUM(I99:I100)</f>
        <v>587625935</v>
      </c>
      <c r="J101" s="47"/>
      <c r="K101" s="46">
        <f>SUM(K99:K100)</f>
        <v>158441360</v>
      </c>
      <c r="L101" s="47"/>
      <c r="M101" s="46">
        <f>SUM(M99:M100)</f>
        <v>186986604</v>
      </c>
      <c r="N101" s="47"/>
      <c r="O101" s="46">
        <f>SUM(O99:O100)</f>
        <v>181612088</v>
      </c>
      <c r="P101" s="47"/>
      <c r="Q101" s="46">
        <f>SUM(Q99:Q100)</f>
        <v>213974376</v>
      </c>
      <c r="R101" s="47"/>
      <c r="S101" s="46">
        <f>SUM(S99:S100)</f>
        <v>209680856</v>
      </c>
      <c r="T101" s="47"/>
      <c r="U101" s="46">
        <f>SUM(U99:U100)</f>
        <v>217393484</v>
      </c>
      <c r="V101" s="47"/>
      <c r="W101" s="46">
        <f>SUM(W99:W100)</f>
        <v>146429105.1825771</v>
      </c>
      <c r="X101" s="47"/>
      <c r="Y101" s="46">
        <f>SUM(Y99:Y100)</f>
        <v>148892982.48015654</v>
      </c>
      <c r="Z101" s="47"/>
      <c r="AA101" s="46">
        <f>SUM(AA99:AA100)</f>
        <v>157720109.52196586</v>
      </c>
      <c r="AB101" s="47"/>
      <c r="AC101" s="46">
        <f>SUM(AC99:AC100)</f>
        <v>159002208.67833552</v>
      </c>
      <c r="AD101" s="47"/>
      <c r="AE101" s="46">
        <f>SUM(AE99:AE100)</f>
        <v>0</v>
      </c>
      <c r="AF101" s="47"/>
      <c r="AG101" s="46">
        <f>SUM(AG99:AG100)</f>
        <v>162042592.37456611</v>
      </c>
      <c r="AH101" s="47"/>
      <c r="AI101" s="46">
        <f>SUM(AI99:AI100)</f>
        <v>160339608.64852026</v>
      </c>
      <c r="AJ101" s="47"/>
      <c r="AK101" s="46">
        <f>SUM(AK99:AK100)</f>
        <v>162151452.96250004</v>
      </c>
      <c r="AL101" s="48"/>
      <c r="AM101" s="194">
        <f>SUM(AM99:AM100)</f>
        <v>214465488</v>
      </c>
      <c r="AN101" s="48"/>
      <c r="AO101" s="194">
        <f>SUM(AO99:AO100)</f>
        <v>180218265</v>
      </c>
      <c r="AP101" s="48"/>
      <c r="AQ101" s="194">
        <f>SUM(AQ99:AQ100)</f>
        <v>184119939</v>
      </c>
      <c r="AR101" s="48"/>
      <c r="AS101" s="194">
        <f>SUM(AS99:AS100)</f>
        <v>192808629</v>
      </c>
    </row>
    <row r="102" spans="1:52" x14ac:dyDescent="0.2">
      <c r="A102" s="177"/>
      <c r="B102" s="172"/>
      <c r="C102" s="172"/>
      <c r="D102" s="172"/>
      <c r="E102" s="172"/>
      <c r="F102" s="172"/>
      <c r="G102" s="172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172"/>
      <c r="S102" s="172"/>
      <c r="T102" s="172"/>
      <c r="U102" s="172"/>
      <c r="V102" s="172"/>
      <c r="W102" s="172"/>
      <c r="X102" s="172"/>
      <c r="Y102" s="172"/>
      <c r="Z102" s="172"/>
      <c r="AA102" s="172"/>
      <c r="AB102" s="172"/>
      <c r="AC102" s="172"/>
      <c r="AD102" s="172"/>
      <c r="AE102" s="172"/>
      <c r="AF102" s="172"/>
      <c r="AG102" s="172"/>
      <c r="AH102" s="172"/>
      <c r="AI102" s="172"/>
      <c r="AJ102" s="172"/>
      <c r="AK102" s="172"/>
      <c r="AL102" s="172"/>
      <c r="AM102" s="172"/>
      <c r="AN102" s="172"/>
      <c r="AO102" s="172"/>
      <c r="AP102" s="172"/>
      <c r="AQ102" s="172"/>
      <c r="AR102" s="172"/>
      <c r="AS102" s="172"/>
    </row>
    <row r="103" spans="1:52" x14ac:dyDescent="0.2">
      <c r="A103" s="177"/>
      <c r="B103" s="172"/>
      <c r="C103" s="172"/>
      <c r="D103" s="172"/>
      <c r="E103" s="172"/>
      <c r="F103" s="172"/>
      <c r="G103" s="172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172"/>
      <c r="S103" s="172"/>
      <c r="T103" s="172"/>
      <c r="U103" s="172"/>
      <c r="V103" s="172"/>
      <c r="W103" s="172"/>
      <c r="X103" s="172"/>
      <c r="Y103" s="172"/>
      <c r="Z103" s="172"/>
      <c r="AA103" s="172"/>
      <c r="AB103" s="172"/>
      <c r="AC103" s="172"/>
      <c r="AD103" s="172"/>
      <c r="AE103" s="172"/>
      <c r="AF103" s="172"/>
      <c r="AG103" s="172"/>
      <c r="AH103" s="172"/>
      <c r="AI103" s="172"/>
      <c r="AJ103" s="172"/>
      <c r="AK103" s="172"/>
      <c r="AL103" s="172"/>
      <c r="AM103" s="172"/>
      <c r="AN103" s="172"/>
      <c r="AO103" s="172"/>
      <c r="AP103" s="172"/>
      <c r="AQ103" s="172"/>
      <c r="AR103" s="172"/>
      <c r="AS103" s="172"/>
    </row>
    <row r="104" spans="1:52" ht="84" customHeight="1" x14ac:dyDescent="0.2">
      <c r="B104" s="190"/>
      <c r="C104" s="190"/>
      <c r="D104" s="190"/>
      <c r="E104" s="190"/>
      <c r="F104" s="315" t="str">
        <f>UPPER("OBJETO:CONTRATAR EL MANTENIMIENTO DE ZONAS DE SEGURIDAD Y CANALES DEL AEROPUERTO JOSE MARIA CORDOVA DE RIONEGRO")</f>
        <v>OBJETO:CONTRATAR EL MANTENIMIENTO DE ZONAS DE SEGURIDAD Y CANALES DEL AEROPUERTO JOSE MARIA CORDOVA DE RIONEGRO</v>
      </c>
      <c r="G104" s="315"/>
      <c r="H104" s="315"/>
      <c r="I104" s="315"/>
      <c r="J104" s="315"/>
      <c r="K104" s="315"/>
      <c r="L104" s="315"/>
      <c r="M104" s="315"/>
      <c r="N104" s="315"/>
      <c r="O104" s="315"/>
      <c r="P104" s="315"/>
      <c r="Q104" s="315"/>
      <c r="R104" s="315"/>
      <c r="S104" s="315"/>
      <c r="T104" s="315"/>
      <c r="U104" s="315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0"/>
      <c r="AG104" s="190"/>
      <c r="AH104" s="190"/>
      <c r="AI104" s="190"/>
      <c r="AJ104" s="315" t="str">
        <f>UPPER("OBJETO:CONTRATAR EL MANTENIMIENTO DE ZONAS DE SEGURIDAD Y CANALES DEL AEROPUERTO JOSE MARIA CORDOVA DE RIONEGRO")</f>
        <v>OBJETO:CONTRATAR EL MANTENIMIENTO DE ZONAS DE SEGURIDAD Y CANALES DEL AEROPUERTO JOSE MARIA CORDOVA DE RIONEGRO</v>
      </c>
      <c r="AK104" s="315"/>
      <c r="AL104" s="315"/>
      <c r="AM104" s="315"/>
      <c r="AN104" s="315"/>
      <c r="AO104" s="315"/>
      <c r="AP104" s="315"/>
      <c r="AQ104" s="315"/>
      <c r="AR104" s="190"/>
      <c r="AS104" s="190"/>
      <c r="AT104" s="190"/>
      <c r="AU104" s="190"/>
      <c r="AV104" s="190"/>
      <c r="AW104" s="190"/>
      <c r="AX104" s="190"/>
      <c r="AY104" s="190"/>
      <c r="AZ104" s="190"/>
    </row>
    <row r="105" spans="1:52" ht="21" customHeight="1" x14ac:dyDescent="0.2">
      <c r="B105" s="191" t="s">
        <v>9</v>
      </c>
      <c r="C105" s="191"/>
      <c r="D105" s="191"/>
      <c r="E105" s="191"/>
      <c r="F105" s="191"/>
      <c r="G105" s="191"/>
      <c r="H105" s="191"/>
      <c r="I105" s="191"/>
      <c r="J105" s="191"/>
      <c r="K105" s="191"/>
      <c r="L105" s="191"/>
      <c r="M105" s="191"/>
      <c r="N105" s="191"/>
      <c r="O105" s="191"/>
      <c r="P105" s="191"/>
      <c r="Q105" s="191"/>
      <c r="R105" s="191"/>
      <c r="S105" s="191"/>
      <c r="T105" s="191"/>
      <c r="U105" s="191"/>
      <c r="V105" s="191"/>
      <c r="W105" s="191"/>
      <c r="X105" s="191"/>
      <c r="Y105" s="191"/>
      <c r="Z105" s="191"/>
      <c r="AA105" s="191"/>
      <c r="AB105" s="191"/>
      <c r="AC105" s="191"/>
      <c r="AD105" s="191"/>
      <c r="AE105" s="191"/>
      <c r="AF105" s="191"/>
      <c r="AG105" s="191"/>
      <c r="AH105" s="191"/>
      <c r="AI105" s="191"/>
      <c r="AJ105" s="183"/>
      <c r="AK105" s="183"/>
      <c r="AL105" s="172"/>
      <c r="AM105" s="172"/>
      <c r="AN105" s="172"/>
      <c r="AO105" s="172"/>
      <c r="AP105" s="172"/>
      <c r="AQ105" s="172"/>
      <c r="AR105" s="172"/>
      <c r="AS105" s="172"/>
    </row>
    <row r="106" spans="1:52" ht="126" customHeight="1" x14ac:dyDescent="0.2">
      <c r="A106" s="177"/>
      <c r="B106" s="178" t="s">
        <v>136</v>
      </c>
      <c r="C106" s="172"/>
      <c r="D106" s="172"/>
      <c r="E106" s="172"/>
      <c r="F106" s="303" t="s">
        <v>133</v>
      </c>
      <c r="G106" s="304"/>
      <c r="H106" s="303" t="s">
        <v>138</v>
      </c>
      <c r="I106" s="304"/>
      <c r="J106" s="303" t="s">
        <v>130</v>
      </c>
      <c r="K106" s="304"/>
      <c r="L106" s="303" t="s">
        <v>40</v>
      </c>
      <c r="M106" s="304"/>
      <c r="N106" s="303" t="s">
        <v>41</v>
      </c>
      <c r="O106" s="304"/>
      <c r="P106" s="305" t="s">
        <v>42</v>
      </c>
      <c r="Q106" s="306"/>
      <c r="R106" s="303" t="s">
        <v>43</v>
      </c>
      <c r="S106" s="304"/>
      <c r="T106" s="303" t="s">
        <v>22</v>
      </c>
      <c r="U106" s="304"/>
      <c r="V106" s="311"/>
      <c r="W106" s="312"/>
      <c r="X106" s="290"/>
      <c r="Y106" s="291"/>
      <c r="Z106" s="286"/>
      <c r="AA106" s="287"/>
      <c r="AB106" s="288"/>
      <c r="AC106" s="289"/>
      <c r="AD106" s="290" t="s">
        <v>82</v>
      </c>
      <c r="AE106" s="291"/>
      <c r="AF106" s="292" t="s">
        <v>78</v>
      </c>
      <c r="AG106" s="293"/>
      <c r="AH106" s="294" t="s">
        <v>79</v>
      </c>
      <c r="AI106" s="295"/>
      <c r="AJ106" s="285" t="s">
        <v>12</v>
      </c>
      <c r="AK106" s="285"/>
      <c r="AL106" s="285" t="s">
        <v>16</v>
      </c>
      <c r="AM106" s="285"/>
      <c r="AN106" s="285" t="s">
        <v>19</v>
      </c>
      <c r="AO106" s="285"/>
      <c r="AP106" s="285" t="s">
        <v>20</v>
      </c>
      <c r="AQ106" s="285"/>
      <c r="AR106" s="172"/>
      <c r="AS106" s="172"/>
    </row>
    <row r="107" spans="1:52" ht="33" customHeight="1" x14ac:dyDescent="0.2">
      <c r="A107" s="56" t="s">
        <v>8</v>
      </c>
      <c r="B107" s="56" t="s">
        <v>7</v>
      </c>
      <c r="C107" s="56" t="s">
        <v>6</v>
      </c>
      <c r="D107" s="56" t="s">
        <v>5</v>
      </c>
      <c r="E107" s="72" t="s">
        <v>3</v>
      </c>
      <c r="F107" s="57" t="s">
        <v>4</v>
      </c>
      <c r="G107" s="56" t="s">
        <v>0</v>
      </c>
      <c r="H107" s="57" t="s">
        <v>4</v>
      </c>
      <c r="I107" s="56" t="s">
        <v>0</v>
      </c>
      <c r="J107" s="57" t="s">
        <v>4</v>
      </c>
      <c r="K107" s="56" t="s">
        <v>0</v>
      </c>
      <c r="L107" s="57" t="s">
        <v>4</v>
      </c>
      <c r="M107" s="56" t="s">
        <v>0</v>
      </c>
      <c r="N107" s="57" t="s">
        <v>4</v>
      </c>
      <c r="O107" s="56" t="s">
        <v>0</v>
      </c>
      <c r="P107" s="57" t="s">
        <v>4</v>
      </c>
      <c r="Q107" s="56" t="s">
        <v>0</v>
      </c>
      <c r="R107" s="57" t="s">
        <v>4</v>
      </c>
      <c r="S107" s="56" t="s">
        <v>0</v>
      </c>
      <c r="T107" s="62" t="s">
        <v>4</v>
      </c>
      <c r="U107" s="63" t="s">
        <v>0</v>
      </c>
      <c r="V107" s="64" t="s">
        <v>4</v>
      </c>
      <c r="W107" s="65" t="s">
        <v>0</v>
      </c>
      <c r="X107" s="66" t="s">
        <v>4</v>
      </c>
      <c r="Y107" s="67" t="s">
        <v>0</v>
      </c>
      <c r="Z107" s="68" t="s">
        <v>4</v>
      </c>
      <c r="AA107" s="69" t="s">
        <v>0</v>
      </c>
      <c r="AB107" s="60" t="s">
        <v>4</v>
      </c>
      <c r="AC107" s="61" t="s">
        <v>0</v>
      </c>
      <c r="AD107" s="66" t="s">
        <v>4</v>
      </c>
      <c r="AE107" s="67" t="s">
        <v>0</v>
      </c>
      <c r="AF107" s="58" t="s">
        <v>4</v>
      </c>
      <c r="AG107" s="59" t="s">
        <v>0</v>
      </c>
      <c r="AH107" s="60" t="s">
        <v>4</v>
      </c>
      <c r="AI107" s="61" t="s">
        <v>0</v>
      </c>
      <c r="AJ107" s="57" t="s">
        <v>4</v>
      </c>
      <c r="AK107" s="56" t="s">
        <v>0</v>
      </c>
      <c r="AL107" s="57" t="s">
        <v>4</v>
      </c>
      <c r="AM107" s="56" t="s">
        <v>0</v>
      </c>
      <c r="AN107" s="57" t="s">
        <v>4</v>
      </c>
      <c r="AO107" s="56" t="s">
        <v>0</v>
      </c>
      <c r="AP107" s="57" t="s">
        <v>4</v>
      </c>
      <c r="AQ107" s="56" t="s">
        <v>0</v>
      </c>
      <c r="AR107" s="172"/>
      <c r="AS107" s="172"/>
    </row>
    <row r="108" spans="1:52" ht="76.5" x14ac:dyDescent="0.2">
      <c r="A108" s="117">
        <v>8</v>
      </c>
      <c r="B108" s="197" t="s">
        <v>83</v>
      </c>
      <c r="C108" s="52" t="s">
        <v>1</v>
      </c>
      <c r="D108" s="104">
        <f>(20000+35000+1000*5*2)/10000</f>
        <v>6.5</v>
      </c>
      <c r="E108" s="163">
        <v>5</v>
      </c>
      <c r="F108" s="20">
        <v>250000</v>
      </c>
      <c r="G108" s="166">
        <f>ROUND(D108*E108*F108,0)</f>
        <v>8125000</v>
      </c>
      <c r="H108" s="20">
        <v>612439.14</v>
      </c>
      <c r="I108" s="166">
        <f>ROUND(D108*E108*H108,0)</f>
        <v>19904272</v>
      </c>
      <c r="J108" s="20">
        <v>270000</v>
      </c>
      <c r="K108" s="166">
        <f>ROUND(D108*E108*J108,0)</f>
        <v>8775000</v>
      </c>
      <c r="L108" s="20">
        <v>250000</v>
      </c>
      <c r="M108" s="20">
        <f>L108*E108*D108</f>
        <v>8125000</v>
      </c>
      <c r="N108" s="167">
        <v>280000</v>
      </c>
      <c r="O108" s="167">
        <f>D108*E108*N108</f>
        <v>9100000</v>
      </c>
      <c r="P108" s="20">
        <v>300000</v>
      </c>
      <c r="Q108" s="23">
        <f>D108*E108*P108</f>
        <v>9750000</v>
      </c>
      <c r="R108" s="36">
        <v>310000</v>
      </c>
      <c r="S108" s="36">
        <f>D108*E108*R108</f>
        <v>10075000</v>
      </c>
      <c r="T108" s="40">
        <v>335000</v>
      </c>
      <c r="U108" s="36">
        <f>D108*E108*T108</f>
        <v>10887500</v>
      </c>
      <c r="V108" s="132"/>
      <c r="W108" s="132">
        <f>D108*E108*V108</f>
        <v>0</v>
      </c>
      <c r="X108" s="97"/>
      <c r="Y108" s="97">
        <f>D108*E108*X108</f>
        <v>0</v>
      </c>
      <c r="Z108" s="98"/>
      <c r="AA108" s="98">
        <f>D108*E108*Z108</f>
        <v>0</v>
      </c>
      <c r="AB108" s="23"/>
      <c r="AC108" s="23">
        <f>D108*E108*AB108</f>
        <v>0</v>
      </c>
      <c r="AD108" s="97">
        <f>252094*1.0366*1.0677*1.0575</f>
        <v>295055.24050099717</v>
      </c>
      <c r="AE108" s="97">
        <f>D108*E108*AD108</f>
        <v>9589295.3162824083</v>
      </c>
      <c r="AF108" s="30">
        <f>257302*1.0677*1.0575</f>
        <v>290517.82276050007</v>
      </c>
      <c r="AG108" s="30">
        <f>D108*E108*AF108</f>
        <v>9441829.2397162523</v>
      </c>
      <c r="AH108" s="30">
        <f>304560*1.0575</f>
        <v>322072.2</v>
      </c>
      <c r="AI108" s="30">
        <f>ROUND((D108*E108*AH108),0)</f>
        <v>10467347</v>
      </c>
      <c r="AJ108" s="17">
        <f>ROUND((AVERAGE(F108,H108,J108,L108,N108,P108,R108,T108,AD108,AF108,AH108)),0)</f>
        <v>319553</v>
      </c>
      <c r="AK108" s="17">
        <f>ROUND((D108*E108*AJ108),0)</f>
        <v>10385473</v>
      </c>
      <c r="AL108" s="17">
        <f>ROUND((MEDIAN(F108,H108,J108,L108,N108,P108,R108,T108,AD108,AF108,AH108)),0)</f>
        <v>295055</v>
      </c>
      <c r="AM108" s="17">
        <f>ROUND((D108*E108*AL108),0)</f>
        <v>9589288</v>
      </c>
      <c r="AN108" s="17">
        <f>ROUND((HARMEAN(F108,H108,J108,L108,N108,P108,R108,T108,AD108,AF108,AH108)),0)</f>
        <v>302294</v>
      </c>
      <c r="AO108" s="17">
        <f>ROUND((D108*E108*AN108),0)</f>
        <v>9824555</v>
      </c>
      <c r="AP108" s="17">
        <f>ROUND((GEOMEAN(F108,H108,J108,L108,N108,P108,R108,T108,AD108,AF108,AH108)),0)</f>
        <v>309419</v>
      </c>
      <c r="AQ108" s="17">
        <f>ROUND((D108*E108*AP108),0)</f>
        <v>10056118</v>
      </c>
      <c r="AR108" s="172"/>
      <c r="AS108" s="172"/>
    </row>
    <row r="109" spans="1:52" ht="88.5" customHeight="1" x14ac:dyDescent="0.2">
      <c r="A109" s="117">
        <v>9</v>
      </c>
      <c r="B109" s="197" t="s">
        <v>84</v>
      </c>
      <c r="C109" s="52" t="s">
        <v>2</v>
      </c>
      <c r="D109" s="104">
        <f>960</f>
        <v>960</v>
      </c>
      <c r="E109" s="163">
        <v>5</v>
      </c>
      <c r="F109" s="20">
        <v>1500</v>
      </c>
      <c r="G109" s="166">
        <f>ROUND(D109*E109*F109,0)</f>
        <v>7200000</v>
      </c>
      <c r="H109" s="20">
        <v>6500</v>
      </c>
      <c r="I109" s="166">
        <f>ROUND(D109*E109*H109,0)</f>
        <v>31200000</v>
      </c>
      <c r="J109" s="20">
        <v>1700</v>
      </c>
      <c r="K109" s="166">
        <f>ROUND(D109*E109*J109,0)</f>
        <v>8160000</v>
      </c>
      <c r="L109" s="20">
        <v>1900</v>
      </c>
      <c r="M109" s="20">
        <f>L109*E109*D109</f>
        <v>9120000</v>
      </c>
      <c r="N109" s="167">
        <v>2100</v>
      </c>
      <c r="O109" s="167">
        <f>D109*E109*N109</f>
        <v>10080000</v>
      </c>
      <c r="P109" s="20">
        <v>2950</v>
      </c>
      <c r="Q109" s="23">
        <f>D109*E109*P109</f>
        <v>14160000</v>
      </c>
      <c r="R109" s="36">
        <v>2700</v>
      </c>
      <c r="S109" s="36">
        <f>D109*E109*R109</f>
        <v>12960000</v>
      </c>
      <c r="T109" s="40">
        <v>2800</v>
      </c>
      <c r="U109" s="36">
        <f>D109*E109*T109</f>
        <v>13440000</v>
      </c>
      <c r="V109" s="132"/>
      <c r="W109" s="132">
        <f>D109*E109*V109</f>
        <v>0</v>
      </c>
      <c r="X109" s="97"/>
      <c r="Y109" s="97">
        <f>D109*E109*X109</f>
        <v>0</v>
      </c>
      <c r="Z109" s="98"/>
      <c r="AA109" s="98">
        <f>D109*E109*Z109</f>
        <v>0</v>
      </c>
      <c r="AB109" s="23"/>
      <c r="AC109" s="23">
        <f>D109*E109*AB109</f>
        <v>0</v>
      </c>
      <c r="AD109" s="97">
        <f>1824*1.0366*1.0677*1.0575</f>
        <v>2134.8416014416002</v>
      </c>
      <c r="AE109" s="97">
        <f>D109*E109*AD109</f>
        <v>10247239.686919682</v>
      </c>
      <c r="AF109" s="30">
        <f>1808*1.0677*1.0575</f>
        <v>2041.3996920000004</v>
      </c>
      <c r="AG109" s="30">
        <f>D109*E109*AF109</f>
        <v>9798718.5216000024</v>
      </c>
      <c r="AH109" s="30">
        <f>1642*1.0575</f>
        <v>1736.4150000000002</v>
      </c>
      <c r="AI109" s="30">
        <f>ROUND((D109*E109*AH109),0)</f>
        <v>8334792</v>
      </c>
      <c r="AJ109" s="17">
        <f>ROUND((AVERAGE(F109,H109,J109,L109,N109,P109,R109,T109,AD109,AF109,AH109)),0)</f>
        <v>2551</v>
      </c>
      <c r="AK109" s="17">
        <f>ROUND((D109*E109*AJ109),0)</f>
        <v>12244800</v>
      </c>
      <c r="AL109" s="17">
        <f>ROUND((MEDIAN(F109,H109,J109,L109,N109,P109,R109,T109,AD109,AF109,AH109)),0)</f>
        <v>2100</v>
      </c>
      <c r="AM109" s="17">
        <f>ROUND((D109*E109*AL109),0)</f>
        <v>10080000</v>
      </c>
      <c r="AN109" s="17">
        <f>ROUND((HARMEAN(F109,H109,J109,L109,N109,P109,R109,T109,AD109,AF109,AH109)),0)</f>
        <v>2195</v>
      </c>
      <c r="AO109" s="17">
        <f>ROUND((D109*E109*AN109),0)</f>
        <v>10536000</v>
      </c>
      <c r="AP109" s="17">
        <f>ROUND((GEOMEAN(F109,H109,J109,L109,N109,P109,R109,T109,AD109,AF109,AH109)),0)</f>
        <v>2333</v>
      </c>
      <c r="AQ109" s="17">
        <f>ROUND((D109*E109*AP109),0)</f>
        <v>11198400</v>
      </c>
      <c r="AR109" s="172"/>
      <c r="AS109" s="172"/>
    </row>
    <row r="110" spans="1:52" ht="76.5" x14ac:dyDescent="0.2">
      <c r="A110" s="117">
        <v>10</v>
      </c>
      <c r="B110" s="197" t="s">
        <v>85</v>
      </c>
      <c r="C110" s="52" t="s">
        <v>86</v>
      </c>
      <c r="D110" s="104">
        <v>1</v>
      </c>
      <c r="E110" s="163">
        <v>5</v>
      </c>
      <c r="F110" s="20">
        <v>2500000</v>
      </c>
      <c r="G110" s="166">
        <f>ROUND(D110*E110*F110,0)</f>
        <v>12500000</v>
      </c>
      <c r="H110" s="20"/>
      <c r="I110" s="166">
        <f>ROUND(D110*E110*H110,0)</f>
        <v>0</v>
      </c>
      <c r="J110" s="20">
        <v>2200000</v>
      </c>
      <c r="K110" s="166">
        <f>ROUND(D110*E110*J110,0)</f>
        <v>11000000</v>
      </c>
      <c r="L110" s="20">
        <v>2000000</v>
      </c>
      <c r="M110" s="20">
        <f>L110*E110*D110</f>
        <v>10000000</v>
      </c>
      <c r="N110" s="167">
        <v>2300000</v>
      </c>
      <c r="O110" s="167">
        <f>D110*E110*N110</f>
        <v>11500000</v>
      </c>
      <c r="P110" s="20">
        <v>2100000</v>
      </c>
      <c r="Q110" s="23">
        <f>D110*E110*P110</f>
        <v>10500000</v>
      </c>
      <c r="R110" s="36">
        <v>2680000</v>
      </c>
      <c r="S110" s="36">
        <f>D110*E110*R110</f>
        <v>13400000</v>
      </c>
      <c r="T110" s="40">
        <v>2300000</v>
      </c>
      <c r="U110" s="36">
        <f>D110*E110*T110</f>
        <v>11500000</v>
      </c>
      <c r="V110" s="132"/>
      <c r="W110" s="132">
        <f>D110*E110*V110</f>
        <v>0</v>
      </c>
      <c r="X110" s="97"/>
      <c r="Y110" s="97">
        <f>D110*E110*X110</f>
        <v>0</v>
      </c>
      <c r="Z110" s="98"/>
      <c r="AA110" s="98">
        <f>D110*E110*Z110</f>
        <v>0</v>
      </c>
      <c r="AB110" s="23"/>
      <c r="AC110" s="23">
        <f>D110*E110*AB110</f>
        <v>0</v>
      </c>
      <c r="AD110" s="97">
        <f>3753647*1.0366*1.0677*1.0575</f>
        <v>4393334.3052228391</v>
      </c>
      <c r="AE110" s="97">
        <f>D110*E110*AD110</f>
        <v>21966671.526114196</v>
      </c>
      <c r="AF110" s="30">
        <f>1769820*1.0677*1.0575</f>
        <v>1998290.9308050005</v>
      </c>
      <c r="AG110" s="30">
        <f>D110*E110*AF110</f>
        <v>9991454.6540250033</v>
      </c>
      <c r="AH110" s="30">
        <f>2288217*1.0575</f>
        <v>2419789.4775</v>
      </c>
      <c r="AI110" s="30">
        <f>ROUND((D110*E110*AH110),0)</f>
        <v>12098947</v>
      </c>
      <c r="AJ110" s="17">
        <f>ROUND((AVERAGE(F110,H110,J110,L110,N110,P110,R110,T110,AD110,AF110,AH110)),0)</f>
        <v>2489141</v>
      </c>
      <c r="AK110" s="17">
        <f>ROUND((D110*E110*AJ110),0)</f>
        <v>12445705</v>
      </c>
      <c r="AL110" s="17">
        <f>ROUND((MEDIAN(F110,H110,J110,L110,N110,P110,R110,T110,AD110,AF110,AH110)),0)</f>
        <v>2300000</v>
      </c>
      <c r="AM110" s="17">
        <f>ROUND((D110*E110*AL110),0)</f>
        <v>11500000</v>
      </c>
      <c r="AN110" s="17">
        <f>ROUND((HARMEAN(F110,H110,J110,L110,N110,P110,R110,T110,AD110,AF110,AH110)),0)</f>
        <v>2372626</v>
      </c>
      <c r="AO110" s="17">
        <f>ROUND((D110*E110*AN110),0)</f>
        <v>11863130</v>
      </c>
      <c r="AP110" s="17">
        <f>ROUND((GEOMEAN(F110,H110,J110,L110,N110,P110,R110,T110,AD110,AF110,AH110)),0)</f>
        <v>2422386</v>
      </c>
      <c r="AQ110" s="17">
        <f>ROUND((D110*E110*AP110),0)</f>
        <v>12111930</v>
      </c>
      <c r="AR110" s="172"/>
      <c r="AS110" s="172"/>
    </row>
    <row r="111" spans="1:52" x14ac:dyDescent="0.2">
      <c r="A111" s="179"/>
      <c r="B111" s="70"/>
      <c r="C111" s="163"/>
      <c r="D111" s="71"/>
      <c r="E111" s="184"/>
      <c r="F111" s="52"/>
      <c r="G111" s="52"/>
      <c r="H111" s="184"/>
      <c r="I111" s="184"/>
      <c r="J111" s="184"/>
      <c r="K111" s="184"/>
      <c r="L111" s="20"/>
      <c r="M111" s="20"/>
      <c r="N111" s="167"/>
      <c r="O111" s="167"/>
      <c r="P111" s="23"/>
      <c r="Q111" s="23"/>
      <c r="R111" s="20"/>
      <c r="S111" s="20"/>
      <c r="T111" s="36"/>
      <c r="U111" s="36"/>
      <c r="V111" s="132"/>
      <c r="W111" s="132"/>
      <c r="X111" s="97"/>
      <c r="Y111" s="97"/>
      <c r="Z111" s="98"/>
      <c r="AA111" s="98"/>
      <c r="AB111" s="23"/>
      <c r="AC111" s="23"/>
      <c r="AD111" s="23"/>
      <c r="AE111" s="23"/>
      <c r="AF111" s="23"/>
      <c r="AG111" s="23"/>
      <c r="AH111" s="44"/>
      <c r="AI111" s="44"/>
      <c r="AJ111" s="44"/>
      <c r="AK111" s="44"/>
      <c r="AL111" s="17"/>
      <c r="AM111" s="44"/>
      <c r="AN111" s="44"/>
      <c r="AO111" s="44"/>
      <c r="AP111" s="44"/>
      <c r="AQ111" s="44"/>
      <c r="AR111" s="172"/>
      <c r="AS111" s="172"/>
    </row>
    <row r="112" spans="1:52" ht="15.75" x14ac:dyDescent="0.2">
      <c r="A112" s="179"/>
      <c r="B112" s="193" t="s">
        <v>150</v>
      </c>
      <c r="C112" s="45"/>
      <c r="D112" s="45"/>
      <c r="E112" s="45"/>
      <c r="F112" s="47"/>
      <c r="G112" s="46">
        <f>SUM(G108:G110)</f>
        <v>27825000</v>
      </c>
      <c r="H112" s="47"/>
      <c r="I112" s="46">
        <f>SUM(I108:I110)</f>
        <v>51104272</v>
      </c>
      <c r="J112" s="47"/>
      <c r="K112" s="46">
        <f>SUM(K108:K110)</f>
        <v>27935000</v>
      </c>
      <c r="L112" s="47"/>
      <c r="M112" s="46">
        <f>SUM(M108:M110)</f>
        <v>27245000</v>
      </c>
      <c r="N112" s="47"/>
      <c r="O112" s="46">
        <f>SUM(O108:O110)</f>
        <v>30680000</v>
      </c>
      <c r="P112" s="47"/>
      <c r="Q112" s="46">
        <f>SUM(Q108:Q110)</f>
        <v>34410000</v>
      </c>
      <c r="R112" s="47"/>
      <c r="S112" s="46">
        <f>SUM(S108:S110)</f>
        <v>36435000</v>
      </c>
      <c r="T112" s="47"/>
      <c r="U112" s="46">
        <f>SUM(U108:U110)</f>
        <v>35827500</v>
      </c>
      <c r="V112" s="47"/>
      <c r="W112" s="46">
        <f>SUM(W108:W110)</f>
        <v>0</v>
      </c>
      <c r="X112" s="47"/>
      <c r="Y112" s="46">
        <f>SUM(Y108:Y110)</f>
        <v>0</v>
      </c>
      <c r="Z112" s="47"/>
      <c r="AA112" s="46">
        <f>SUM(AA108:AA110)</f>
        <v>0</v>
      </c>
      <c r="AB112" s="47"/>
      <c r="AC112" s="46">
        <f>SUM(AC108:AC110)</f>
        <v>0</v>
      </c>
      <c r="AD112" s="47"/>
      <c r="AE112" s="46">
        <f>SUM(AE108:AE110)</f>
        <v>41803206.529316284</v>
      </c>
      <c r="AF112" s="47"/>
      <c r="AG112" s="46">
        <f>SUM(AG108:AG110)</f>
        <v>29232002.415341258</v>
      </c>
      <c r="AH112" s="47"/>
      <c r="AI112" s="46">
        <f>SUM(AI108:AI110)</f>
        <v>30901086</v>
      </c>
      <c r="AJ112" s="48"/>
      <c r="AK112" s="194">
        <f>SUM(AK108:AK110)</f>
        <v>35075978</v>
      </c>
      <c r="AL112" s="48"/>
      <c r="AM112" s="194">
        <f>SUM(AM108:AM110)</f>
        <v>31169288</v>
      </c>
      <c r="AN112" s="48"/>
      <c r="AO112" s="194">
        <f>SUM(AO108:AO110)</f>
        <v>32223685</v>
      </c>
      <c r="AP112" s="48"/>
      <c r="AQ112" s="194">
        <f>SUM(AQ108:AQ110)</f>
        <v>33366448</v>
      </c>
      <c r="AR112" s="172"/>
      <c r="AS112" s="172"/>
    </row>
    <row r="113" spans="1:53" ht="15.75" x14ac:dyDescent="0.2">
      <c r="A113" s="179"/>
      <c r="B113" s="193" t="s">
        <v>151</v>
      </c>
      <c r="C113" s="45"/>
      <c r="D113" s="45"/>
      <c r="E113" s="185"/>
      <c r="F113" s="181">
        <v>0.19</v>
      </c>
      <c r="G113" s="46">
        <f>ROUND(G112*F113,0)</f>
        <v>5286750</v>
      </c>
      <c r="H113" s="181">
        <v>0.19</v>
      </c>
      <c r="I113" s="46">
        <f>ROUND(I112*H113,0)</f>
        <v>9709812</v>
      </c>
      <c r="J113" s="181">
        <v>0.19</v>
      </c>
      <c r="K113" s="46">
        <f>ROUND(K112*J113,0)</f>
        <v>5307650</v>
      </c>
      <c r="L113" s="181">
        <v>0.19</v>
      </c>
      <c r="M113" s="46">
        <f>ROUND(M112*L113,0)</f>
        <v>5176550</v>
      </c>
      <c r="N113" s="181">
        <v>0.19</v>
      </c>
      <c r="O113" s="46">
        <f>ROUND(O112*N113,0)</f>
        <v>5829200</v>
      </c>
      <c r="P113" s="181">
        <v>0.19</v>
      </c>
      <c r="Q113" s="46">
        <f>ROUND(Q112*P113,0)</f>
        <v>6537900</v>
      </c>
      <c r="R113" s="181">
        <v>0.19</v>
      </c>
      <c r="S113" s="46">
        <f>ROUND(S112*R113,0)</f>
        <v>6922650</v>
      </c>
      <c r="T113" s="181">
        <v>0.19</v>
      </c>
      <c r="U113" s="46">
        <f>ROUND(U112*T113,0)</f>
        <v>6807225</v>
      </c>
      <c r="V113" s="181">
        <v>0.19</v>
      </c>
      <c r="W113" s="46">
        <f>ROUND(W112*V113,0)</f>
        <v>0</v>
      </c>
      <c r="X113" s="181">
        <v>0.19</v>
      </c>
      <c r="Y113" s="46">
        <f>ROUND(Y112*X113,0)</f>
        <v>0</v>
      </c>
      <c r="Z113" s="181">
        <v>0.19</v>
      </c>
      <c r="AA113" s="46">
        <f>ROUND(AA112*Z113,0)</f>
        <v>0</v>
      </c>
      <c r="AB113" s="181">
        <v>0.19</v>
      </c>
      <c r="AC113" s="46">
        <f>ROUND(AC112*AB113,0)</f>
        <v>0</v>
      </c>
      <c r="AD113" s="181">
        <v>0.19</v>
      </c>
      <c r="AE113" s="46">
        <f>ROUND(AE112*AD113,0)</f>
        <v>7942609</v>
      </c>
      <c r="AF113" s="181">
        <v>0.19</v>
      </c>
      <c r="AG113" s="46">
        <f>ROUND(AG112*AF113,0)</f>
        <v>5554080</v>
      </c>
      <c r="AH113" s="181">
        <v>0.19</v>
      </c>
      <c r="AI113" s="46">
        <f>ROUND(AI112*AH113,0)</f>
        <v>5871206</v>
      </c>
      <c r="AJ113" s="195">
        <v>0.19</v>
      </c>
      <c r="AK113" s="194">
        <f>ROUND(AK112*AJ113,0)</f>
        <v>6664436</v>
      </c>
      <c r="AL113" s="195">
        <v>0.19</v>
      </c>
      <c r="AM113" s="194">
        <f>ROUND(AM112*AL113,0)</f>
        <v>5922165</v>
      </c>
      <c r="AN113" s="195">
        <v>0.19</v>
      </c>
      <c r="AO113" s="194">
        <f>ROUND(AO112*AN113,0)</f>
        <v>6122500</v>
      </c>
      <c r="AP113" s="195">
        <v>0.19</v>
      </c>
      <c r="AQ113" s="194">
        <f>ROUND(AQ112*AP113,0)</f>
        <v>6339625</v>
      </c>
      <c r="AR113" s="172"/>
      <c r="AS113" s="172"/>
    </row>
    <row r="114" spans="1:53" ht="15.75" x14ac:dyDescent="0.2">
      <c r="A114" s="179"/>
      <c r="B114" s="165" t="s">
        <v>135</v>
      </c>
      <c r="C114" s="45"/>
      <c r="D114" s="45"/>
      <c r="E114" s="45"/>
      <c r="F114" s="47"/>
      <c r="G114" s="46">
        <f>SUM(G112:G113)</f>
        <v>33111750</v>
      </c>
      <c r="H114" s="47"/>
      <c r="I114" s="46">
        <f>SUM(I112:I113)</f>
        <v>60814084</v>
      </c>
      <c r="J114" s="47"/>
      <c r="K114" s="46">
        <f>SUM(K112:K113)</f>
        <v>33242650</v>
      </c>
      <c r="L114" s="47"/>
      <c r="M114" s="46">
        <f>SUM(M112:M113)</f>
        <v>32421550</v>
      </c>
      <c r="N114" s="47"/>
      <c r="O114" s="46">
        <f>SUM(O112:O113)</f>
        <v>36509200</v>
      </c>
      <c r="P114" s="47"/>
      <c r="Q114" s="46">
        <f>SUM(Q112:Q113)</f>
        <v>40947900</v>
      </c>
      <c r="R114" s="47"/>
      <c r="S114" s="46">
        <f>SUM(S112:S113)</f>
        <v>43357650</v>
      </c>
      <c r="T114" s="47"/>
      <c r="U114" s="46">
        <f>SUM(U112:U113)</f>
        <v>42634725</v>
      </c>
      <c r="V114" s="47"/>
      <c r="W114" s="46">
        <f>SUM(W112:W113)</f>
        <v>0</v>
      </c>
      <c r="X114" s="47"/>
      <c r="Y114" s="46">
        <f>SUM(Y112:Y113)</f>
        <v>0</v>
      </c>
      <c r="Z114" s="47"/>
      <c r="AA114" s="46">
        <f>SUM(AA112:AA113)</f>
        <v>0</v>
      </c>
      <c r="AB114" s="47"/>
      <c r="AC114" s="46">
        <f>SUM(AC112:AC113)</f>
        <v>0</v>
      </c>
      <c r="AD114" s="47"/>
      <c r="AE114" s="46">
        <f>SUM(AE112:AE113)</f>
        <v>49745815.529316284</v>
      </c>
      <c r="AF114" s="47"/>
      <c r="AG114" s="46">
        <f>SUM(AG112:AG113)</f>
        <v>34786082.415341258</v>
      </c>
      <c r="AH114" s="47"/>
      <c r="AI114" s="46">
        <f>SUM(AI112:AI113)</f>
        <v>36772292</v>
      </c>
      <c r="AJ114" s="48"/>
      <c r="AK114" s="194">
        <f>SUM(AK112:AK113)</f>
        <v>41740414</v>
      </c>
      <c r="AL114" s="48"/>
      <c r="AM114" s="194">
        <f>SUM(AM112:AM113)</f>
        <v>37091453</v>
      </c>
      <c r="AN114" s="48"/>
      <c r="AO114" s="194">
        <f>SUM(AO112:AO113)</f>
        <v>38346185</v>
      </c>
      <c r="AP114" s="48"/>
      <c r="AQ114" s="194">
        <f>SUM(AQ112:AQ113)</f>
        <v>39706073</v>
      </c>
      <c r="AR114" s="172"/>
      <c r="AS114" s="172"/>
    </row>
    <row r="115" spans="1:53" x14ac:dyDescent="0.2">
      <c r="A115" s="177"/>
      <c r="B115" s="172"/>
      <c r="C115" s="172"/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  <c r="R115" s="172"/>
      <c r="S115" s="172"/>
      <c r="T115" s="172"/>
      <c r="U115" s="172"/>
      <c r="V115" s="172"/>
      <c r="W115" s="172"/>
      <c r="X115" s="172"/>
      <c r="Y115" s="172"/>
      <c r="Z115" s="172"/>
      <c r="AA115" s="172"/>
      <c r="AB115" s="172"/>
      <c r="AC115" s="172"/>
      <c r="AD115" s="172"/>
      <c r="AE115" s="172"/>
      <c r="AF115" s="172"/>
      <c r="AG115" s="172"/>
      <c r="AH115" s="172"/>
      <c r="AI115" s="172"/>
      <c r="AJ115" s="172"/>
      <c r="AK115" s="172"/>
      <c r="AL115" s="172"/>
      <c r="AM115" s="172"/>
      <c r="AN115" s="172"/>
      <c r="AO115" s="172"/>
      <c r="AP115" s="172"/>
      <c r="AQ115" s="172"/>
      <c r="AR115" s="172"/>
      <c r="AS115" s="172"/>
    </row>
    <row r="116" spans="1:53" x14ac:dyDescent="0.2">
      <c r="A116" s="177"/>
      <c r="B116" s="172"/>
      <c r="C116" s="172"/>
      <c r="D116" s="172"/>
      <c r="E116" s="172"/>
      <c r="F116" s="172"/>
      <c r="G116" s="172"/>
      <c r="H116" s="172"/>
      <c r="I116" s="172"/>
      <c r="J116" s="172"/>
      <c r="K116" s="172"/>
      <c r="L116" s="172"/>
      <c r="M116" s="172"/>
      <c r="N116" s="172"/>
      <c r="O116" s="172"/>
      <c r="P116" s="172"/>
      <c r="Q116" s="172"/>
      <c r="R116" s="172"/>
      <c r="S116" s="172"/>
      <c r="T116" s="172"/>
      <c r="U116" s="172"/>
      <c r="V116" s="172"/>
      <c r="W116" s="172"/>
      <c r="X116" s="172"/>
      <c r="Y116" s="172"/>
      <c r="Z116" s="172"/>
      <c r="AA116" s="172"/>
      <c r="AB116" s="172"/>
      <c r="AC116" s="172"/>
      <c r="AD116" s="172"/>
      <c r="AE116" s="172"/>
      <c r="AF116" s="172"/>
      <c r="AG116" s="172"/>
      <c r="AH116" s="172"/>
      <c r="AI116" s="172"/>
      <c r="AJ116" s="172"/>
      <c r="AK116" s="172"/>
      <c r="AL116" s="172"/>
      <c r="AM116" s="172"/>
      <c r="AN116" s="172"/>
      <c r="AO116" s="172"/>
      <c r="AP116" s="172"/>
      <c r="AQ116" s="172"/>
      <c r="AR116" s="172"/>
      <c r="AS116" s="172"/>
    </row>
    <row r="117" spans="1:53" ht="60.75" customHeight="1" x14ac:dyDescent="0.2">
      <c r="B117" s="190"/>
      <c r="C117" s="190"/>
      <c r="D117" s="190"/>
      <c r="E117" s="190"/>
      <c r="F117" s="315" t="str">
        <f>UPPER("OBJETO:Contratar el Mantenimiento de las zonas seguridad y canales del aeropuerto Reyes Murillo de Nuqui - Chocó")</f>
        <v>OBJETO:CONTRATAR EL MANTENIMIENTO DE LAS ZONAS SEGURIDAD Y CANALES DEL AEROPUERTO REYES MURILLO DE NUQUI - CHOCÓ</v>
      </c>
      <c r="G117" s="315"/>
      <c r="H117" s="315"/>
      <c r="I117" s="315"/>
      <c r="J117" s="315"/>
      <c r="K117" s="315"/>
      <c r="L117" s="315"/>
      <c r="M117" s="315"/>
      <c r="N117" s="315"/>
      <c r="O117" s="315"/>
      <c r="P117" s="315"/>
      <c r="Q117" s="315"/>
      <c r="R117" s="315"/>
      <c r="S117" s="315"/>
      <c r="T117" s="315"/>
      <c r="U117" s="315"/>
      <c r="V117" s="190"/>
      <c r="W117" s="190"/>
      <c r="X117" s="190"/>
      <c r="Y117" s="190"/>
      <c r="Z117" s="190"/>
      <c r="AA117" s="190"/>
      <c r="AB117" s="190"/>
      <c r="AC117" s="190"/>
      <c r="AD117" s="190"/>
      <c r="AE117" s="190"/>
      <c r="AF117" s="190"/>
      <c r="AG117" s="190"/>
      <c r="AH117" s="190"/>
      <c r="AI117" s="190"/>
      <c r="AJ117" s="190"/>
      <c r="AK117" s="190"/>
      <c r="AL117" s="315" t="str">
        <f>UPPER("OBJETO:Contratar el Mantenimiento de las zonas seguridad y canales del aeropuerto Reyes Murillo de Nuqui - Chocó")</f>
        <v>OBJETO:CONTRATAR EL MANTENIMIENTO DE LAS ZONAS SEGURIDAD Y CANALES DEL AEROPUERTO REYES MURILLO DE NUQUI - CHOCÓ</v>
      </c>
      <c r="AM117" s="315"/>
      <c r="AN117" s="315"/>
      <c r="AO117" s="315"/>
      <c r="AP117" s="315"/>
      <c r="AQ117" s="315"/>
      <c r="AR117" s="315"/>
      <c r="AS117" s="315"/>
      <c r="AT117" s="190"/>
      <c r="AU117" s="190"/>
      <c r="AV117" s="190"/>
      <c r="AW117" s="190"/>
      <c r="AX117" s="190"/>
      <c r="AY117" s="190"/>
      <c r="AZ117" s="190"/>
      <c r="BA117" s="190"/>
    </row>
    <row r="118" spans="1:53" ht="21" customHeight="1" x14ac:dyDescent="0.2">
      <c r="B118" s="191" t="s">
        <v>9</v>
      </c>
      <c r="C118" s="191"/>
      <c r="D118" s="191"/>
      <c r="E118" s="191"/>
      <c r="F118" s="191"/>
      <c r="G118" s="191"/>
      <c r="H118" s="191"/>
      <c r="I118" s="191"/>
      <c r="J118" s="191"/>
      <c r="K118" s="191"/>
      <c r="L118" s="191"/>
      <c r="M118" s="191"/>
      <c r="N118" s="191"/>
      <c r="O118" s="191"/>
      <c r="P118" s="191"/>
      <c r="Q118" s="191"/>
      <c r="R118" s="191"/>
      <c r="S118" s="191"/>
      <c r="T118" s="191"/>
      <c r="U118" s="191"/>
      <c r="V118" s="191"/>
      <c r="W118" s="191"/>
      <c r="X118" s="191"/>
      <c r="Y118" s="191"/>
      <c r="Z118" s="191"/>
      <c r="AA118" s="191"/>
      <c r="AB118" s="191"/>
      <c r="AC118" s="191"/>
      <c r="AD118" s="191"/>
      <c r="AE118" s="191"/>
      <c r="AF118" s="191"/>
      <c r="AG118" s="191"/>
      <c r="AH118" s="191"/>
      <c r="AI118" s="191"/>
      <c r="AJ118" s="191"/>
      <c r="AK118" s="191"/>
      <c r="AL118" s="191"/>
      <c r="AM118" s="191"/>
      <c r="AN118" s="172"/>
      <c r="AO118" s="172"/>
      <c r="AP118" s="172"/>
      <c r="AQ118" s="172"/>
      <c r="AR118" s="172"/>
      <c r="AS118" s="172"/>
    </row>
    <row r="119" spans="1:53" ht="128.25" customHeight="1" x14ac:dyDescent="0.2">
      <c r="A119" s="177"/>
      <c r="B119" s="178" t="s">
        <v>136</v>
      </c>
      <c r="C119" s="172"/>
      <c r="D119" s="172"/>
      <c r="E119" s="172"/>
      <c r="F119" s="303" t="s">
        <v>133</v>
      </c>
      <c r="G119" s="304"/>
      <c r="H119" s="303" t="s">
        <v>138</v>
      </c>
      <c r="I119" s="304"/>
      <c r="J119" s="303" t="s">
        <v>130</v>
      </c>
      <c r="K119" s="304"/>
      <c r="L119" s="303" t="s">
        <v>40</v>
      </c>
      <c r="M119" s="304"/>
      <c r="N119" s="303" t="s">
        <v>41</v>
      </c>
      <c r="O119" s="304"/>
      <c r="P119" s="305" t="s">
        <v>42</v>
      </c>
      <c r="Q119" s="306"/>
      <c r="R119" s="303" t="s">
        <v>43</v>
      </c>
      <c r="S119" s="304"/>
      <c r="T119" s="303" t="s">
        <v>22</v>
      </c>
      <c r="U119" s="304"/>
      <c r="V119" s="307" t="s">
        <v>88</v>
      </c>
      <c r="W119" s="308"/>
      <c r="X119" s="300" t="s">
        <v>89</v>
      </c>
      <c r="Y119" s="301"/>
      <c r="Z119" s="309" t="s">
        <v>90</v>
      </c>
      <c r="AA119" s="310"/>
      <c r="AB119" s="294" t="s">
        <v>49</v>
      </c>
      <c r="AC119" s="295"/>
      <c r="AD119" s="298" t="s">
        <v>91</v>
      </c>
      <c r="AE119" s="299"/>
      <c r="AF119" s="300" t="s">
        <v>92</v>
      </c>
      <c r="AG119" s="301"/>
      <c r="AH119" s="298" t="s">
        <v>93</v>
      </c>
      <c r="AI119" s="299"/>
      <c r="AJ119" s="294" t="s">
        <v>94</v>
      </c>
      <c r="AK119" s="295"/>
      <c r="AL119" s="296" t="s">
        <v>12</v>
      </c>
      <c r="AM119" s="297"/>
      <c r="AN119" s="296" t="s">
        <v>16</v>
      </c>
      <c r="AO119" s="297"/>
      <c r="AP119" s="296" t="s">
        <v>17</v>
      </c>
      <c r="AQ119" s="297"/>
      <c r="AR119" s="296" t="s">
        <v>18</v>
      </c>
      <c r="AS119" s="297"/>
    </row>
    <row r="120" spans="1:53" ht="24" x14ac:dyDescent="0.2">
      <c r="A120" s="56" t="s">
        <v>8</v>
      </c>
      <c r="B120" s="56" t="s">
        <v>7</v>
      </c>
      <c r="C120" s="56" t="s">
        <v>6</v>
      </c>
      <c r="D120" s="56" t="s">
        <v>5</v>
      </c>
      <c r="E120" s="56" t="s">
        <v>3</v>
      </c>
      <c r="F120" s="57" t="s">
        <v>4</v>
      </c>
      <c r="G120" s="56" t="s">
        <v>0</v>
      </c>
      <c r="H120" s="57" t="s">
        <v>4</v>
      </c>
      <c r="I120" s="56" t="s">
        <v>0</v>
      </c>
      <c r="J120" s="57" t="s">
        <v>4</v>
      </c>
      <c r="K120" s="56" t="s">
        <v>0</v>
      </c>
      <c r="L120" s="57" t="s">
        <v>4</v>
      </c>
      <c r="M120" s="56" t="s">
        <v>0</v>
      </c>
      <c r="N120" s="57" t="s">
        <v>4</v>
      </c>
      <c r="O120" s="56" t="s">
        <v>0</v>
      </c>
      <c r="P120" s="57" t="s">
        <v>4</v>
      </c>
      <c r="Q120" s="56" t="s">
        <v>0</v>
      </c>
      <c r="R120" s="57" t="s">
        <v>4</v>
      </c>
      <c r="S120" s="56" t="s">
        <v>0</v>
      </c>
      <c r="T120" s="62" t="s">
        <v>4</v>
      </c>
      <c r="U120" s="63" t="s">
        <v>0</v>
      </c>
      <c r="V120" s="64" t="s">
        <v>4</v>
      </c>
      <c r="W120" s="65" t="s">
        <v>0</v>
      </c>
      <c r="X120" s="66" t="s">
        <v>4</v>
      </c>
      <c r="Y120" s="67" t="s">
        <v>0</v>
      </c>
      <c r="Z120" s="68" t="s">
        <v>4</v>
      </c>
      <c r="AA120" s="69" t="s">
        <v>0</v>
      </c>
      <c r="AB120" s="60" t="s">
        <v>4</v>
      </c>
      <c r="AC120" s="61" t="s">
        <v>0</v>
      </c>
      <c r="AD120" s="58" t="s">
        <v>4</v>
      </c>
      <c r="AE120" s="59" t="s">
        <v>0</v>
      </c>
      <c r="AF120" s="66" t="s">
        <v>4</v>
      </c>
      <c r="AG120" s="67" t="s">
        <v>0</v>
      </c>
      <c r="AH120" s="58" t="s">
        <v>4</v>
      </c>
      <c r="AI120" s="59" t="s">
        <v>0</v>
      </c>
      <c r="AJ120" s="60" t="s">
        <v>4</v>
      </c>
      <c r="AK120" s="61" t="s">
        <v>0</v>
      </c>
      <c r="AL120" s="57" t="s">
        <v>4</v>
      </c>
      <c r="AM120" s="56" t="s">
        <v>0</v>
      </c>
      <c r="AN120" s="57" t="s">
        <v>4</v>
      </c>
      <c r="AO120" s="56" t="s">
        <v>0</v>
      </c>
      <c r="AP120" s="57" t="s">
        <v>4</v>
      </c>
      <c r="AQ120" s="56" t="s">
        <v>0</v>
      </c>
      <c r="AR120" s="57" t="s">
        <v>4</v>
      </c>
      <c r="AS120" s="56" t="s">
        <v>0</v>
      </c>
    </row>
    <row r="121" spans="1:53" ht="63.75" x14ac:dyDescent="0.2">
      <c r="A121" s="124">
        <v>1</v>
      </c>
      <c r="B121" s="102" t="s">
        <v>13</v>
      </c>
      <c r="C121" s="125" t="s">
        <v>1</v>
      </c>
      <c r="D121" s="126">
        <v>16</v>
      </c>
      <c r="E121" s="125">
        <v>4</v>
      </c>
      <c r="F121" s="20">
        <v>450000</v>
      </c>
      <c r="G121" s="166">
        <f t="shared" ref="G121:G126" si="45">ROUND(D121*E121*F121,0)</f>
        <v>28800000</v>
      </c>
      <c r="H121" s="20">
        <v>758989</v>
      </c>
      <c r="I121" s="166">
        <f t="shared" ref="I121:I126" si="46">ROUND(D121*E121*H121,0)</f>
        <v>48575296</v>
      </c>
      <c r="J121" s="20">
        <v>330000</v>
      </c>
      <c r="K121" s="166">
        <f t="shared" ref="K121:K126" si="47">ROUND(D121*E121*J121,0)</f>
        <v>21120000</v>
      </c>
      <c r="L121" s="20">
        <v>350000</v>
      </c>
      <c r="M121" s="20">
        <f t="shared" ref="M121:M126" si="48">D121*E121*L121</f>
        <v>22400000</v>
      </c>
      <c r="N121" s="167">
        <v>340000</v>
      </c>
      <c r="O121" s="167">
        <f t="shared" ref="O121:O126" si="49">D121*E121*N121</f>
        <v>21760000</v>
      </c>
      <c r="P121" s="20">
        <v>350000</v>
      </c>
      <c r="Q121" s="23">
        <f t="shared" ref="Q121:Q126" si="50">D121*E121*P121</f>
        <v>22400000</v>
      </c>
      <c r="R121" s="36">
        <v>390000</v>
      </c>
      <c r="S121" s="20">
        <f t="shared" ref="S121:S126" si="51">D121*E121*R121</f>
        <v>24960000</v>
      </c>
      <c r="T121" s="40">
        <v>415000</v>
      </c>
      <c r="U121" s="36">
        <f t="shared" ref="U121:U126" si="52">D121*E121*T121</f>
        <v>26560000</v>
      </c>
      <c r="V121" s="132">
        <f>301700*1.0317*1.0373*1.0244*1.0194*1.0366*1.0677*1.0575</f>
        <v>394628.22214507172</v>
      </c>
      <c r="W121" s="132">
        <f t="shared" ref="W121:W126" si="53">D121*E121*V121</f>
        <v>25256206.21728459</v>
      </c>
      <c r="X121" s="97">
        <f>345000*1.0373*1.0244*1.0194*1.0366*1.0677*1.0575</f>
        <v>437399.71456390194</v>
      </c>
      <c r="Y121" s="97">
        <f t="shared" ref="Y121:Y126" si="54">D121*E121*X121</f>
        <v>27993581.732089724</v>
      </c>
      <c r="Z121" s="98">
        <f>227519*1.0244*1.0194*1.0366*1.0677*1.0575</f>
        <v>278081.88107604993</v>
      </c>
      <c r="AA121" s="98">
        <f>D121*E121*Z121</f>
        <v>17797240.388867196</v>
      </c>
      <c r="AB121" s="23">
        <f>312176*1.0194*1.0366*1.0677*1.0575</f>
        <v>372464.56700658047</v>
      </c>
      <c r="AC121" s="23">
        <f t="shared" ref="AC121:AC126" si="55">D121*E121*AB121</f>
        <v>23837732.28842115</v>
      </c>
      <c r="AD121" s="30">
        <f>347143*1.0194*1.0366*1.0677*1.0575</f>
        <v>414184.52150186227</v>
      </c>
      <c r="AE121" s="30">
        <f t="shared" ref="AE121:AE126" si="56">D121*E121*AD121</f>
        <v>26507809.376119185</v>
      </c>
      <c r="AF121" s="97">
        <f>297591*1.0366*1.0677*1.0575</f>
        <v>348305.72752993816</v>
      </c>
      <c r="AG121" s="97">
        <f t="shared" ref="AG121:AG126" si="57">D121*E121*AF121</f>
        <v>22291566.561916042</v>
      </c>
      <c r="AH121" s="30">
        <f>280294*1.0677*1.0575</f>
        <v>316477.92326850008</v>
      </c>
      <c r="AI121" s="30">
        <f t="shared" ref="AI121:AI126" si="58">D121*E121*AH121</f>
        <v>20254587.089184005</v>
      </c>
      <c r="AJ121" s="23">
        <f>354880*1.0575</f>
        <v>375285.60000000003</v>
      </c>
      <c r="AK121" s="23">
        <f t="shared" ref="AK121:AK126" si="59">D121*E121*AJ121</f>
        <v>24018278.400000002</v>
      </c>
      <c r="AL121" s="17">
        <f t="shared" ref="AL121:AL126" si="60">ROUND((AVERAGE(F121,H121,J121,L121,N121,P121,R121,T121,V121,AD121,X121,Z121,AB121,AF121,AH121,AJ121)),0)</f>
        <v>395051</v>
      </c>
      <c r="AM121" s="17">
        <f t="shared" ref="AM121:AM126" si="61">ROUND((D121*E121*AL121),0)</f>
        <v>25283264</v>
      </c>
      <c r="AN121" s="17">
        <f t="shared" ref="AN121:AN126" si="62">ROUND((MEDIAN(F121,H121,J121,N121,L121,P121,R121,T121,V121,X121,Z121,AB121,AD121,AF121,AH121,AJ121)),0)</f>
        <v>373875</v>
      </c>
      <c r="AO121" s="17">
        <f t="shared" ref="AO121:AO126" si="63">ROUND((D121*E121*AN121),0)</f>
        <v>23928000</v>
      </c>
      <c r="AP121" s="17">
        <f t="shared" ref="AP121:AP126" si="64">ROUND((HARMEAN(F121,H121,J121,L121,N121,P121,R121,T121,V121,X121,Z121,AB121,AD121,AF121,AH121,AJ121)),0)</f>
        <v>377267</v>
      </c>
      <c r="AQ121" s="17">
        <f t="shared" ref="AQ121:AQ126" si="65">ROUND((D121*E121*AP121),0)</f>
        <v>24145088</v>
      </c>
      <c r="AR121" s="17">
        <f t="shared" ref="AR121:AR126" si="66">ROUND((GEOMEAN(F121,H121,J121,L121,N121,P121,R121,T121,V121,X121,Z121,AB121,AD121,AF121,AH121,AJ121)),0)</f>
        <v>384972</v>
      </c>
      <c r="AS121" s="17">
        <f t="shared" ref="AS121:AS126" si="67">ROUND((D121*E121*AR121),0)</f>
        <v>24638208</v>
      </c>
    </row>
    <row r="122" spans="1:53" ht="76.5" x14ac:dyDescent="0.2">
      <c r="A122" s="124">
        <v>2</v>
      </c>
      <c r="B122" s="102" t="s">
        <v>14</v>
      </c>
      <c r="C122" s="125" t="s">
        <v>2</v>
      </c>
      <c r="D122" s="126">
        <v>2900</v>
      </c>
      <c r="E122" s="125">
        <v>4</v>
      </c>
      <c r="F122" s="20">
        <v>3000</v>
      </c>
      <c r="G122" s="166">
        <f t="shared" si="45"/>
        <v>34800000</v>
      </c>
      <c r="H122" s="20">
        <v>6500</v>
      </c>
      <c r="I122" s="166">
        <f t="shared" si="46"/>
        <v>75400000</v>
      </c>
      <c r="J122" s="20">
        <v>1800</v>
      </c>
      <c r="K122" s="166">
        <f t="shared" si="47"/>
        <v>20880000</v>
      </c>
      <c r="L122" s="20">
        <v>2200</v>
      </c>
      <c r="M122" s="20">
        <f t="shared" si="48"/>
        <v>25520000</v>
      </c>
      <c r="N122" s="167">
        <v>2100</v>
      </c>
      <c r="O122" s="167">
        <f t="shared" si="49"/>
        <v>24360000</v>
      </c>
      <c r="P122" s="20">
        <v>3500</v>
      </c>
      <c r="Q122" s="23">
        <f t="shared" si="50"/>
        <v>40600000</v>
      </c>
      <c r="R122" s="36">
        <v>2700</v>
      </c>
      <c r="S122" s="20">
        <f t="shared" si="51"/>
        <v>31320000</v>
      </c>
      <c r="T122" s="40">
        <v>2800</v>
      </c>
      <c r="U122" s="36">
        <f t="shared" si="52"/>
        <v>32480000</v>
      </c>
      <c r="V122" s="132">
        <f>1300*1.0317*1.0373*1.0244*1.0194*1.0366*1.0677*1.0575</f>
        <v>1700.4199164355098</v>
      </c>
      <c r="W122" s="132">
        <f t="shared" si="53"/>
        <v>19724871.030651912</v>
      </c>
      <c r="X122" s="97">
        <f>1899*1.0373*1.0244*1.0194*1.0366*1.0677*1.0575</f>
        <v>2407.6001679908686</v>
      </c>
      <c r="Y122" s="97">
        <f t="shared" si="54"/>
        <v>27928161.948694076</v>
      </c>
      <c r="Z122" s="98">
        <f>1645*1.0244*1.0194*1.0366*1.0677*1.0575</f>
        <v>2010.5779929153264</v>
      </c>
      <c r="AA122" s="98">
        <f>D122*E122*Z122</f>
        <v>23322704.717817787</v>
      </c>
      <c r="AB122" s="23">
        <f>1880*1.0194*1.0366*1.0677*1.0575</f>
        <v>2243.0724526304757</v>
      </c>
      <c r="AC122" s="23">
        <f t="shared" si="55"/>
        <v>26019640.450513519</v>
      </c>
      <c r="AD122" s="30">
        <f>1830*1.0194*1.0366*1.0677*1.0575</f>
        <v>2183.4162703796651</v>
      </c>
      <c r="AE122" s="30">
        <f t="shared" si="56"/>
        <v>25327628.736404113</v>
      </c>
      <c r="AF122" s="97">
        <f>1775*1.0366*1.0677*1.0575</f>
        <v>2077.4911417537505</v>
      </c>
      <c r="AG122" s="97">
        <f t="shared" si="57"/>
        <v>24098897.244343504</v>
      </c>
      <c r="AH122" s="30">
        <f>1767*1.0677*1.0575</f>
        <v>1995.1068892500004</v>
      </c>
      <c r="AI122" s="30">
        <f t="shared" si="58"/>
        <v>23143239.915300004</v>
      </c>
      <c r="AJ122" s="23">
        <f>1876*1.0575</f>
        <v>1983.8700000000001</v>
      </c>
      <c r="AK122" s="23">
        <f t="shared" si="59"/>
        <v>23012892</v>
      </c>
      <c r="AL122" s="17">
        <f t="shared" si="60"/>
        <v>2575</v>
      </c>
      <c r="AM122" s="17">
        <f t="shared" si="61"/>
        <v>29870000</v>
      </c>
      <c r="AN122" s="17">
        <f t="shared" si="62"/>
        <v>2192</v>
      </c>
      <c r="AO122" s="17">
        <f t="shared" si="63"/>
        <v>25427200</v>
      </c>
      <c r="AP122" s="17">
        <f t="shared" si="64"/>
        <v>2326</v>
      </c>
      <c r="AQ122" s="17">
        <f t="shared" si="65"/>
        <v>26981600</v>
      </c>
      <c r="AR122" s="17">
        <f t="shared" si="66"/>
        <v>2424</v>
      </c>
      <c r="AS122" s="17">
        <f t="shared" si="67"/>
        <v>28118400</v>
      </c>
    </row>
    <row r="123" spans="1:53" ht="76.5" x14ac:dyDescent="0.2">
      <c r="A123" s="124">
        <v>3</v>
      </c>
      <c r="B123" s="102" t="s">
        <v>15</v>
      </c>
      <c r="C123" s="125" t="s">
        <v>2</v>
      </c>
      <c r="D123" s="126">
        <v>3266</v>
      </c>
      <c r="E123" s="125">
        <v>4</v>
      </c>
      <c r="F123" s="20">
        <v>3000</v>
      </c>
      <c r="G123" s="166">
        <f t="shared" si="45"/>
        <v>39192000</v>
      </c>
      <c r="H123" s="20">
        <v>3860</v>
      </c>
      <c r="I123" s="166">
        <f t="shared" si="46"/>
        <v>50427040</v>
      </c>
      <c r="J123" s="20">
        <v>1700</v>
      </c>
      <c r="K123" s="166">
        <f t="shared" si="47"/>
        <v>22208800</v>
      </c>
      <c r="L123" s="20">
        <v>1800</v>
      </c>
      <c r="M123" s="20">
        <f t="shared" si="48"/>
        <v>23515200</v>
      </c>
      <c r="N123" s="167">
        <v>2100</v>
      </c>
      <c r="O123" s="167">
        <f t="shared" si="49"/>
        <v>27434400</v>
      </c>
      <c r="P123" s="20">
        <v>2950</v>
      </c>
      <c r="Q123" s="23">
        <f t="shared" si="50"/>
        <v>38538800</v>
      </c>
      <c r="R123" s="36">
        <v>2700</v>
      </c>
      <c r="S123" s="20">
        <f t="shared" si="51"/>
        <v>35272800</v>
      </c>
      <c r="T123" s="40">
        <v>2800</v>
      </c>
      <c r="U123" s="36">
        <f t="shared" si="52"/>
        <v>36579200</v>
      </c>
      <c r="V123" s="132">
        <f>1315*1.0317*1.0373*1.0244*1.0194*1.0366*1.0677*1.0575</f>
        <v>1720.0401462405348</v>
      </c>
      <c r="W123" s="132">
        <f t="shared" si="53"/>
        <v>22470604.470486347</v>
      </c>
      <c r="X123" s="97">
        <f>1899*1.0373*1.0244*1.0194*1.0366*1.0677*1.0575</f>
        <v>2407.6001679908686</v>
      </c>
      <c r="Y123" s="97">
        <f t="shared" si="54"/>
        <v>31452888.594632708</v>
      </c>
      <c r="Z123" s="98">
        <f>1551*1.0244*1.0194*1.0366*1.0677*1.0575</f>
        <v>1895.6878218915938</v>
      </c>
      <c r="AA123" s="98">
        <f>D123*E123*Z123</f>
        <v>24765265.70519178</v>
      </c>
      <c r="AB123" s="23">
        <f>2235*1.0194*1.0366*1.0677*1.0575</f>
        <v>2666.6313466112301</v>
      </c>
      <c r="AC123" s="23">
        <f t="shared" si="55"/>
        <v>34836871.912129112</v>
      </c>
      <c r="AD123" s="30">
        <f>1861*1.0194*1.0366*1.0677*1.0575</f>
        <v>2220.4031033751671</v>
      </c>
      <c r="AE123" s="30">
        <f t="shared" si="56"/>
        <v>29007346.142493185</v>
      </c>
      <c r="AF123" s="97">
        <f>1803*1.0366*1.0677*1.0575</f>
        <v>2110.2628330039502</v>
      </c>
      <c r="AG123" s="97">
        <f t="shared" si="57"/>
        <v>27568473.650363605</v>
      </c>
      <c r="AH123" s="30">
        <f>1951*1.0677*1.0575</f>
        <v>2202.8599552500004</v>
      </c>
      <c r="AI123" s="30">
        <f t="shared" si="58"/>
        <v>28778162.455386005</v>
      </c>
      <c r="AJ123" s="23">
        <f>2168*1.0575</f>
        <v>2292.6600000000003</v>
      </c>
      <c r="AK123" s="23">
        <f t="shared" si="59"/>
        <v>29951310.240000006</v>
      </c>
      <c r="AL123" s="17">
        <f t="shared" si="60"/>
        <v>2402</v>
      </c>
      <c r="AM123" s="17">
        <f t="shared" si="61"/>
        <v>31379728</v>
      </c>
      <c r="AN123" s="17">
        <f t="shared" si="62"/>
        <v>2257</v>
      </c>
      <c r="AO123" s="17">
        <f t="shared" si="63"/>
        <v>29485448</v>
      </c>
      <c r="AP123" s="17">
        <f t="shared" si="64"/>
        <v>2288</v>
      </c>
      <c r="AQ123" s="17">
        <f t="shared" si="65"/>
        <v>29890432</v>
      </c>
      <c r="AR123" s="17">
        <f t="shared" si="66"/>
        <v>2343</v>
      </c>
      <c r="AS123" s="17">
        <f t="shared" si="67"/>
        <v>30608952</v>
      </c>
    </row>
    <row r="124" spans="1:53" ht="60.75" customHeight="1" x14ac:dyDescent="0.2">
      <c r="A124" s="124">
        <v>4</v>
      </c>
      <c r="B124" s="102" t="s">
        <v>46</v>
      </c>
      <c r="C124" s="125" t="s">
        <v>1</v>
      </c>
      <c r="D124" s="126">
        <v>13</v>
      </c>
      <c r="E124" s="125">
        <v>4</v>
      </c>
      <c r="F124" s="20">
        <v>800000</v>
      </c>
      <c r="G124" s="166">
        <f t="shared" si="45"/>
        <v>41600000</v>
      </c>
      <c r="H124" s="20">
        <v>1200000</v>
      </c>
      <c r="I124" s="166">
        <f t="shared" si="46"/>
        <v>62400000</v>
      </c>
      <c r="J124" s="20">
        <v>160000</v>
      </c>
      <c r="K124" s="166">
        <f t="shared" si="47"/>
        <v>8320000</v>
      </c>
      <c r="L124" s="20">
        <v>180000</v>
      </c>
      <c r="M124" s="20">
        <f t="shared" si="48"/>
        <v>9360000</v>
      </c>
      <c r="N124" s="167">
        <v>200000</v>
      </c>
      <c r="O124" s="167">
        <f t="shared" si="49"/>
        <v>10400000</v>
      </c>
      <c r="P124" s="20">
        <v>450000</v>
      </c>
      <c r="Q124" s="23">
        <f t="shared" si="50"/>
        <v>23400000</v>
      </c>
      <c r="R124" s="36">
        <v>270000</v>
      </c>
      <c r="S124" s="20">
        <f t="shared" si="51"/>
        <v>14040000</v>
      </c>
      <c r="T124" s="40">
        <v>280000</v>
      </c>
      <c r="U124" s="36">
        <f t="shared" si="52"/>
        <v>14560000</v>
      </c>
      <c r="V124" s="132">
        <f>157140*1.0317*1.0373*1.0244*1.0194*1.0366*1.0677*1.0575</f>
        <v>205541.52743744312</v>
      </c>
      <c r="W124" s="132">
        <f t="shared" si="53"/>
        <v>10688159.426747043</v>
      </c>
      <c r="X124" s="97">
        <f>149000*1.0373*1.0244*1.0194*1.0366*1.0677*1.0575</f>
        <v>188905.96368122142</v>
      </c>
      <c r="Y124" s="97">
        <f t="shared" si="54"/>
        <v>9823110.1114235129</v>
      </c>
      <c r="Z124" s="98"/>
      <c r="AA124" s="98">
        <f>D124*E124*Z124</f>
        <v>0</v>
      </c>
      <c r="AB124" s="23"/>
      <c r="AC124" s="23">
        <f t="shared" si="55"/>
        <v>0</v>
      </c>
      <c r="AD124" s="30">
        <f>174491*1.0194*1.0366*1.0677*1.0575</f>
        <v>208189.33794252353</v>
      </c>
      <c r="AE124" s="30">
        <f t="shared" si="56"/>
        <v>10825845.573011223</v>
      </c>
      <c r="AF124" s="97">
        <f>147287*1.0366*1.0677*1.0575</f>
        <v>172387.28889886459</v>
      </c>
      <c r="AG124" s="97">
        <f t="shared" si="57"/>
        <v>8964139.0227409583</v>
      </c>
      <c r="AH124" s="30">
        <f>158460*1.0677*1.0575</f>
        <v>178916.03716500005</v>
      </c>
      <c r="AI124" s="30">
        <f t="shared" si="58"/>
        <v>9303633.9325800017</v>
      </c>
      <c r="AJ124" s="23">
        <f>186828*1.0575</f>
        <v>197570.61000000002</v>
      </c>
      <c r="AK124" s="23">
        <f t="shared" si="59"/>
        <v>10273671.720000001</v>
      </c>
      <c r="AL124" s="17">
        <f t="shared" si="60"/>
        <v>335108</v>
      </c>
      <c r="AM124" s="17">
        <f t="shared" si="61"/>
        <v>17425616</v>
      </c>
      <c r="AN124" s="17">
        <f t="shared" si="62"/>
        <v>202771</v>
      </c>
      <c r="AO124" s="17">
        <f t="shared" si="63"/>
        <v>10544092</v>
      </c>
      <c r="AP124" s="17">
        <f t="shared" si="64"/>
        <v>234114</v>
      </c>
      <c r="AQ124" s="17">
        <f t="shared" si="65"/>
        <v>12173928</v>
      </c>
      <c r="AR124" s="17">
        <f t="shared" si="66"/>
        <v>266813</v>
      </c>
      <c r="AS124" s="17">
        <f t="shared" si="67"/>
        <v>13874276</v>
      </c>
    </row>
    <row r="125" spans="1:53" ht="73.5" customHeight="1" x14ac:dyDescent="0.2">
      <c r="A125" s="124">
        <v>5</v>
      </c>
      <c r="B125" s="43" t="s">
        <v>149</v>
      </c>
      <c r="C125" s="125" t="s">
        <v>26</v>
      </c>
      <c r="D125" s="126">
        <f>1200*2+100*2+50*2</f>
        <v>2700</v>
      </c>
      <c r="E125" s="125">
        <v>4</v>
      </c>
      <c r="F125" s="20">
        <v>2900</v>
      </c>
      <c r="G125" s="166">
        <f t="shared" si="45"/>
        <v>31320000</v>
      </c>
      <c r="H125" s="20">
        <v>1600</v>
      </c>
      <c r="I125" s="166">
        <f t="shared" si="46"/>
        <v>17280000</v>
      </c>
      <c r="J125" s="20">
        <v>1900</v>
      </c>
      <c r="K125" s="166">
        <f t="shared" si="47"/>
        <v>20520000</v>
      </c>
      <c r="L125" s="20">
        <v>3600</v>
      </c>
      <c r="M125" s="20">
        <f>L125*E125*D125</f>
        <v>38880000</v>
      </c>
      <c r="N125" s="167">
        <v>3500</v>
      </c>
      <c r="O125" s="167">
        <f t="shared" si="49"/>
        <v>37800000</v>
      </c>
      <c r="P125" s="23">
        <v>3350</v>
      </c>
      <c r="Q125" s="23">
        <f t="shared" si="50"/>
        <v>36180000</v>
      </c>
      <c r="R125" s="20">
        <v>3800</v>
      </c>
      <c r="S125" s="20">
        <f t="shared" si="51"/>
        <v>41040000</v>
      </c>
      <c r="T125" s="36">
        <v>4200</v>
      </c>
      <c r="U125" s="36">
        <f t="shared" si="52"/>
        <v>45360000</v>
      </c>
      <c r="V125" s="132"/>
      <c r="W125" s="132">
        <f t="shared" si="53"/>
        <v>0</v>
      </c>
      <c r="X125" s="97"/>
      <c r="Y125" s="97">
        <f t="shared" si="54"/>
        <v>0</v>
      </c>
      <c r="Z125" s="98"/>
      <c r="AA125" s="98">
        <f>D125*E125*Z125</f>
        <v>0</v>
      </c>
      <c r="AB125" s="23"/>
      <c r="AC125" s="23">
        <f t="shared" si="55"/>
        <v>0</v>
      </c>
      <c r="AD125" s="30"/>
      <c r="AE125" s="30">
        <f t="shared" si="56"/>
        <v>0</v>
      </c>
      <c r="AF125" s="97">
        <f>2088*1.0366*1.0677*1.0575</f>
        <v>2443.8318332292006</v>
      </c>
      <c r="AG125" s="97">
        <f t="shared" si="57"/>
        <v>26393383.798875365</v>
      </c>
      <c r="AH125" s="30">
        <f>2122*1.0677*1.0575</f>
        <v>2395.9348155000002</v>
      </c>
      <c r="AI125" s="30">
        <f t="shared" si="58"/>
        <v>25876096.007400002</v>
      </c>
      <c r="AJ125" s="23"/>
      <c r="AK125" s="23">
        <f t="shared" si="59"/>
        <v>0</v>
      </c>
      <c r="AL125" s="17">
        <f t="shared" si="60"/>
        <v>2969</v>
      </c>
      <c r="AM125" s="17">
        <f t="shared" si="61"/>
        <v>32065200</v>
      </c>
      <c r="AN125" s="17">
        <f t="shared" si="62"/>
        <v>3125</v>
      </c>
      <c r="AO125" s="17">
        <f t="shared" si="63"/>
        <v>33750000</v>
      </c>
      <c r="AP125" s="17">
        <f t="shared" si="64"/>
        <v>2713</v>
      </c>
      <c r="AQ125" s="17">
        <f t="shared" si="65"/>
        <v>29300400</v>
      </c>
      <c r="AR125" s="17">
        <f t="shared" si="66"/>
        <v>2845</v>
      </c>
      <c r="AS125" s="17">
        <f t="shared" si="67"/>
        <v>30726000</v>
      </c>
    </row>
    <row r="126" spans="1:53" ht="140.25" x14ac:dyDescent="0.2">
      <c r="A126" s="124">
        <v>6</v>
      </c>
      <c r="B126" s="70" t="s">
        <v>95</v>
      </c>
      <c r="C126" s="128" t="s">
        <v>1</v>
      </c>
      <c r="D126" s="126">
        <v>3</v>
      </c>
      <c r="E126" s="129">
        <v>1</v>
      </c>
      <c r="F126" s="20">
        <v>3000000</v>
      </c>
      <c r="G126" s="166">
        <f t="shared" si="45"/>
        <v>9000000</v>
      </c>
      <c r="H126" s="20">
        <v>1138484</v>
      </c>
      <c r="I126" s="166">
        <f t="shared" si="46"/>
        <v>3415452</v>
      </c>
      <c r="J126" s="20">
        <v>1250000</v>
      </c>
      <c r="K126" s="166">
        <f t="shared" si="47"/>
        <v>3750000</v>
      </c>
      <c r="L126" s="20">
        <v>1150000</v>
      </c>
      <c r="M126" s="20">
        <f t="shared" si="48"/>
        <v>3450000</v>
      </c>
      <c r="N126" s="167">
        <v>1500000</v>
      </c>
      <c r="O126" s="167">
        <f t="shared" si="49"/>
        <v>4500000</v>
      </c>
      <c r="P126" s="20">
        <v>1210000</v>
      </c>
      <c r="Q126" s="23">
        <f t="shared" si="50"/>
        <v>3630000</v>
      </c>
      <c r="R126" s="36">
        <v>1500000</v>
      </c>
      <c r="S126" s="20">
        <f t="shared" si="51"/>
        <v>4500000</v>
      </c>
      <c r="T126" s="40">
        <v>1200000</v>
      </c>
      <c r="U126" s="36">
        <f t="shared" si="52"/>
        <v>3600000</v>
      </c>
      <c r="V126" s="132"/>
      <c r="W126" s="132">
        <f t="shared" si="53"/>
        <v>0</v>
      </c>
      <c r="X126" s="97">
        <f>621929*1.0373*1.0244*1.0194*1.0366*1.0677*1.0575</f>
        <v>788497.29588119697</v>
      </c>
      <c r="Y126" s="97">
        <f t="shared" si="54"/>
        <v>2365491.887643591</v>
      </c>
      <c r="Z126" s="98"/>
      <c r="AA126" s="98"/>
      <c r="AB126" s="23">
        <f>788940*1.0194*1.0366*1.0677*1.0575</f>
        <v>941302.96849908889</v>
      </c>
      <c r="AC126" s="23">
        <f t="shared" si="55"/>
        <v>2823908.9054972669</v>
      </c>
      <c r="AD126" s="30">
        <f>806757*1.0194*1.0366*1.0677*1.0575</f>
        <v>962560.85248234274</v>
      </c>
      <c r="AE126" s="30">
        <f t="shared" si="56"/>
        <v>2887682.5574470283</v>
      </c>
      <c r="AF126" s="97">
        <f>969419*1.0366*1.0677*1.0575</f>
        <v>1134625.0057170587</v>
      </c>
      <c r="AG126" s="97">
        <f t="shared" si="57"/>
        <v>3403875.017151176</v>
      </c>
      <c r="AH126" s="30">
        <f>909696*1.0677*1.0575</f>
        <v>1027131.1583040003</v>
      </c>
      <c r="AI126" s="30">
        <f t="shared" si="58"/>
        <v>3081393.4749120008</v>
      </c>
      <c r="AJ126" s="23">
        <f>908661*1.0575</f>
        <v>960909.00750000007</v>
      </c>
      <c r="AK126" s="23">
        <f t="shared" si="59"/>
        <v>2882727.0225</v>
      </c>
      <c r="AL126" s="17">
        <f t="shared" si="60"/>
        <v>1268822</v>
      </c>
      <c r="AM126" s="17">
        <f t="shared" si="61"/>
        <v>3806466</v>
      </c>
      <c r="AN126" s="17">
        <f t="shared" si="62"/>
        <v>1144242</v>
      </c>
      <c r="AO126" s="17">
        <f t="shared" si="63"/>
        <v>3432726</v>
      </c>
      <c r="AP126" s="17">
        <f t="shared" si="64"/>
        <v>1153262</v>
      </c>
      <c r="AQ126" s="17">
        <f t="shared" si="65"/>
        <v>3459786</v>
      </c>
      <c r="AR126" s="17">
        <f t="shared" si="66"/>
        <v>1199958</v>
      </c>
      <c r="AS126" s="17">
        <f t="shared" si="67"/>
        <v>3599874</v>
      </c>
    </row>
    <row r="127" spans="1:53" x14ac:dyDescent="0.2">
      <c r="A127" s="179"/>
      <c r="B127" s="184"/>
      <c r="C127" s="184"/>
      <c r="D127" s="188"/>
      <c r="E127" s="184"/>
      <c r="F127" s="52"/>
      <c r="G127" s="52"/>
      <c r="H127" s="184"/>
      <c r="I127" s="184"/>
      <c r="J127" s="184"/>
      <c r="K127" s="184"/>
      <c r="L127" s="20"/>
      <c r="M127" s="20"/>
      <c r="N127" s="30"/>
      <c r="O127" s="30"/>
      <c r="P127" s="23"/>
      <c r="Q127" s="23"/>
      <c r="R127" s="20"/>
      <c r="S127" s="20"/>
      <c r="T127" s="36"/>
      <c r="U127" s="36"/>
      <c r="V127" s="132"/>
      <c r="W127" s="132"/>
      <c r="X127" s="97"/>
      <c r="Y127" s="97"/>
      <c r="Z127" s="98"/>
      <c r="AA127" s="98"/>
      <c r="AB127" s="23"/>
      <c r="AC127" s="23"/>
      <c r="AD127" s="30"/>
      <c r="AE127" s="30"/>
      <c r="AF127" s="97"/>
      <c r="AG127" s="97"/>
      <c r="AH127" s="30"/>
      <c r="AI127" s="30"/>
      <c r="AJ127" s="23"/>
      <c r="AK127" s="23"/>
      <c r="AL127" s="44"/>
      <c r="AM127" s="44"/>
      <c r="AN127" s="44"/>
      <c r="AO127" s="44"/>
      <c r="AP127" s="44"/>
      <c r="AQ127" s="44"/>
      <c r="AR127" s="44"/>
      <c r="AS127" s="44"/>
    </row>
    <row r="128" spans="1:53" ht="15.75" x14ac:dyDescent="0.2">
      <c r="A128" s="179"/>
      <c r="B128" s="193" t="s">
        <v>150</v>
      </c>
      <c r="C128" s="45"/>
      <c r="D128" s="45"/>
      <c r="E128" s="45"/>
      <c r="F128" s="47"/>
      <c r="G128" s="46">
        <f>SUM(G121:G126)</f>
        <v>184712000</v>
      </c>
      <c r="H128" s="47"/>
      <c r="I128" s="46">
        <f>SUM(I121:I126)</f>
        <v>257497788</v>
      </c>
      <c r="J128" s="47"/>
      <c r="K128" s="46">
        <f>SUM(K121:K126)</f>
        <v>96798800</v>
      </c>
      <c r="L128" s="47"/>
      <c r="M128" s="46">
        <f>SUM(M121:M126)</f>
        <v>123125200</v>
      </c>
      <c r="N128" s="47"/>
      <c r="O128" s="46">
        <f>SUM(O121:O126)</f>
        <v>126254400</v>
      </c>
      <c r="P128" s="47"/>
      <c r="Q128" s="46">
        <f>SUM(Q121:Q126)</f>
        <v>164748800</v>
      </c>
      <c r="R128" s="47"/>
      <c r="S128" s="46">
        <f>SUM(S121:S126)</f>
        <v>151132800</v>
      </c>
      <c r="T128" s="47"/>
      <c r="U128" s="46">
        <f>SUM(U121:U126)</f>
        <v>159139200</v>
      </c>
      <c r="V128" s="47"/>
      <c r="W128" s="46">
        <f>SUM(W121:W126)</f>
        <v>78139841.145169884</v>
      </c>
      <c r="X128" s="47"/>
      <c r="Y128" s="46">
        <f>SUM(Y121:Y126)</f>
        <v>99563234.274483606</v>
      </c>
      <c r="Z128" s="47"/>
      <c r="AA128" s="46">
        <f>SUM(AA121:AA126)</f>
        <v>65885210.811876759</v>
      </c>
      <c r="AB128" s="47"/>
      <c r="AC128" s="46">
        <f>SUM(AC121:AC126)</f>
        <v>87518153.556561038</v>
      </c>
      <c r="AD128" s="47"/>
      <c r="AE128" s="46">
        <f>SUM(AE121:AE126)</f>
        <v>94556312.385474741</v>
      </c>
      <c r="AF128" s="47"/>
      <c r="AG128" s="46">
        <f>SUM(AG121:AG126)</f>
        <v>112720335.29539065</v>
      </c>
      <c r="AH128" s="47"/>
      <c r="AI128" s="46">
        <f>SUM(AI121:AI126)</f>
        <v>110437112.87476201</v>
      </c>
      <c r="AJ128" s="47"/>
      <c r="AK128" s="46">
        <f>SUM(AK121:AK126)</f>
        <v>90138879.382500008</v>
      </c>
      <c r="AL128" s="48"/>
      <c r="AM128" s="194">
        <f>SUM(AM121:AM126)</f>
        <v>139830274</v>
      </c>
      <c r="AN128" s="48"/>
      <c r="AO128" s="194">
        <f>SUM(AO121:AO126)</f>
        <v>126567466</v>
      </c>
      <c r="AP128" s="48"/>
      <c r="AQ128" s="194">
        <f>SUM(AQ121:AQ126)</f>
        <v>125951234</v>
      </c>
      <c r="AR128" s="48"/>
      <c r="AS128" s="194">
        <f>SUM(AS121:AS126)</f>
        <v>131565710</v>
      </c>
    </row>
    <row r="129" spans="1:53" ht="15.75" x14ac:dyDescent="0.2">
      <c r="A129" s="179"/>
      <c r="B129" s="193" t="s">
        <v>151</v>
      </c>
      <c r="C129" s="45"/>
      <c r="D129" s="45"/>
      <c r="E129" s="185">
        <v>0.19</v>
      </c>
      <c r="F129" s="181">
        <v>0.19</v>
      </c>
      <c r="G129" s="46">
        <f>ROUND(G128*F129,0)</f>
        <v>35095280</v>
      </c>
      <c r="H129" s="181">
        <v>0.19</v>
      </c>
      <c r="I129" s="46">
        <f>ROUND(I128*H129,0)</f>
        <v>48924580</v>
      </c>
      <c r="J129" s="181">
        <v>0.19</v>
      </c>
      <c r="K129" s="46">
        <f>ROUND(K128*J129,0)</f>
        <v>18391772</v>
      </c>
      <c r="L129" s="181">
        <v>0.19</v>
      </c>
      <c r="M129" s="46">
        <f>ROUND(M128*L129,0)</f>
        <v>23393788</v>
      </c>
      <c r="N129" s="181">
        <v>0.19</v>
      </c>
      <c r="O129" s="46">
        <f>ROUND(O128*N129,0)</f>
        <v>23988336</v>
      </c>
      <c r="P129" s="181">
        <v>0.19</v>
      </c>
      <c r="Q129" s="46">
        <f>ROUND(Q128*P129,0)</f>
        <v>31302272</v>
      </c>
      <c r="R129" s="181">
        <v>0.19</v>
      </c>
      <c r="S129" s="46">
        <f>ROUND(S128*R129,0)</f>
        <v>28715232</v>
      </c>
      <c r="T129" s="181">
        <v>0.19</v>
      </c>
      <c r="U129" s="46">
        <f>ROUND(U128*T129,0)</f>
        <v>30236448</v>
      </c>
      <c r="V129" s="181">
        <v>0.19</v>
      </c>
      <c r="W129" s="46">
        <f>ROUND(W128*V129,0)</f>
        <v>14846570</v>
      </c>
      <c r="X129" s="181">
        <v>0.19</v>
      </c>
      <c r="Y129" s="46">
        <f>ROUND(Y128*X129,0)</f>
        <v>18917015</v>
      </c>
      <c r="Z129" s="181">
        <v>0.19</v>
      </c>
      <c r="AA129" s="46">
        <f>ROUND(AA128*Z129,0)</f>
        <v>12518190</v>
      </c>
      <c r="AB129" s="181">
        <v>0.19</v>
      </c>
      <c r="AC129" s="46">
        <f>ROUND(AC128*AB129,0)</f>
        <v>16628449</v>
      </c>
      <c r="AD129" s="181">
        <v>0.19</v>
      </c>
      <c r="AE129" s="46">
        <f>ROUND(AE128*AD129,0)</f>
        <v>17965699</v>
      </c>
      <c r="AF129" s="181">
        <v>0.19</v>
      </c>
      <c r="AG129" s="46">
        <f>ROUND(AG128*AF129,0)</f>
        <v>21416864</v>
      </c>
      <c r="AH129" s="181">
        <v>0.19</v>
      </c>
      <c r="AI129" s="46">
        <f>ROUND(AI128*AH129,0)</f>
        <v>20983051</v>
      </c>
      <c r="AJ129" s="181">
        <v>0.19</v>
      </c>
      <c r="AK129" s="46">
        <f>ROUND(AK128*AJ129,0)</f>
        <v>17126387</v>
      </c>
      <c r="AL129" s="195">
        <v>0.19</v>
      </c>
      <c r="AM129" s="194">
        <f>ROUND(AM128*AL129,0)</f>
        <v>26567752</v>
      </c>
      <c r="AN129" s="195">
        <v>0.19</v>
      </c>
      <c r="AO129" s="194">
        <f>ROUND(AO128*AN129,0)</f>
        <v>24047819</v>
      </c>
      <c r="AP129" s="195">
        <v>0.19</v>
      </c>
      <c r="AQ129" s="194">
        <f>ROUND(AQ128*AP129,0)</f>
        <v>23930734</v>
      </c>
      <c r="AR129" s="195">
        <v>0.19</v>
      </c>
      <c r="AS129" s="194">
        <f>ROUND(AS128*AR129,0)</f>
        <v>24997485</v>
      </c>
    </row>
    <row r="130" spans="1:53" ht="15.75" x14ac:dyDescent="0.2">
      <c r="A130" s="179"/>
      <c r="B130" s="165" t="s">
        <v>135</v>
      </c>
      <c r="C130" s="45"/>
      <c r="D130" s="45"/>
      <c r="E130" s="45"/>
      <c r="F130" s="47"/>
      <c r="G130" s="46">
        <f>SUM(G128:G129)</f>
        <v>219807280</v>
      </c>
      <c r="H130" s="47"/>
      <c r="I130" s="46">
        <f>SUM(I128:I129)</f>
        <v>306422368</v>
      </c>
      <c r="J130" s="47"/>
      <c r="K130" s="46">
        <f>SUM(K128:K129)</f>
        <v>115190572</v>
      </c>
      <c r="L130" s="47"/>
      <c r="M130" s="46">
        <f>SUM(M128:M129)</f>
        <v>146518988</v>
      </c>
      <c r="N130" s="47"/>
      <c r="O130" s="46">
        <f>SUM(O128:O129)</f>
        <v>150242736</v>
      </c>
      <c r="P130" s="47"/>
      <c r="Q130" s="46">
        <f>SUM(Q128:Q129)</f>
        <v>196051072</v>
      </c>
      <c r="R130" s="47"/>
      <c r="S130" s="46">
        <f>SUM(S128:S129)</f>
        <v>179848032</v>
      </c>
      <c r="T130" s="47"/>
      <c r="U130" s="46">
        <f>SUM(U128:U129)</f>
        <v>189375648</v>
      </c>
      <c r="V130" s="47"/>
      <c r="W130" s="46">
        <f>SUM(W128:W129)</f>
        <v>92986411.145169884</v>
      </c>
      <c r="X130" s="47"/>
      <c r="Y130" s="46">
        <f>SUM(Y128:Y129)</f>
        <v>118480249.27448361</v>
      </c>
      <c r="Z130" s="47"/>
      <c r="AA130" s="46">
        <f>SUM(AA128:AA129)</f>
        <v>78403400.811876759</v>
      </c>
      <c r="AB130" s="47"/>
      <c r="AC130" s="46">
        <f>SUM(AC128:AC129)</f>
        <v>104146602.55656104</v>
      </c>
      <c r="AD130" s="47"/>
      <c r="AE130" s="46">
        <f>SUM(AE128:AE129)</f>
        <v>112522011.38547474</v>
      </c>
      <c r="AF130" s="47"/>
      <c r="AG130" s="46">
        <f>SUM(AG128:AG129)</f>
        <v>134137199.29539065</v>
      </c>
      <c r="AH130" s="47"/>
      <c r="AI130" s="46">
        <f>SUM(AI128:AI129)</f>
        <v>131420163.87476201</v>
      </c>
      <c r="AJ130" s="47"/>
      <c r="AK130" s="46">
        <f>SUM(AK128:AK129)</f>
        <v>107265266.38250001</v>
      </c>
      <c r="AL130" s="48"/>
      <c r="AM130" s="194">
        <f>SUM(AM128:AM129)</f>
        <v>166398026</v>
      </c>
      <c r="AN130" s="48"/>
      <c r="AO130" s="194">
        <f>SUM(AO128:AO129)</f>
        <v>150615285</v>
      </c>
      <c r="AP130" s="48"/>
      <c r="AQ130" s="194">
        <f>SUM(AQ128:AQ129)</f>
        <v>149881968</v>
      </c>
      <c r="AR130" s="48"/>
      <c r="AS130" s="194">
        <f>SUM(AS128:AS129)</f>
        <v>156563195</v>
      </c>
    </row>
    <row r="131" spans="1:53" x14ac:dyDescent="0.2">
      <c r="A131" s="177"/>
      <c r="B131" s="172"/>
      <c r="C131" s="172"/>
      <c r="D131" s="172"/>
      <c r="E131" s="172"/>
      <c r="F131" s="172"/>
      <c r="G131" s="172"/>
      <c r="H131" s="172"/>
      <c r="I131" s="172"/>
      <c r="J131" s="172"/>
      <c r="K131" s="172"/>
      <c r="L131" s="172"/>
      <c r="M131" s="172"/>
      <c r="N131" s="172"/>
      <c r="O131" s="172"/>
      <c r="P131" s="172"/>
      <c r="Q131" s="172"/>
      <c r="R131" s="172"/>
      <c r="S131" s="172"/>
      <c r="T131" s="172"/>
      <c r="U131" s="172"/>
      <c r="V131" s="172"/>
      <c r="W131" s="172"/>
      <c r="X131" s="172"/>
      <c r="Y131" s="172"/>
      <c r="Z131" s="172"/>
      <c r="AA131" s="172"/>
      <c r="AB131" s="172"/>
      <c r="AC131" s="172"/>
      <c r="AD131" s="172"/>
      <c r="AE131" s="172"/>
      <c r="AF131" s="172"/>
      <c r="AG131" s="172"/>
      <c r="AH131" s="172"/>
      <c r="AI131" s="172"/>
      <c r="AJ131" s="172"/>
      <c r="AK131" s="172"/>
      <c r="AL131" s="172"/>
      <c r="AM131" s="172"/>
      <c r="AN131" s="172"/>
      <c r="AO131" s="172"/>
      <c r="AP131" s="172"/>
      <c r="AQ131" s="172"/>
      <c r="AR131" s="172"/>
      <c r="AS131" s="172"/>
    </row>
    <row r="132" spans="1:53" x14ac:dyDescent="0.2">
      <c r="A132" s="177"/>
      <c r="B132" s="172"/>
      <c r="C132" s="172"/>
      <c r="D132" s="172"/>
      <c r="E132" s="172"/>
      <c r="F132" s="172"/>
      <c r="G132" s="172"/>
      <c r="H132" s="172"/>
      <c r="I132" s="172"/>
      <c r="J132" s="172"/>
      <c r="K132" s="172"/>
      <c r="L132" s="172"/>
      <c r="M132" s="172"/>
      <c r="N132" s="172"/>
      <c r="O132" s="172"/>
      <c r="P132" s="172"/>
      <c r="Q132" s="172"/>
      <c r="R132" s="172"/>
      <c r="S132" s="172"/>
      <c r="T132" s="172"/>
      <c r="U132" s="172"/>
      <c r="V132" s="172"/>
      <c r="W132" s="172"/>
      <c r="X132" s="172"/>
      <c r="Y132" s="172"/>
      <c r="Z132" s="172"/>
      <c r="AA132" s="172"/>
      <c r="AB132" s="172"/>
      <c r="AC132" s="172"/>
      <c r="AD132" s="172"/>
      <c r="AE132" s="172"/>
      <c r="AF132" s="172"/>
      <c r="AG132" s="172"/>
      <c r="AH132" s="172"/>
      <c r="AI132" s="172"/>
      <c r="AJ132" s="172"/>
      <c r="AK132" s="172"/>
      <c r="AL132" s="172"/>
      <c r="AM132" s="172"/>
      <c r="AN132" s="172"/>
      <c r="AO132" s="172"/>
      <c r="AP132" s="172"/>
      <c r="AQ132" s="172"/>
      <c r="AR132" s="172"/>
      <c r="AS132" s="172"/>
    </row>
    <row r="133" spans="1:53" ht="75" customHeight="1" x14ac:dyDescent="0.2">
      <c r="B133" s="190"/>
      <c r="C133" s="190"/>
      <c r="D133" s="190"/>
      <c r="E133" s="190"/>
      <c r="F133" s="315" t="str">
        <f>UPPER("OBJETO:CONTRATAR EL MANTENIMIENTO DE ZONAS DE SEGURIDAD Y CANALES DEL AEROPUERTO ALI PIEDRAHITA DE URRAO - ANTIOQUIA")</f>
        <v>OBJETO:CONTRATAR EL MANTENIMIENTO DE ZONAS DE SEGURIDAD Y CANALES DEL AEROPUERTO ALI PIEDRAHITA DE URRAO - ANTIOQUIA</v>
      </c>
      <c r="G133" s="315"/>
      <c r="H133" s="315"/>
      <c r="I133" s="315"/>
      <c r="J133" s="315"/>
      <c r="K133" s="315"/>
      <c r="L133" s="315"/>
      <c r="M133" s="315"/>
      <c r="N133" s="315"/>
      <c r="O133" s="315"/>
      <c r="P133" s="315"/>
      <c r="Q133" s="315"/>
      <c r="R133" s="315"/>
      <c r="S133" s="315"/>
      <c r="T133" s="315"/>
      <c r="U133" s="315"/>
      <c r="V133" s="190"/>
      <c r="W133" s="190"/>
      <c r="X133" s="190"/>
      <c r="Y133" s="190"/>
      <c r="Z133" s="190"/>
      <c r="AA133" s="190"/>
      <c r="AB133" s="190"/>
      <c r="AC133" s="190"/>
      <c r="AD133" s="190"/>
      <c r="AE133" s="190"/>
      <c r="AF133" s="190"/>
      <c r="AG133" s="190"/>
      <c r="AH133" s="190"/>
      <c r="AI133" s="190"/>
      <c r="AJ133" s="182"/>
      <c r="AK133" s="182"/>
      <c r="AL133" s="315" t="str">
        <f>UPPER("OBJETO:CONTRATAR EL MANTENIMIENTO DE ZONAS DE SEGURIDAD Y CANALES DEL AEROPUERTO ALI PIEDRAHITA DE URRAO - ANTIOQUIA")</f>
        <v>OBJETO:CONTRATAR EL MANTENIMIENTO DE ZONAS DE SEGURIDAD Y CANALES DEL AEROPUERTO ALI PIEDRAHITA DE URRAO - ANTIOQUIA</v>
      </c>
      <c r="AM133" s="315"/>
      <c r="AN133" s="315"/>
      <c r="AO133" s="315"/>
      <c r="AP133" s="315"/>
      <c r="AQ133" s="315"/>
      <c r="AR133" s="315"/>
      <c r="AS133" s="315"/>
      <c r="AT133" s="190"/>
      <c r="AU133" s="190"/>
      <c r="AV133" s="190"/>
      <c r="AW133" s="190"/>
      <c r="AX133" s="190"/>
      <c r="AY133" s="190"/>
      <c r="AZ133" s="190"/>
      <c r="BA133" s="190"/>
    </row>
    <row r="134" spans="1:53" ht="21" customHeight="1" x14ac:dyDescent="0.2">
      <c r="B134" s="191" t="s">
        <v>9</v>
      </c>
      <c r="C134" s="191"/>
      <c r="D134" s="191"/>
      <c r="E134" s="191"/>
      <c r="F134" s="191"/>
      <c r="G134" s="191"/>
      <c r="H134" s="191"/>
      <c r="I134" s="191"/>
      <c r="J134" s="191"/>
      <c r="K134" s="191"/>
      <c r="L134" s="191"/>
      <c r="M134" s="191"/>
      <c r="N134" s="191"/>
      <c r="O134" s="191"/>
      <c r="P134" s="191"/>
      <c r="Q134" s="191"/>
      <c r="R134" s="191"/>
      <c r="S134" s="191"/>
      <c r="T134" s="191"/>
      <c r="U134" s="191"/>
      <c r="V134" s="191"/>
      <c r="W134" s="191"/>
      <c r="X134" s="191"/>
      <c r="Y134" s="191"/>
      <c r="Z134" s="191"/>
      <c r="AA134" s="191"/>
      <c r="AB134" s="191"/>
      <c r="AC134" s="191"/>
      <c r="AD134" s="191"/>
      <c r="AE134" s="191"/>
      <c r="AF134" s="191"/>
      <c r="AG134" s="191"/>
      <c r="AH134" s="191"/>
      <c r="AI134" s="191"/>
      <c r="AJ134" s="183"/>
      <c r="AK134" s="183"/>
      <c r="AL134" s="172"/>
      <c r="AM134" s="172"/>
      <c r="AN134" s="172"/>
      <c r="AO134" s="172"/>
      <c r="AP134" s="172"/>
      <c r="AQ134" s="172"/>
      <c r="AR134" s="172"/>
      <c r="AS134" s="172"/>
    </row>
    <row r="135" spans="1:53" ht="126.75" customHeight="1" x14ac:dyDescent="0.2">
      <c r="A135" s="177"/>
      <c r="B135" s="178" t="s">
        <v>136</v>
      </c>
      <c r="C135" s="172"/>
      <c r="D135" s="172"/>
      <c r="E135" s="172"/>
      <c r="F135" s="303" t="s">
        <v>133</v>
      </c>
      <c r="G135" s="304"/>
      <c r="H135" s="303" t="s">
        <v>138</v>
      </c>
      <c r="I135" s="304"/>
      <c r="J135" s="303" t="s">
        <v>130</v>
      </c>
      <c r="K135" s="304"/>
      <c r="L135" s="303" t="s">
        <v>40</v>
      </c>
      <c r="M135" s="304"/>
      <c r="N135" s="303" t="s">
        <v>41</v>
      </c>
      <c r="O135" s="304"/>
      <c r="P135" s="305" t="s">
        <v>42</v>
      </c>
      <c r="Q135" s="306"/>
      <c r="R135" s="303" t="s">
        <v>43</v>
      </c>
      <c r="S135" s="304"/>
      <c r="T135" s="303" t="s">
        <v>22</v>
      </c>
      <c r="U135" s="304"/>
      <c r="V135" s="311" t="s">
        <v>96</v>
      </c>
      <c r="W135" s="312"/>
      <c r="X135" s="290" t="s">
        <v>97</v>
      </c>
      <c r="Y135" s="291"/>
      <c r="Z135" s="286" t="s">
        <v>98</v>
      </c>
      <c r="AA135" s="287"/>
      <c r="AB135" s="288" t="s">
        <v>99</v>
      </c>
      <c r="AC135" s="289"/>
      <c r="AD135" s="290" t="s">
        <v>100</v>
      </c>
      <c r="AE135" s="291"/>
      <c r="AF135" s="292" t="s">
        <v>101</v>
      </c>
      <c r="AG135" s="293"/>
      <c r="AH135" s="294" t="s">
        <v>131</v>
      </c>
      <c r="AI135" s="295"/>
      <c r="AJ135" s="309" t="s">
        <v>132</v>
      </c>
      <c r="AK135" s="310"/>
      <c r="AL135" s="313" t="s">
        <v>12</v>
      </c>
      <c r="AM135" s="314"/>
      <c r="AN135" s="313" t="s">
        <v>16</v>
      </c>
      <c r="AO135" s="314"/>
      <c r="AP135" s="313" t="s">
        <v>19</v>
      </c>
      <c r="AQ135" s="314"/>
      <c r="AR135" s="313" t="s">
        <v>20</v>
      </c>
      <c r="AS135" s="314"/>
    </row>
    <row r="136" spans="1:53" ht="24" x14ac:dyDescent="0.2">
      <c r="A136" s="56" t="s">
        <v>8</v>
      </c>
      <c r="B136" s="56" t="s">
        <v>7</v>
      </c>
      <c r="C136" s="56" t="s">
        <v>6</v>
      </c>
      <c r="D136" s="56" t="s">
        <v>5</v>
      </c>
      <c r="E136" s="72" t="s">
        <v>3</v>
      </c>
      <c r="F136" s="57" t="s">
        <v>4</v>
      </c>
      <c r="G136" s="56" t="s">
        <v>0</v>
      </c>
      <c r="H136" s="57" t="s">
        <v>4</v>
      </c>
      <c r="I136" s="56" t="s">
        <v>0</v>
      </c>
      <c r="J136" s="57" t="s">
        <v>4</v>
      </c>
      <c r="K136" s="56" t="s">
        <v>0</v>
      </c>
      <c r="L136" s="57" t="s">
        <v>4</v>
      </c>
      <c r="M136" s="56" t="s">
        <v>0</v>
      </c>
      <c r="N136" s="58" t="s">
        <v>4</v>
      </c>
      <c r="O136" s="59" t="s">
        <v>0</v>
      </c>
      <c r="P136" s="60" t="s">
        <v>4</v>
      </c>
      <c r="Q136" s="61" t="s">
        <v>0</v>
      </c>
      <c r="R136" s="57" t="s">
        <v>4</v>
      </c>
      <c r="S136" s="56" t="s">
        <v>0</v>
      </c>
      <c r="T136" s="62" t="s">
        <v>4</v>
      </c>
      <c r="U136" s="63" t="s">
        <v>0</v>
      </c>
      <c r="V136" s="64" t="s">
        <v>4</v>
      </c>
      <c r="W136" s="65" t="s">
        <v>0</v>
      </c>
      <c r="X136" s="66" t="s">
        <v>4</v>
      </c>
      <c r="Y136" s="67" t="s">
        <v>0</v>
      </c>
      <c r="Z136" s="68" t="s">
        <v>4</v>
      </c>
      <c r="AA136" s="69" t="s">
        <v>0</v>
      </c>
      <c r="AB136" s="60" t="s">
        <v>4</v>
      </c>
      <c r="AC136" s="61" t="s">
        <v>0</v>
      </c>
      <c r="AD136" s="66" t="s">
        <v>4</v>
      </c>
      <c r="AE136" s="67" t="s">
        <v>0</v>
      </c>
      <c r="AF136" s="58" t="s">
        <v>4</v>
      </c>
      <c r="AG136" s="59" t="s">
        <v>0</v>
      </c>
      <c r="AH136" s="60" t="s">
        <v>4</v>
      </c>
      <c r="AI136" s="61" t="s">
        <v>0</v>
      </c>
      <c r="AJ136" s="68" t="s">
        <v>4</v>
      </c>
      <c r="AK136" s="69" t="s">
        <v>0</v>
      </c>
      <c r="AL136" s="57" t="s">
        <v>4</v>
      </c>
      <c r="AM136" s="56" t="s">
        <v>0</v>
      </c>
      <c r="AN136" s="57" t="s">
        <v>4</v>
      </c>
      <c r="AO136" s="56" t="s">
        <v>0</v>
      </c>
      <c r="AP136" s="57" t="s">
        <v>4</v>
      </c>
      <c r="AQ136" s="56" t="s">
        <v>0</v>
      </c>
      <c r="AR136" s="57" t="s">
        <v>4</v>
      </c>
      <c r="AS136" s="56" t="s">
        <v>0</v>
      </c>
    </row>
    <row r="137" spans="1:53" ht="63.75" x14ac:dyDescent="0.2">
      <c r="A137" s="130">
        <v>7</v>
      </c>
      <c r="B137" s="102" t="s">
        <v>13</v>
      </c>
      <c r="C137" s="125" t="s">
        <v>1</v>
      </c>
      <c r="D137" s="131">
        <v>23</v>
      </c>
      <c r="E137" s="125">
        <v>4</v>
      </c>
      <c r="F137" s="20">
        <v>320000</v>
      </c>
      <c r="G137" s="166">
        <f>ROUND(D137*E137*F137,0)</f>
        <v>29440000</v>
      </c>
      <c r="H137" s="20">
        <v>612438.14</v>
      </c>
      <c r="I137" s="166">
        <f>ROUND(D137*E137*H137,0)</f>
        <v>56344309</v>
      </c>
      <c r="J137" s="20">
        <v>290000</v>
      </c>
      <c r="K137" s="166">
        <f>ROUND(D137*E137*J137,0)</f>
        <v>26680000</v>
      </c>
      <c r="L137" s="20">
        <v>250000</v>
      </c>
      <c r="M137" s="20">
        <f>D137*E137*L137</f>
        <v>23000000</v>
      </c>
      <c r="N137" s="167">
        <v>250000</v>
      </c>
      <c r="O137" s="167">
        <f>D137*E137*N137</f>
        <v>23000000</v>
      </c>
      <c r="P137" s="20">
        <v>300000</v>
      </c>
      <c r="Q137" s="20">
        <f>D137*E137*P137</f>
        <v>27600000</v>
      </c>
      <c r="R137" s="20">
        <v>310000</v>
      </c>
      <c r="S137" s="20">
        <f>D137*E137*R137</f>
        <v>28520000</v>
      </c>
      <c r="T137" s="20">
        <v>315000</v>
      </c>
      <c r="U137" s="20">
        <f>D137*E137*T137</f>
        <v>28980000</v>
      </c>
      <c r="V137" s="132">
        <f>302887*1.0317*1.0373*1.0244*1.0194*1.0366*1.0677*1.0575</f>
        <v>396180.83633030939</v>
      </c>
      <c r="W137" s="132">
        <f>D137*E137*V137</f>
        <v>36448636.942388467</v>
      </c>
      <c r="X137" s="97">
        <f>299551*1.0373*1.0244*1.0194*1.0366*1.0677*1.0575</f>
        <v>379778.32434009091</v>
      </c>
      <c r="Y137" s="97">
        <f>D137*E137*X137</f>
        <v>34939605.839288361</v>
      </c>
      <c r="Z137" s="98">
        <f>250000*1.0244*1.0194*1.0366*1.0677*1.0575</f>
        <v>305558.96548865148</v>
      </c>
      <c r="AA137" s="98">
        <f>D137*E137*Z137</f>
        <v>28111424.824955937</v>
      </c>
      <c r="AB137" s="23">
        <f>234744*1.0194*1.0366*1.0677*1.0575</f>
        <v>280078.61692568526</v>
      </c>
      <c r="AC137" s="23">
        <f>D137*E137*AB137</f>
        <v>25767232.757163044</v>
      </c>
      <c r="AD137" s="97">
        <f>251486*1.0194*1.0366*1.0677*1.0575</f>
        <v>300053.89299054671</v>
      </c>
      <c r="AE137" s="97">
        <f>D137*E137*AD137</f>
        <v>27604958.155130297</v>
      </c>
      <c r="AF137" s="30">
        <f>251449*1.0366*1.0677*1.0575</f>
        <v>294300.32118469791</v>
      </c>
      <c r="AG137" s="30">
        <f>D137*E137*AF137</f>
        <v>27075629.548992209</v>
      </c>
      <c r="AH137" s="23">
        <f>265726*1.0677*1.0575</f>
        <v>300029.30008650006</v>
      </c>
      <c r="AI137" s="23">
        <f>D137*E137*AH137</f>
        <v>27602695.607958008</v>
      </c>
      <c r="AJ137" s="98">
        <f>303889*1.0575</f>
        <v>321362.61750000005</v>
      </c>
      <c r="AK137" s="98">
        <f>ROUND((D137*E137*AJ137),0)</f>
        <v>29565361</v>
      </c>
      <c r="AL137" s="17">
        <f>ROUND((AVERAGE(F137,H137,J137,L137,N137,P137,R137,T137,V137,X137,Z137,AB137,AD137,AF137,AH137,AJ137)),0)</f>
        <v>326549</v>
      </c>
      <c r="AM137" s="17">
        <f>ROUND((D137*E137*AL137),0)</f>
        <v>30042508</v>
      </c>
      <c r="AN137" s="17">
        <f>ROUND((MEDIAN(F137,H137,L137,N137,P137,R137,T137,V137,X137,Z137,AB137,AD137,AF137,AH137,AJ137)),0)</f>
        <v>305559</v>
      </c>
      <c r="AO137" s="17">
        <f>ROUND((D137*E137*AN137),0)</f>
        <v>28111428</v>
      </c>
      <c r="AP137" s="17">
        <f>ROUND((HARMEAN(F137,H137,J137,L137,N137,P137,R137,T137,V137,X137,Z137,AB137,AD137,AF137,AH137,AJ137)),0)</f>
        <v>313016</v>
      </c>
      <c r="AQ137" s="17">
        <f>ROUND((D137*E137*AP137),0)</f>
        <v>28797472</v>
      </c>
      <c r="AR137" s="17">
        <f>ROUND((GEOMEAN(F137,H137,J137,L137,N137,P137,R137,T137,V137,X137,Z137,AB137,AD137,AF137,AH137,AJ137)),0)</f>
        <v>318843</v>
      </c>
      <c r="AS137" s="17">
        <f>ROUND((D137*E137*AR137),0)</f>
        <v>29333556</v>
      </c>
    </row>
    <row r="138" spans="1:53" ht="76.5" x14ac:dyDescent="0.2">
      <c r="A138" s="113">
        <v>8</v>
      </c>
      <c r="B138" s="102" t="s">
        <v>14</v>
      </c>
      <c r="C138" s="125" t="s">
        <v>2</v>
      </c>
      <c r="D138" s="131">
        <v>3000</v>
      </c>
      <c r="E138" s="125">
        <v>4</v>
      </c>
      <c r="F138" s="20">
        <v>2200</v>
      </c>
      <c r="G138" s="166">
        <f>ROUND(D138*E138*F138,0)</f>
        <v>26400000</v>
      </c>
      <c r="H138" s="20">
        <v>6500</v>
      </c>
      <c r="I138" s="166">
        <f>ROUND(D138*E138*H138,0)</f>
        <v>78000000</v>
      </c>
      <c r="J138" s="20">
        <v>1600</v>
      </c>
      <c r="K138" s="166">
        <f>ROUND(D138*E138*J138,0)</f>
        <v>19200000</v>
      </c>
      <c r="L138" s="20">
        <v>1800</v>
      </c>
      <c r="M138" s="20">
        <f>D138*E138*L138</f>
        <v>21600000</v>
      </c>
      <c r="N138" s="167">
        <v>2100</v>
      </c>
      <c r="O138" s="167">
        <f>D138*E138*N138</f>
        <v>25200000</v>
      </c>
      <c r="P138" s="20">
        <v>2950</v>
      </c>
      <c r="Q138" s="20">
        <f>D138*E138*P138</f>
        <v>35400000</v>
      </c>
      <c r="R138" s="20">
        <v>2700</v>
      </c>
      <c r="S138" s="20">
        <f>D138*E138*R138</f>
        <v>32400000</v>
      </c>
      <c r="T138" s="20">
        <v>2800</v>
      </c>
      <c r="U138" s="20">
        <f>D138*E138*T138</f>
        <v>33600000</v>
      </c>
      <c r="V138" s="132">
        <f>1138*1.0317*1.0373*1.0244*1.0194*1.0366*1.0677*1.0575</f>
        <v>1488.5214345412385</v>
      </c>
      <c r="W138" s="132">
        <f>D138*E138*V138</f>
        <v>17862257.214494862</v>
      </c>
      <c r="X138" s="97">
        <f>1569*1.0373*1.0244*1.0194*1.0366*1.0677*1.0575</f>
        <v>1989.2178323210499</v>
      </c>
      <c r="Y138" s="97">
        <f>D138*E138*X138</f>
        <v>23870613.987852599</v>
      </c>
      <c r="Z138" s="98">
        <f>3178*1.0244*1.0194*1.0366*1.0677*1.0575</f>
        <v>3884.2655692917369</v>
      </c>
      <c r="AA138" s="98">
        <f>D138*E138*Z138</f>
        <v>46611186.831500843</v>
      </c>
      <c r="AB138" s="23">
        <f>1757*1.0194*1.0366*1.0677*1.0575</f>
        <v>2096.3182442934813</v>
      </c>
      <c r="AC138" s="23">
        <f>D138*E138*AB138</f>
        <v>25155818.931521773</v>
      </c>
      <c r="AD138" s="97">
        <f>1256*1.0194*1.0366*1.0677*1.0575</f>
        <v>1498.5632981403603</v>
      </c>
      <c r="AE138" s="97">
        <f>D138*E138*AD138</f>
        <v>17982759.577684324</v>
      </c>
      <c r="AF138" s="30">
        <f>1597*1.0366*1.0677*1.0575</f>
        <v>1869.1568188060503</v>
      </c>
      <c r="AG138" s="30">
        <f>D138*E138*AF138</f>
        <v>22429881.825672604</v>
      </c>
      <c r="AH138" s="23">
        <f>1819*1.0677*1.0575</f>
        <v>2053.8197122500005</v>
      </c>
      <c r="AI138" s="23">
        <f>D138*E138*AH138</f>
        <v>24645836.547000006</v>
      </c>
      <c r="AJ138" s="98">
        <f>1755*1.0575</f>
        <v>1855.9125000000001</v>
      </c>
      <c r="AK138" s="98">
        <f>ROUND((D138*E138*AJ138),0)</f>
        <v>22270950</v>
      </c>
      <c r="AL138" s="17">
        <f>ROUND((AVERAGE(F138,H138,J138,L138,N138,P138,R138,T138,V138,X138,Z138,AB138,AD138,AF138,AH138,AJ138)),0)</f>
        <v>2462</v>
      </c>
      <c r="AM138" s="17">
        <f>ROUND((D138*E138*AL138),0)</f>
        <v>29544000</v>
      </c>
      <c r="AN138" s="17">
        <f>ROUND((MEDIAN(F138,H138,L138,N138,P138,R138,T138,V138,X138,Z138,AB138,AD138,AF138,AH138,AJ138)),0)</f>
        <v>2096</v>
      </c>
      <c r="AO138" s="17">
        <f>ROUND((D138*E138*AN138),0)</f>
        <v>25152000</v>
      </c>
      <c r="AP138" s="17">
        <f>ROUND((HARMEAN(F138,H138,J138,L138,N138,P138,R138,T138,V138,X138,Z138,AB138,AD138,AF138,AH138,AJ138)),0)</f>
        <v>2142</v>
      </c>
      <c r="AQ138" s="17">
        <f>ROUND((D138*E138*AP138),0)</f>
        <v>25704000</v>
      </c>
      <c r="AR138" s="17">
        <f>ROUND((GEOMEAN(F138,H138,J138,L138,N138,P138,R138,T138,V138,X138,Z138,AB138,AD138,AF138,AH138,AJ138)),0)</f>
        <v>2270</v>
      </c>
      <c r="AS138" s="17">
        <f>ROUND((D138*E138*AR138),0)</f>
        <v>27240000</v>
      </c>
    </row>
    <row r="139" spans="1:53" ht="76.5" x14ac:dyDescent="0.2">
      <c r="A139" s="130">
        <v>9</v>
      </c>
      <c r="B139" s="70" t="s">
        <v>15</v>
      </c>
      <c r="C139" s="128" t="s">
        <v>2</v>
      </c>
      <c r="D139" s="131">
        <v>2582</v>
      </c>
      <c r="E139" s="125">
        <v>4</v>
      </c>
      <c r="F139" s="20">
        <v>2100</v>
      </c>
      <c r="G139" s="166">
        <f>ROUND(D139*E139*F139,0)</f>
        <v>21688800</v>
      </c>
      <c r="H139" s="20">
        <v>3860</v>
      </c>
      <c r="I139" s="166">
        <f>ROUND(D139*E139*H139,0)</f>
        <v>39866080</v>
      </c>
      <c r="J139" s="20">
        <v>1700</v>
      </c>
      <c r="K139" s="166">
        <f>ROUND(D139*E139*J139,0)</f>
        <v>17557600</v>
      </c>
      <c r="L139" s="20">
        <v>1800</v>
      </c>
      <c r="M139" s="20">
        <f>D139*E139*L139</f>
        <v>18590400</v>
      </c>
      <c r="N139" s="167">
        <v>2100</v>
      </c>
      <c r="O139" s="167">
        <f>D139*E139*N139</f>
        <v>21688800</v>
      </c>
      <c r="P139" s="20">
        <v>2950</v>
      </c>
      <c r="Q139" s="20">
        <f>D139*E139*P139</f>
        <v>30467600</v>
      </c>
      <c r="R139" s="20">
        <v>2700</v>
      </c>
      <c r="S139" s="20">
        <f>D139*E139*R139</f>
        <v>27885600</v>
      </c>
      <c r="T139" s="20">
        <v>2800</v>
      </c>
      <c r="U139" s="20">
        <f>D139*E139*T139</f>
        <v>28918400</v>
      </c>
      <c r="V139" s="132"/>
      <c r="W139" s="132">
        <f>D139*E139*V139</f>
        <v>0</v>
      </c>
      <c r="X139" s="97">
        <f>1750*1.0373*1.0244*1.0194*1.0366*1.0677*1.0575</f>
        <v>2218.6942043096469</v>
      </c>
      <c r="Y139" s="97">
        <f>D139*E139*X139</f>
        <v>22914673.742110033</v>
      </c>
      <c r="Z139" s="98"/>
      <c r="AA139" s="98">
        <f>D139*E139*Z139</f>
        <v>0</v>
      </c>
      <c r="AB139" s="23"/>
      <c r="AC139" s="23">
        <f>D139*E139*AB139</f>
        <v>0</v>
      </c>
      <c r="AD139" s="97"/>
      <c r="AE139" s="97">
        <f>D139*E139*AD139</f>
        <v>0</v>
      </c>
      <c r="AF139" s="30">
        <f>1965*1.0366*1.0677*1.0575</f>
        <v>2299.8704752372505</v>
      </c>
      <c r="AG139" s="30">
        <f>D139*E139*AF139</f>
        <v>23753062.268250324</v>
      </c>
      <c r="AH139" s="23">
        <f>1858*1.0677*1.0575</f>
        <v>2097.8543295000004</v>
      </c>
      <c r="AI139" s="23">
        <f>D139*E139*AH139</f>
        <v>21666639.515076004</v>
      </c>
      <c r="AJ139" s="98">
        <f>2014*1.0575</f>
        <v>2129.8050000000003</v>
      </c>
      <c r="AK139" s="98">
        <f>ROUND((D139*E139*AJ139),0)</f>
        <v>21996626</v>
      </c>
      <c r="AL139" s="17">
        <f>ROUND((AVERAGE(F139,H139,J139,L139,N139,P139,R139,T139,V139,X139,Z139,AB139,AD139,AF139,AH139,AJ139)),0)</f>
        <v>2396</v>
      </c>
      <c r="AM139" s="17">
        <f>ROUND((D139*E139*AL139),0)</f>
        <v>24745888</v>
      </c>
      <c r="AN139" s="17">
        <f>ROUND((MEDIAN(F139,H139,L139,N139,P139,R139,T139,V139,X139,Z139,AB139,AD139,AF139,AH139,AJ139)),0)</f>
        <v>2219</v>
      </c>
      <c r="AO139" s="17">
        <f>ROUND((D139*E139*AN139),0)</f>
        <v>22917832</v>
      </c>
      <c r="AP139" s="17">
        <f>ROUND((HARMEAN(F139,H139,J139,L139,N139,P139,R139,T139,V139,X139,Z139,AB139,AD139,AF139,AH139,AJ139)),0)</f>
        <v>2284</v>
      </c>
      <c r="AQ139" s="17">
        <f>ROUND((D139*E139*AP139),0)</f>
        <v>23589152</v>
      </c>
      <c r="AR139" s="17">
        <f>ROUND((GEOMEAN(F139,H139,J139,L139,N139,P139,R139,T139,V139,X139,Z139,AB139,AD139,AF139,AH139,AJ139)),0)</f>
        <v>2337</v>
      </c>
      <c r="AS139" s="17">
        <f>ROUND((D139*E139*AR139),0)</f>
        <v>24136536</v>
      </c>
    </row>
    <row r="140" spans="1:53" ht="63.75" x14ac:dyDescent="0.2">
      <c r="A140" s="113">
        <v>10</v>
      </c>
      <c r="B140" s="43" t="s">
        <v>149</v>
      </c>
      <c r="C140" s="128" t="s">
        <v>26</v>
      </c>
      <c r="D140" s="131">
        <f>865*2+50*2</f>
        <v>1830</v>
      </c>
      <c r="E140" s="125">
        <v>4</v>
      </c>
      <c r="F140" s="20">
        <v>2500</v>
      </c>
      <c r="G140" s="166">
        <f>ROUND(D140*E140*F140,0)</f>
        <v>18300000</v>
      </c>
      <c r="H140" s="20">
        <v>1600</v>
      </c>
      <c r="I140" s="166">
        <f>ROUND(D140*E140*H140,0)</f>
        <v>11712000</v>
      </c>
      <c r="J140" s="20">
        <v>1900</v>
      </c>
      <c r="K140" s="166">
        <f>ROUND(D140*E140*J140,0)</f>
        <v>13908000</v>
      </c>
      <c r="L140" s="20">
        <v>3600</v>
      </c>
      <c r="M140" s="20">
        <f>L140*E140*D140</f>
        <v>26352000</v>
      </c>
      <c r="N140" s="167">
        <v>3500</v>
      </c>
      <c r="O140" s="167">
        <f>D140*E140*N140</f>
        <v>25620000</v>
      </c>
      <c r="P140" s="23">
        <v>3350</v>
      </c>
      <c r="Q140" s="23">
        <f>D140*E140*P140</f>
        <v>24522000</v>
      </c>
      <c r="R140" s="20">
        <v>3800</v>
      </c>
      <c r="S140" s="20">
        <f>D140*E140*R140</f>
        <v>27816000</v>
      </c>
      <c r="T140" s="36">
        <v>4200</v>
      </c>
      <c r="U140" s="36">
        <f>D140*E140*T140</f>
        <v>30744000</v>
      </c>
      <c r="V140" s="132"/>
      <c r="W140" s="132">
        <f>D140*E140*V140</f>
        <v>0</v>
      </c>
      <c r="X140" s="97"/>
      <c r="Y140" s="97">
        <f>D140*E140*X140</f>
        <v>0</v>
      </c>
      <c r="Z140" s="98"/>
      <c r="AA140" s="98">
        <f>D140*E140*Z140</f>
        <v>0</v>
      </c>
      <c r="AB140" s="23"/>
      <c r="AC140" s="23">
        <f>D140*E140*AB140</f>
        <v>0</v>
      </c>
      <c r="AD140" s="97"/>
      <c r="AE140" s="97">
        <f>D140*E140*AD140</f>
        <v>0</v>
      </c>
      <c r="AF140" s="30">
        <f>1790*1.0366*1.0677*1.0575</f>
        <v>2095.0474049235004</v>
      </c>
      <c r="AG140" s="30">
        <f>D140*E140*AF140</f>
        <v>15335747.004040023</v>
      </c>
      <c r="AH140" s="23">
        <f>1872*1.0677*1.0575</f>
        <v>2113.6616280000003</v>
      </c>
      <c r="AI140" s="23">
        <f>D140*E140*AH140</f>
        <v>15472003.116960002</v>
      </c>
      <c r="AJ140" s="98">
        <f>1656*1.0575</f>
        <v>1751.2200000000003</v>
      </c>
      <c r="AK140" s="98">
        <f>ROUND((D140*E140*AJ140),0)</f>
        <v>12818930</v>
      </c>
      <c r="AL140" s="17">
        <f>ROUND((AVERAGE(F140,H140,J140,L140,N140,P140,R140,T140,V140,X140,Z140,AB140,AD140,AF140,AH140,AJ140)),0)</f>
        <v>2765</v>
      </c>
      <c r="AM140" s="17">
        <f>ROUND((D140*E140*AL140),0)</f>
        <v>20239800</v>
      </c>
      <c r="AN140" s="17">
        <f>ROUND((MEDIAN(F140,H140,L140,N140,P140,R140,T140,V140,X140,Z140,AB140,AD140,AF140,AH140,AJ140)),0)</f>
        <v>2925</v>
      </c>
      <c r="AO140" s="17">
        <f>ROUND((D140*E140*AN140),0)</f>
        <v>21411000</v>
      </c>
      <c r="AP140" s="17">
        <f>ROUND((HARMEAN(F140,H140,J140,L140,N140,P140,R140,T140,V140,X140,Z140,AB140,AD140,AF140,AH140,AJ140)),0)</f>
        <v>2480</v>
      </c>
      <c r="AQ140" s="17">
        <f>ROUND((D140*E140*AP140),0)</f>
        <v>18153600</v>
      </c>
      <c r="AR140" s="17">
        <f>ROUND((GEOMEAN(F140,H140,J140,L140,N140,P140,R140,T140,V140,X140,Z140,AB140,AD140,AF140,AH140,AJ140)),0)</f>
        <v>2619</v>
      </c>
      <c r="AS140" s="17">
        <f>ROUND((D140*E140*AR140),0)</f>
        <v>19171080</v>
      </c>
    </row>
    <row r="141" spans="1:53" ht="38.25" x14ac:dyDescent="0.2">
      <c r="A141" s="130">
        <v>11</v>
      </c>
      <c r="B141" s="120" t="s">
        <v>46</v>
      </c>
      <c r="C141" s="128" t="s">
        <v>1</v>
      </c>
      <c r="D141" s="131">
        <v>12</v>
      </c>
      <c r="E141" s="125">
        <v>4</v>
      </c>
      <c r="F141" s="20">
        <v>500000</v>
      </c>
      <c r="G141" s="166">
        <f>ROUND(D141*E141*F141,0)</f>
        <v>24000000</v>
      </c>
      <c r="H141" s="20">
        <v>1200000</v>
      </c>
      <c r="I141" s="166">
        <f>ROUND(D141*E141*H141,0)</f>
        <v>57600000</v>
      </c>
      <c r="J141" s="20">
        <v>142000</v>
      </c>
      <c r="K141" s="166">
        <f>ROUND(D141*E141*J141,0)</f>
        <v>6816000</v>
      </c>
      <c r="L141" s="20">
        <v>180000</v>
      </c>
      <c r="M141" s="20">
        <f>D141*E141*L141</f>
        <v>8640000</v>
      </c>
      <c r="N141" s="167">
        <v>200000</v>
      </c>
      <c r="O141" s="167">
        <f>D141*E141*N141</f>
        <v>9600000</v>
      </c>
      <c r="P141" s="20">
        <v>250000</v>
      </c>
      <c r="Q141" s="20">
        <f>D141*E141*P141</f>
        <v>12000000</v>
      </c>
      <c r="R141" s="20">
        <v>170000</v>
      </c>
      <c r="S141" s="20">
        <f>D141*E141*R141</f>
        <v>8160000</v>
      </c>
      <c r="T141" s="20">
        <v>180000</v>
      </c>
      <c r="U141" s="20">
        <f>D141*E141*T141</f>
        <v>8640000</v>
      </c>
      <c r="V141" s="132">
        <f>174028*1.0317*1.0373*1.0244*1.0194*1.0366*1.0677*1.0575</f>
        <v>227631.29016726071</v>
      </c>
      <c r="W141" s="132">
        <f>D141*E141*V141</f>
        <v>10926301.928028515</v>
      </c>
      <c r="X141" s="97">
        <f>156225*1.0373*1.0244*1.0194*1.0366*1.0677*1.0575</f>
        <v>198066.00118187122</v>
      </c>
      <c r="Y141" s="97">
        <f>D141*E141*X141</f>
        <v>9507168.0567298196</v>
      </c>
      <c r="Z141" s="98">
        <f>151058*1.0244*1.0194*1.0366*1.0677*1.0575</f>
        <v>184628.50483513883</v>
      </c>
      <c r="AA141" s="98">
        <f>D141*E141*Z141</f>
        <v>8862168.2320866641</v>
      </c>
      <c r="AB141" s="23">
        <f>166724*1.0194*1.0366*1.0677*1.0575</f>
        <v>198922.34659168264</v>
      </c>
      <c r="AC141" s="23">
        <f>D141*E141*AB141</f>
        <v>9548272.6364007667</v>
      </c>
      <c r="AD141" s="97">
        <f>145124*1.0194*1.0366*1.0677*1.0575</f>
        <v>173150.8758593325</v>
      </c>
      <c r="AE141" s="97">
        <f>D141*E141*AD141</f>
        <v>8311242.0412479602</v>
      </c>
      <c r="AF141" s="30">
        <f>129893*1.0366*1.0677*1.0575</f>
        <v>152029.04612722245</v>
      </c>
      <c r="AG141" s="30">
        <f>D141*E141*AF141</f>
        <v>7297394.2141066771</v>
      </c>
      <c r="AH141" s="23">
        <f>158693*1.0677*1.0575</f>
        <v>179179.11577575002</v>
      </c>
      <c r="AI141" s="23">
        <f>D141*E141*AH141</f>
        <v>8600597.5572360009</v>
      </c>
      <c r="AJ141" s="98">
        <f>177807*1.0575</f>
        <v>188030.90250000003</v>
      </c>
      <c r="AK141" s="98">
        <f>ROUND((D141*E141*AJ141),0)</f>
        <v>9025483</v>
      </c>
      <c r="AL141" s="17">
        <f>ROUND((AVERAGE(F141,H141,J141,L141,N141,P141,R141,T141,V141,X141,Z141,AB141,AD141,AF141,AH141,AJ141)),0)</f>
        <v>270227</v>
      </c>
      <c r="AM141" s="17">
        <f>ROUND((D141*E141*AL141),0)</f>
        <v>12970896</v>
      </c>
      <c r="AN141" s="17">
        <f>ROUND((MEDIAN(F141,H141,L141,N141,P141,R141,T141,V141,X141,Z141,AB141,AD141,AF141,AH141,AJ141)),0)</f>
        <v>188031</v>
      </c>
      <c r="AO141" s="17">
        <f>ROUND((D141*E141*AN141),0)</f>
        <v>9025488</v>
      </c>
      <c r="AP141" s="17">
        <f>ROUND((HARMEAN(F141,H141,J141,L141,N141,P141,R141,T141,V141,X141,Z141,AB141,AD141,AF141,AH141,AJ141)),0)</f>
        <v>202515</v>
      </c>
      <c r="AQ141" s="17">
        <f>ROUND((D141*E141*AP141),0)</f>
        <v>9720720</v>
      </c>
      <c r="AR141" s="17">
        <f>ROUND((GEOMEAN(F141,H141,J141,L141,N141,P141,R141,T141,V141,X141,Z141,AB141,AD141,AF141,AH141,AJ141)),0)</f>
        <v>221861</v>
      </c>
      <c r="AS141" s="17">
        <f>ROUND((D141*E141*AR141),0)</f>
        <v>10649328</v>
      </c>
    </row>
    <row r="142" spans="1:53" x14ac:dyDescent="0.2">
      <c r="A142" s="179"/>
      <c r="B142" s="70"/>
      <c r="C142" s="163"/>
      <c r="D142" s="71"/>
      <c r="E142" s="184"/>
      <c r="F142" s="52"/>
      <c r="G142" s="52"/>
      <c r="H142" s="184"/>
      <c r="I142" s="184"/>
      <c r="J142" s="20"/>
      <c r="K142" s="20"/>
      <c r="L142" s="20"/>
      <c r="M142" s="20"/>
      <c r="N142" s="167"/>
      <c r="O142" s="167"/>
      <c r="P142" s="23"/>
      <c r="Q142" s="23"/>
      <c r="R142" s="20"/>
      <c r="S142" s="20"/>
      <c r="T142" s="36"/>
      <c r="U142" s="36"/>
      <c r="V142" s="132"/>
      <c r="W142" s="132"/>
      <c r="X142" s="97"/>
      <c r="Y142" s="97"/>
      <c r="Z142" s="98"/>
      <c r="AA142" s="98"/>
      <c r="AB142" s="23"/>
      <c r="AC142" s="23"/>
      <c r="AD142" s="23"/>
      <c r="AE142" s="23"/>
      <c r="AF142" s="23"/>
      <c r="AG142" s="23"/>
      <c r="AH142" s="44"/>
      <c r="AI142" s="44"/>
      <c r="AJ142" s="44"/>
      <c r="AK142" s="44"/>
      <c r="AL142" s="44"/>
      <c r="AM142" s="44"/>
      <c r="AN142" s="17"/>
      <c r="AO142" s="44"/>
      <c r="AP142" s="44"/>
      <c r="AQ142" s="44"/>
      <c r="AR142" s="44"/>
      <c r="AS142" s="44"/>
    </row>
    <row r="143" spans="1:53" ht="15.75" x14ac:dyDescent="0.2">
      <c r="A143" s="179"/>
      <c r="B143" s="193" t="s">
        <v>150</v>
      </c>
      <c r="C143" s="45"/>
      <c r="D143" s="45"/>
      <c r="E143" s="45"/>
      <c r="F143" s="47"/>
      <c r="G143" s="46">
        <f>SUM(G137:G141)</f>
        <v>119828800</v>
      </c>
      <c r="H143" s="47"/>
      <c r="I143" s="46">
        <f>SUM(I137:I141)</f>
        <v>243522389</v>
      </c>
      <c r="J143" s="47"/>
      <c r="K143" s="46">
        <f>SUM(K137:K141)</f>
        <v>84161600</v>
      </c>
      <c r="L143" s="47"/>
      <c r="M143" s="46">
        <f>SUM(M137:M141)</f>
        <v>98182400</v>
      </c>
      <c r="N143" s="47"/>
      <c r="O143" s="46">
        <f>SUM(O137:O141)</f>
        <v>105108800</v>
      </c>
      <c r="P143" s="47"/>
      <c r="Q143" s="46">
        <f>SUM(Q137:Q141)</f>
        <v>129989600</v>
      </c>
      <c r="R143" s="47"/>
      <c r="S143" s="46">
        <f>SUM(S137:S141)</f>
        <v>124781600</v>
      </c>
      <c r="T143" s="47"/>
      <c r="U143" s="46">
        <f>SUM(U137:U141)</f>
        <v>130882400</v>
      </c>
      <c r="V143" s="47"/>
      <c r="W143" s="46">
        <f>SUM(W137:W141)</f>
        <v>65237196.084911846</v>
      </c>
      <c r="X143" s="47"/>
      <c r="Y143" s="46">
        <f>SUM(Y137:Y141)</f>
        <v>91232061.625980809</v>
      </c>
      <c r="Z143" s="47"/>
      <c r="AA143" s="46">
        <f>SUM(AA137:AA141)</f>
        <v>83584779.888543442</v>
      </c>
      <c r="AB143" s="47"/>
      <c r="AC143" s="46">
        <f>SUM(AC137:AC141)</f>
        <v>60471324.325085588</v>
      </c>
      <c r="AD143" s="47"/>
      <c r="AE143" s="46">
        <f>SUM(AE137:AE141)</f>
        <v>53898959.774062589</v>
      </c>
      <c r="AF143" s="47"/>
      <c r="AG143" s="46">
        <f>SUM(AG137:AG141)</f>
        <v>95891714.861061826</v>
      </c>
      <c r="AH143" s="47"/>
      <c r="AI143" s="46">
        <f>SUM(AI137:AI141)</f>
        <v>97987772.344230026</v>
      </c>
      <c r="AJ143" s="47"/>
      <c r="AK143" s="46">
        <f>SUM(AK137:AK141)</f>
        <v>95677350</v>
      </c>
      <c r="AL143" s="48"/>
      <c r="AM143" s="194">
        <f>SUM(AM137:AM141)</f>
        <v>117543092</v>
      </c>
      <c r="AN143" s="48"/>
      <c r="AO143" s="194">
        <f>SUM(AO137:AO141)</f>
        <v>106617748</v>
      </c>
      <c r="AP143" s="48"/>
      <c r="AQ143" s="194">
        <f>SUM(AQ137:AQ141)</f>
        <v>105964944</v>
      </c>
      <c r="AR143" s="48"/>
      <c r="AS143" s="194">
        <f>SUM(AS137:AS141)</f>
        <v>110530500</v>
      </c>
    </row>
    <row r="144" spans="1:53" ht="15.75" x14ac:dyDescent="0.2">
      <c r="A144" s="179"/>
      <c r="B144" s="193" t="s">
        <v>151</v>
      </c>
      <c r="C144" s="45"/>
      <c r="D144" s="45"/>
      <c r="E144" s="185"/>
      <c r="F144" s="181">
        <v>0.19</v>
      </c>
      <c r="G144" s="46">
        <f>ROUND(G143*F144,0)</f>
        <v>22767472</v>
      </c>
      <c r="H144" s="181">
        <v>0.19</v>
      </c>
      <c r="I144" s="46">
        <f>ROUND(I143*H144,0)</f>
        <v>46269254</v>
      </c>
      <c r="J144" s="181">
        <v>0.19</v>
      </c>
      <c r="K144" s="46">
        <f>ROUND(K143*J144,0)</f>
        <v>15990704</v>
      </c>
      <c r="L144" s="181">
        <v>0.19</v>
      </c>
      <c r="M144" s="46">
        <f>ROUND(M143*L144,0)</f>
        <v>18654656</v>
      </c>
      <c r="N144" s="181">
        <v>0.19</v>
      </c>
      <c r="O144" s="46">
        <f>ROUND(O143*N144,0)</f>
        <v>19970672</v>
      </c>
      <c r="P144" s="181">
        <v>0.19</v>
      </c>
      <c r="Q144" s="46">
        <f>ROUND(Q143*P144,0)</f>
        <v>24698024</v>
      </c>
      <c r="R144" s="181">
        <v>0.19</v>
      </c>
      <c r="S144" s="46">
        <f>ROUND(S143*R144,0)</f>
        <v>23708504</v>
      </c>
      <c r="T144" s="181">
        <v>0.19</v>
      </c>
      <c r="U144" s="46">
        <f>ROUND(U143*T144,0)</f>
        <v>24867656</v>
      </c>
      <c r="V144" s="181">
        <v>0.19</v>
      </c>
      <c r="W144" s="46">
        <f>ROUND(W143*V144,0)</f>
        <v>12395067</v>
      </c>
      <c r="X144" s="181">
        <v>0.19</v>
      </c>
      <c r="Y144" s="46">
        <f>ROUND(Y143*X144,0)</f>
        <v>17334092</v>
      </c>
      <c r="Z144" s="181">
        <v>0.19</v>
      </c>
      <c r="AA144" s="46">
        <f>ROUND(AA143*Z144,0)</f>
        <v>15881108</v>
      </c>
      <c r="AB144" s="181">
        <v>0.19</v>
      </c>
      <c r="AC144" s="46">
        <f>ROUND(AC143*AB144,0)</f>
        <v>11489552</v>
      </c>
      <c r="AD144" s="181">
        <v>0.19</v>
      </c>
      <c r="AE144" s="46">
        <f>ROUND(AE143*AD144,0)</f>
        <v>10240802</v>
      </c>
      <c r="AF144" s="181">
        <v>0.19</v>
      </c>
      <c r="AG144" s="46">
        <f>ROUND(AG143*AF144,0)</f>
        <v>18219426</v>
      </c>
      <c r="AH144" s="181">
        <v>0.19</v>
      </c>
      <c r="AI144" s="46">
        <f>ROUND(AI143*AH144,0)</f>
        <v>18617677</v>
      </c>
      <c r="AJ144" s="181">
        <v>0.19</v>
      </c>
      <c r="AK144" s="46">
        <f>ROUND(AK143*AJ144,0)</f>
        <v>18178697</v>
      </c>
      <c r="AL144" s="195">
        <v>0.19</v>
      </c>
      <c r="AM144" s="194">
        <f>ROUND(AM143*AL144,0)</f>
        <v>22333187</v>
      </c>
      <c r="AN144" s="195">
        <v>0.19</v>
      </c>
      <c r="AO144" s="194">
        <f>ROUND(AO143*AN144,0)</f>
        <v>20257372</v>
      </c>
      <c r="AP144" s="195">
        <v>0.19</v>
      </c>
      <c r="AQ144" s="194">
        <f>ROUND(AQ143*AP144,0)</f>
        <v>20133339</v>
      </c>
      <c r="AR144" s="195">
        <v>0.19</v>
      </c>
      <c r="AS144" s="194">
        <f>ROUND(AS143*AR144,0)</f>
        <v>21000795</v>
      </c>
    </row>
    <row r="145" spans="1:45" ht="15.75" x14ac:dyDescent="0.2">
      <c r="A145" s="179"/>
      <c r="B145" s="165" t="s">
        <v>135</v>
      </c>
      <c r="C145" s="45"/>
      <c r="D145" s="45"/>
      <c r="E145" s="45"/>
      <c r="F145" s="47"/>
      <c r="G145" s="46">
        <f>SUM(G143:G144)</f>
        <v>142596272</v>
      </c>
      <c r="H145" s="47"/>
      <c r="I145" s="46">
        <f>SUM(I143:I144)</f>
        <v>289791643</v>
      </c>
      <c r="J145" s="47"/>
      <c r="K145" s="46">
        <f>SUM(K143:K144)</f>
        <v>100152304</v>
      </c>
      <c r="L145" s="47"/>
      <c r="M145" s="46">
        <f>SUM(M143:M144)</f>
        <v>116837056</v>
      </c>
      <c r="N145" s="47"/>
      <c r="O145" s="46">
        <f>SUM(O143:O144)</f>
        <v>125079472</v>
      </c>
      <c r="P145" s="47"/>
      <c r="Q145" s="46">
        <f>SUM(Q143:Q144)</f>
        <v>154687624</v>
      </c>
      <c r="R145" s="47"/>
      <c r="S145" s="46">
        <f>SUM(S143:S144)</f>
        <v>148490104</v>
      </c>
      <c r="T145" s="47"/>
      <c r="U145" s="46">
        <f>SUM(U143:U144)</f>
        <v>155750056</v>
      </c>
      <c r="V145" s="47"/>
      <c r="W145" s="46">
        <f>SUM(W143:W144)</f>
        <v>77632263.084911853</v>
      </c>
      <c r="X145" s="47"/>
      <c r="Y145" s="46">
        <f>SUM(Y143:Y144)</f>
        <v>108566153.62598081</v>
      </c>
      <c r="Z145" s="47"/>
      <c r="AA145" s="46">
        <f>SUM(AA143:AA144)</f>
        <v>99465887.888543442</v>
      </c>
      <c r="AB145" s="47"/>
      <c r="AC145" s="46">
        <f>SUM(AC143:AC144)</f>
        <v>71960876.32508558</v>
      </c>
      <c r="AD145" s="47"/>
      <c r="AE145" s="46">
        <f>SUM(AE143:AE144)</f>
        <v>64139761.774062589</v>
      </c>
      <c r="AF145" s="47"/>
      <c r="AG145" s="46">
        <f>SUM(AG143:AG144)</f>
        <v>114111140.86106183</v>
      </c>
      <c r="AH145" s="47"/>
      <c r="AI145" s="46">
        <f>SUM(AI143:AI144)</f>
        <v>116605449.34423003</v>
      </c>
      <c r="AJ145" s="47"/>
      <c r="AK145" s="46">
        <f>SUM(AK143:AK144)</f>
        <v>113856047</v>
      </c>
      <c r="AL145" s="48"/>
      <c r="AM145" s="194">
        <f>SUM(AM143:AM144)</f>
        <v>139876279</v>
      </c>
      <c r="AN145" s="48"/>
      <c r="AO145" s="194">
        <f>SUM(AO143:AO144)</f>
        <v>126875120</v>
      </c>
      <c r="AP145" s="48"/>
      <c r="AQ145" s="194">
        <f>SUM(AQ143:AQ144)</f>
        <v>126098283</v>
      </c>
      <c r="AR145" s="48"/>
      <c r="AS145" s="194">
        <f>SUM(AS143:AS144)</f>
        <v>131531295</v>
      </c>
    </row>
    <row r="146" spans="1:45" x14ac:dyDescent="0.2">
      <c r="A146" s="177"/>
      <c r="B146" s="172"/>
      <c r="C146" s="172"/>
      <c r="D146" s="172"/>
      <c r="E146" s="172"/>
      <c r="F146" s="172"/>
      <c r="G146" s="172"/>
      <c r="H146" s="172"/>
      <c r="I146" s="172"/>
      <c r="J146" s="172"/>
      <c r="K146" s="172"/>
      <c r="L146" s="172"/>
      <c r="M146" s="172"/>
      <c r="N146" s="172"/>
      <c r="O146" s="172"/>
      <c r="P146" s="172"/>
      <c r="Q146" s="172"/>
      <c r="R146" s="172"/>
      <c r="S146" s="172"/>
      <c r="T146" s="172"/>
      <c r="U146" s="172"/>
      <c r="V146" s="172"/>
      <c r="W146" s="172"/>
      <c r="X146" s="172"/>
      <c r="Y146" s="172"/>
      <c r="Z146" s="172"/>
      <c r="AA146" s="172"/>
      <c r="AB146" s="172"/>
      <c r="AC146" s="172"/>
      <c r="AD146" s="172"/>
      <c r="AE146" s="172"/>
      <c r="AF146" s="172"/>
      <c r="AG146" s="172"/>
      <c r="AH146" s="172"/>
      <c r="AI146" s="172"/>
      <c r="AJ146" s="172"/>
      <c r="AK146" s="172"/>
      <c r="AL146" s="172"/>
      <c r="AM146" s="172"/>
      <c r="AN146" s="172"/>
      <c r="AO146" s="172"/>
      <c r="AP146" s="172"/>
      <c r="AQ146" s="172"/>
      <c r="AR146" s="172"/>
      <c r="AS146" s="172"/>
    </row>
    <row r="147" spans="1:45" x14ac:dyDescent="0.2">
      <c r="A147" s="177"/>
      <c r="B147" s="172"/>
      <c r="C147" s="172"/>
      <c r="D147" s="172"/>
      <c r="E147" s="172"/>
      <c r="F147" s="172"/>
      <c r="G147" s="172"/>
      <c r="H147" s="172"/>
      <c r="I147" s="172"/>
      <c r="J147" s="172"/>
      <c r="K147" s="172"/>
      <c r="L147" s="172"/>
      <c r="M147" s="172"/>
      <c r="N147" s="172"/>
      <c r="O147" s="172"/>
      <c r="P147" s="172"/>
      <c r="Q147" s="172"/>
      <c r="R147" s="172"/>
      <c r="S147" s="172"/>
      <c r="T147" s="172"/>
      <c r="U147" s="172"/>
      <c r="V147" s="172"/>
      <c r="W147" s="172"/>
      <c r="X147" s="172"/>
      <c r="Y147" s="172"/>
      <c r="Z147" s="172"/>
      <c r="AA147" s="172"/>
      <c r="AB147" s="172"/>
      <c r="AC147" s="172"/>
      <c r="AD147" s="172"/>
      <c r="AE147" s="172"/>
      <c r="AF147" s="172"/>
      <c r="AG147" s="172"/>
      <c r="AH147" s="172"/>
      <c r="AI147" s="172"/>
      <c r="AJ147" s="172"/>
      <c r="AK147" s="172"/>
      <c r="AL147" s="172"/>
      <c r="AM147" s="172"/>
      <c r="AN147" s="172"/>
      <c r="AO147" s="172"/>
      <c r="AP147" s="172"/>
      <c r="AQ147" s="172"/>
      <c r="AR147" s="172"/>
      <c r="AS147" s="172"/>
    </row>
    <row r="148" spans="1:45" x14ac:dyDescent="0.2">
      <c r="A148" s="177"/>
      <c r="B148" s="172"/>
      <c r="C148" s="172"/>
      <c r="D148" s="172"/>
      <c r="E148" s="172"/>
      <c r="F148" s="172"/>
      <c r="G148" s="172"/>
      <c r="H148" s="172"/>
      <c r="I148" s="172"/>
      <c r="J148" s="172"/>
      <c r="K148" s="172"/>
      <c r="L148" s="172"/>
      <c r="M148" s="172"/>
      <c r="N148" s="172"/>
      <c r="O148" s="172"/>
      <c r="P148" s="172"/>
      <c r="Q148" s="172"/>
      <c r="R148" s="172"/>
      <c r="S148" s="172"/>
      <c r="T148" s="172"/>
      <c r="U148" s="172"/>
      <c r="V148" s="172"/>
      <c r="W148" s="172"/>
      <c r="X148" s="172"/>
      <c r="Y148" s="172"/>
      <c r="Z148" s="172"/>
      <c r="AA148" s="172"/>
      <c r="AB148" s="172"/>
      <c r="AC148" s="172"/>
      <c r="AD148" s="172"/>
      <c r="AE148" s="172"/>
      <c r="AF148" s="172"/>
      <c r="AG148" s="172"/>
      <c r="AH148" s="172"/>
      <c r="AI148" s="172"/>
      <c r="AJ148" s="172"/>
      <c r="AK148" s="172"/>
      <c r="AL148" s="172"/>
      <c r="AM148" s="172"/>
      <c r="AN148" s="172"/>
      <c r="AO148" s="172"/>
      <c r="AP148" s="172"/>
      <c r="AQ148" s="172"/>
      <c r="AR148" s="172"/>
      <c r="AS148" s="172"/>
    </row>
    <row r="149" spans="1:45" x14ac:dyDescent="0.2">
      <c r="A149" s="177"/>
      <c r="B149" s="172"/>
      <c r="C149" s="172"/>
      <c r="D149" s="172"/>
      <c r="E149" s="172"/>
      <c r="F149" s="172"/>
      <c r="G149" s="172"/>
      <c r="H149" s="172"/>
      <c r="I149" s="172"/>
      <c r="J149" s="172"/>
      <c r="K149" s="172"/>
      <c r="L149" s="172"/>
      <c r="M149" s="172"/>
      <c r="N149" s="172"/>
      <c r="O149" s="172"/>
      <c r="P149" s="172"/>
      <c r="Q149" s="172"/>
      <c r="R149" s="172"/>
      <c r="S149" s="172"/>
      <c r="T149" s="172"/>
      <c r="U149" s="172"/>
      <c r="V149" s="172"/>
      <c r="W149" s="172"/>
      <c r="X149" s="172"/>
      <c r="Y149" s="172"/>
      <c r="Z149" s="172"/>
      <c r="AA149" s="172"/>
      <c r="AB149" s="172"/>
      <c r="AC149" s="172"/>
      <c r="AD149" s="172"/>
      <c r="AE149" s="172"/>
      <c r="AF149" s="172"/>
      <c r="AG149" s="172"/>
      <c r="AH149" s="172"/>
      <c r="AI149" s="172"/>
      <c r="AJ149" s="172"/>
      <c r="AK149" s="172"/>
      <c r="AL149" s="172"/>
      <c r="AM149" s="172"/>
      <c r="AN149" s="172"/>
      <c r="AO149" s="172"/>
      <c r="AP149" s="172"/>
      <c r="AQ149" s="172"/>
      <c r="AR149" s="172"/>
      <c r="AS149" s="172"/>
    </row>
    <row r="150" spans="1:45" ht="28.5" x14ac:dyDescent="0.2">
      <c r="A150" s="177"/>
      <c r="B150" s="189" t="s">
        <v>0</v>
      </c>
      <c r="C150" s="172"/>
      <c r="D150" s="172"/>
      <c r="E150" s="172"/>
      <c r="F150" s="172"/>
      <c r="G150" s="172"/>
      <c r="H150" s="172"/>
      <c r="I150" s="172"/>
      <c r="J150" s="172"/>
      <c r="K150" s="172"/>
      <c r="L150" s="172"/>
      <c r="M150" s="172"/>
      <c r="N150" s="172"/>
      <c r="O150" s="172"/>
      <c r="P150" s="172"/>
      <c r="Q150" s="172"/>
      <c r="R150" s="172"/>
      <c r="S150" s="172"/>
      <c r="T150" s="172"/>
      <c r="U150" s="172"/>
      <c r="V150" s="172"/>
      <c r="W150" s="172"/>
      <c r="X150" s="172"/>
      <c r="Y150" s="172"/>
      <c r="Z150" s="172"/>
      <c r="AA150" s="172"/>
      <c r="AB150" s="172"/>
      <c r="AC150" s="172"/>
      <c r="AD150" s="172"/>
      <c r="AE150" s="172"/>
      <c r="AF150" s="172"/>
      <c r="AG150" s="172"/>
      <c r="AH150" s="172"/>
      <c r="AI150" s="172"/>
      <c r="AJ150" s="172"/>
      <c r="AK150" s="172"/>
      <c r="AL150" s="172"/>
      <c r="AM150" s="174">
        <f>AM145+AM130+AK114+AM101+AK84+AK71+AK56+AM42+AK26+AM12</f>
        <v>1304239058</v>
      </c>
      <c r="AN150" s="172"/>
      <c r="AO150" s="174">
        <f>AO145+AO130+AM114+AO101+AM84+AM71+AM56+AO42+AM26+AO12</f>
        <v>1133703870</v>
      </c>
      <c r="AP150" s="172"/>
      <c r="AQ150" s="174">
        <f>AQ145+AQ130+AO114+AQ101+AO84+AO71+AO56+AQ42+AO26+AQ12</f>
        <v>1159625583</v>
      </c>
      <c r="AR150" s="172"/>
      <c r="AS150" s="174">
        <f>AS145+AS130+AQ114+AS101+AQ84+AQ71+AQ56+AS42+AQ26+AS12</f>
        <v>1212412250</v>
      </c>
    </row>
    <row r="151" spans="1:45" x14ac:dyDescent="0.2">
      <c r="A151" s="177"/>
      <c r="B151" s="172"/>
      <c r="C151" s="172"/>
      <c r="D151" s="172"/>
      <c r="E151" s="172"/>
      <c r="F151" s="172"/>
      <c r="G151" s="172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72"/>
      <c r="S151" s="172"/>
      <c r="T151" s="172"/>
      <c r="U151" s="172"/>
      <c r="V151" s="172"/>
      <c r="W151" s="172"/>
      <c r="X151" s="172"/>
      <c r="Y151" s="172"/>
      <c r="Z151" s="172"/>
      <c r="AA151" s="172"/>
      <c r="AB151" s="172"/>
      <c r="AC151" s="172"/>
      <c r="AD151" s="172"/>
      <c r="AE151" s="172"/>
      <c r="AF151" s="172"/>
      <c r="AG151" s="172"/>
      <c r="AH151" s="172"/>
      <c r="AI151" s="172"/>
      <c r="AJ151" s="172"/>
      <c r="AK151" s="172"/>
      <c r="AL151" s="172"/>
      <c r="AM151" s="172"/>
      <c r="AN151" s="172"/>
      <c r="AO151" s="172"/>
      <c r="AP151" s="172"/>
      <c r="AQ151" s="172"/>
      <c r="AR151" s="172"/>
      <c r="AS151" s="172"/>
    </row>
    <row r="152" spans="1:45" x14ac:dyDescent="0.2">
      <c r="A152" s="177"/>
      <c r="B152" s="172"/>
      <c r="C152" s="172"/>
      <c r="D152" s="172"/>
      <c r="E152" s="172"/>
      <c r="F152" s="172"/>
      <c r="G152" s="172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  <c r="R152" s="172"/>
      <c r="S152" s="172"/>
      <c r="T152" s="172"/>
      <c r="U152" s="172"/>
      <c r="V152" s="172"/>
      <c r="W152" s="172"/>
      <c r="X152" s="172"/>
      <c r="Y152" s="172"/>
      <c r="Z152" s="172"/>
      <c r="AA152" s="172"/>
      <c r="AB152" s="172"/>
      <c r="AC152" s="172"/>
      <c r="AD152" s="172"/>
      <c r="AE152" s="172"/>
      <c r="AF152" s="172"/>
      <c r="AG152" s="172"/>
      <c r="AH152" s="172"/>
      <c r="AI152" s="172"/>
      <c r="AJ152" s="172"/>
      <c r="AK152" s="172"/>
      <c r="AL152" s="172"/>
      <c r="AM152" s="172"/>
      <c r="AN152" s="172"/>
      <c r="AO152" s="172"/>
      <c r="AP152" s="172"/>
      <c r="AQ152" s="172"/>
      <c r="AR152" s="172"/>
      <c r="AS152" s="172"/>
    </row>
    <row r="153" spans="1:45" x14ac:dyDescent="0.2">
      <c r="A153" s="177"/>
      <c r="B153" s="172"/>
      <c r="C153" s="172"/>
      <c r="D153" s="172"/>
      <c r="E153" s="172"/>
      <c r="F153" s="172"/>
      <c r="G153" s="172"/>
      <c r="H153" s="172"/>
      <c r="I153" s="172"/>
      <c r="J153" s="172"/>
      <c r="K153" s="172"/>
      <c r="L153" s="172"/>
      <c r="M153" s="172"/>
      <c r="N153" s="172"/>
      <c r="O153" s="172"/>
      <c r="P153" s="172"/>
      <c r="Q153" s="172"/>
      <c r="R153" s="172"/>
      <c r="S153" s="172"/>
      <c r="T153" s="172"/>
      <c r="U153" s="172"/>
      <c r="V153" s="172"/>
      <c r="W153" s="172"/>
      <c r="X153" s="172"/>
      <c r="Y153" s="172"/>
      <c r="Z153" s="172"/>
      <c r="AA153" s="172"/>
      <c r="AB153" s="172"/>
      <c r="AC153" s="172"/>
      <c r="AD153" s="172"/>
      <c r="AE153" s="172"/>
      <c r="AF153" s="172"/>
      <c r="AG153" s="172"/>
      <c r="AH153" s="172"/>
      <c r="AI153" s="172"/>
      <c r="AJ153" s="172"/>
      <c r="AK153" s="172"/>
      <c r="AL153" s="172"/>
      <c r="AM153" s="172"/>
      <c r="AN153" s="172"/>
      <c r="AO153" s="172"/>
      <c r="AP153" s="172"/>
      <c r="AQ153" s="172"/>
      <c r="AR153" s="172"/>
      <c r="AS153" s="172"/>
    </row>
    <row r="154" spans="1:45" x14ac:dyDescent="0.2">
      <c r="A154" s="177"/>
      <c r="B154" s="172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172"/>
      <c r="S154" s="172"/>
      <c r="T154" s="172"/>
      <c r="U154" s="172"/>
      <c r="V154" s="172"/>
      <c r="W154" s="172"/>
      <c r="X154" s="172"/>
      <c r="Y154" s="172"/>
      <c r="Z154" s="172"/>
      <c r="AA154" s="172"/>
      <c r="AB154" s="172"/>
      <c r="AC154" s="172"/>
      <c r="AD154" s="172"/>
      <c r="AE154" s="172"/>
      <c r="AF154" s="172"/>
      <c r="AG154" s="172"/>
      <c r="AH154" s="172"/>
      <c r="AI154" s="172"/>
      <c r="AJ154" s="172"/>
      <c r="AK154" s="172"/>
      <c r="AL154" s="172"/>
      <c r="AM154" s="172"/>
      <c r="AN154" s="172"/>
      <c r="AO154" s="172"/>
      <c r="AP154" s="172"/>
      <c r="AQ154" s="172"/>
      <c r="AR154" s="172"/>
      <c r="AS154" s="172"/>
    </row>
    <row r="155" spans="1:45" x14ac:dyDescent="0.2">
      <c r="A155" s="177"/>
      <c r="B155" s="172"/>
      <c r="C155" s="172"/>
      <c r="D155" s="172"/>
      <c r="E155" s="172"/>
      <c r="F155" s="172"/>
      <c r="G155" s="172"/>
      <c r="H155" s="172"/>
      <c r="I155" s="172"/>
      <c r="J155" s="172"/>
      <c r="K155" s="172"/>
      <c r="L155" s="172"/>
      <c r="M155" s="172"/>
      <c r="N155" s="172"/>
      <c r="O155" s="172"/>
      <c r="P155" s="172"/>
      <c r="Q155" s="172"/>
      <c r="R155" s="172"/>
      <c r="S155" s="172"/>
      <c r="T155" s="172"/>
      <c r="U155" s="172"/>
      <c r="V155" s="172"/>
      <c r="W155" s="172"/>
      <c r="X155" s="172"/>
      <c r="Y155" s="172"/>
      <c r="Z155" s="172"/>
      <c r="AA155" s="172"/>
      <c r="AB155" s="172"/>
      <c r="AC155" s="172"/>
      <c r="AD155" s="172"/>
      <c r="AE155" s="172"/>
      <c r="AF155" s="172"/>
      <c r="AG155" s="172"/>
      <c r="AH155" s="172"/>
      <c r="AI155" s="172"/>
      <c r="AJ155" s="172"/>
      <c r="AK155" s="172"/>
      <c r="AL155" s="172"/>
      <c r="AM155" s="172"/>
      <c r="AN155" s="172"/>
      <c r="AO155" s="172"/>
      <c r="AP155" s="172"/>
      <c r="AQ155" s="172"/>
      <c r="AR155" s="172"/>
      <c r="AS155" s="172"/>
    </row>
  </sheetData>
  <mergeCells count="216">
    <mergeCell ref="J3:K3"/>
    <mergeCell ref="AL117:AS117"/>
    <mergeCell ref="AL133:AS133"/>
    <mergeCell ref="AL31:AS31"/>
    <mergeCell ref="AL1:AS1"/>
    <mergeCell ref="AJ13:AQ13"/>
    <mergeCell ref="AJ45:AQ45"/>
    <mergeCell ref="AJ60:AQ60"/>
    <mergeCell ref="AJ73:AQ73"/>
    <mergeCell ref="AL87:AS87"/>
    <mergeCell ref="J89:K89"/>
    <mergeCell ref="N33:O33"/>
    <mergeCell ref="P33:Q33"/>
    <mergeCell ref="L15:M15"/>
    <mergeCell ref="AP119:AQ119"/>
    <mergeCell ref="AR119:AS119"/>
    <mergeCell ref="X119:Y119"/>
    <mergeCell ref="Z119:AA119"/>
    <mergeCell ref="AB119:AC119"/>
    <mergeCell ref="AD119:AE119"/>
    <mergeCell ref="AJ119:AK119"/>
    <mergeCell ref="AL119:AM119"/>
    <mergeCell ref="AN119:AO119"/>
    <mergeCell ref="T119:U119"/>
    <mergeCell ref="F75:G75"/>
    <mergeCell ref="F1:R1"/>
    <mergeCell ref="F31:U31"/>
    <mergeCell ref="G45:U45"/>
    <mergeCell ref="F60:U60"/>
    <mergeCell ref="F73:V73"/>
    <mergeCell ref="H62:I62"/>
    <mergeCell ref="F62:G62"/>
    <mergeCell ref="J33:K33"/>
    <mergeCell ref="J15:K15"/>
    <mergeCell ref="H75:I75"/>
    <mergeCell ref="F3:G3"/>
    <mergeCell ref="H3:I3"/>
    <mergeCell ref="F15:G15"/>
    <mergeCell ref="F33:G33"/>
    <mergeCell ref="F47:G47"/>
    <mergeCell ref="H15:I15"/>
    <mergeCell ref="H33:I33"/>
    <mergeCell ref="H47:I47"/>
    <mergeCell ref="F13:R13"/>
    <mergeCell ref="J47:K47"/>
    <mergeCell ref="J75:K75"/>
    <mergeCell ref="J62:K62"/>
    <mergeCell ref="L33:M33"/>
    <mergeCell ref="H89:I89"/>
    <mergeCell ref="H106:I106"/>
    <mergeCell ref="H119:I119"/>
    <mergeCell ref="H135:I135"/>
    <mergeCell ref="F87:U87"/>
    <mergeCell ref="F104:U104"/>
    <mergeCell ref="F117:U117"/>
    <mergeCell ref="F133:U133"/>
    <mergeCell ref="F106:G106"/>
    <mergeCell ref="F119:G119"/>
    <mergeCell ref="F135:G135"/>
    <mergeCell ref="L135:M135"/>
    <mergeCell ref="N135:O135"/>
    <mergeCell ref="J135:K135"/>
    <mergeCell ref="J119:K119"/>
    <mergeCell ref="J106:K106"/>
    <mergeCell ref="L106:M106"/>
    <mergeCell ref="N106:O106"/>
    <mergeCell ref="F89:G89"/>
    <mergeCell ref="L119:M119"/>
    <mergeCell ref="N119:O119"/>
    <mergeCell ref="P119:Q119"/>
    <mergeCell ref="R119:S119"/>
    <mergeCell ref="P135:Q135"/>
    <mergeCell ref="AP135:AQ135"/>
    <mergeCell ref="R135:S135"/>
    <mergeCell ref="T135:U135"/>
    <mergeCell ref="V135:W135"/>
    <mergeCell ref="X135:Y135"/>
    <mergeCell ref="AR135:AS135"/>
    <mergeCell ref="AD135:AE135"/>
    <mergeCell ref="AF135:AG135"/>
    <mergeCell ref="AH135:AI135"/>
    <mergeCell ref="AJ135:AK135"/>
    <mergeCell ref="Z135:AA135"/>
    <mergeCell ref="AB135:AC135"/>
    <mergeCell ref="V119:W119"/>
    <mergeCell ref="AL135:AM135"/>
    <mergeCell ref="AN135:AO135"/>
    <mergeCell ref="AB106:AC106"/>
    <mergeCell ref="AD106:AE106"/>
    <mergeCell ref="AF106:AG106"/>
    <mergeCell ref="AF119:AG119"/>
    <mergeCell ref="AH119:AI119"/>
    <mergeCell ref="AH106:AI106"/>
    <mergeCell ref="P106:Q106"/>
    <mergeCell ref="R106:S106"/>
    <mergeCell ref="T106:U106"/>
    <mergeCell ref="V106:W106"/>
    <mergeCell ref="X106:Y106"/>
    <mergeCell ref="Z106:AA106"/>
    <mergeCell ref="AJ89:AK89"/>
    <mergeCell ref="AJ104:AQ104"/>
    <mergeCell ref="AN106:AO106"/>
    <mergeCell ref="AP106:AQ106"/>
    <mergeCell ref="AJ106:AK106"/>
    <mergeCell ref="AP89:AQ89"/>
    <mergeCell ref="AL106:AM106"/>
    <mergeCell ref="AR89:AS89"/>
    <mergeCell ref="V89:W89"/>
    <mergeCell ref="X89:Y89"/>
    <mergeCell ref="Z89:AA89"/>
    <mergeCell ref="AB89:AC89"/>
    <mergeCell ref="AD89:AE89"/>
    <mergeCell ref="AF89:AG89"/>
    <mergeCell ref="AL89:AM89"/>
    <mergeCell ref="AN89:AO89"/>
    <mergeCell ref="AH89:AI89"/>
    <mergeCell ref="X62:Y62"/>
    <mergeCell ref="Z62:AA62"/>
    <mergeCell ref="AB62:AC62"/>
    <mergeCell ref="AL75:AM75"/>
    <mergeCell ref="AN75:AO75"/>
    <mergeCell ref="AP75:AQ75"/>
    <mergeCell ref="L89:M89"/>
    <mergeCell ref="N89:O89"/>
    <mergeCell ref="P89:Q89"/>
    <mergeCell ref="R89:S89"/>
    <mergeCell ref="T89:U89"/>
    <mergeCell ref="Z75:AA75"/>
    <mergeCell ref="AB75:AC75"/>
    <mergeCell ref="AD75:AE75"/>
    <mergeCell ref="AF75:AG75"/>
    <mergeCell ref="V75:W75"/>
    <mergeCell ref="X75:Y75"/>
    <mergeCell ref="AH75:AI75"/>
    <mergeCell ref="AJ75:AK75"/>
    <mergeCell ref="V47:W47"/>
    <mergeCell ref="X47:Y47"/>
    <mergeCell ref="Z47:AA47"/>
    <mergeCell ref="AB47:AC47"/>
    <mergeCell ref="AD47:AE47"/>
    <mergeCell ref="AF47:AG47"/>
    <mergeCell ref="AP62:AQ62"/>
    <mergeCell ref="L75:M75"/>
    <mergeCell ref="N75:O75"/>
    <mergeCell ref="P75:Q75"/>
    <mergeCell ref="R75:S75"/>
    <mergeCell ref="T75:U75"/>
    <mergeCell ref="AD62:AE62"/>
    <mergeCell ref="AF62:AG62"/>
    <mergeCell ref="AH62:AI62"/>
    <mergeCell ref="AJ62:AK62"/>
    <mergeCell ref="AL62:AM62"/>
    <mergeCell ref="AN62:AO62"/>
    <mergeCell ref="L62:M62"/>
    <mergeCell ref="N62:O62"/>
    <mergeCell ref="P62:Q62"/>
    <mergeCell ref="R62:S62"/>
    <mergeCell ref="T62:U62"/>
    <mergeCell ref="V62:W62"/>
    <mergeCell ref="AN33:AO33"/>
    <mergeCell ref="AP33:AQ33"/>
    <mergeCell ref="AR33:AS33"/>
    <mergeCell ref="L47:M47"/>
    <mergeCell ref="N47:O47"/>
    <mergeCell ref="P47:Q47"/>
    <mergeCell ref="AH47:AI47"/>
    <mergeCell ref="AJ47:AK47"/>
    <mergeCell ref="AF33:AG33"/>
    <mergeCell ref="AH33:AI33"/>
    <mergeCell ref="X33:Y33"/>
    <mergeCell ref="Z33:AA33"/>
    <mergeCell ref="R47:S47"/>
    <mergeCell ref="T47:U47"/>
    <mergeCell ref="AJ33:AK33"/>
    <mergeCell ref="AL33:AM33"/>
    <mergeCell ref="AB33:AC33"/>
    <mergeCell ref="AD33:AE33"/>
    <mergeCell ref="R33:S33"/>
    <mergeCell ref="T33:U33"/>
    <mergeCell ref="V33:W33"/>
    <mergeCell ref="AL47:AM47"/>
    <mergeCell ref="AN47:AO47"/>
    <mergeCell ref="AP47:AQ47"/>
    <mergeCell ref="AL29:AM29"/>
    <mergeCell ref="L3:M3"/>
    <mergeCell ref="N3:O3"/>
    <mergeCell ref="P3:Q3"/>
    <mergeCell ref="R3:S3"/>
    <mergeCell ref="T3:U3"/>
    <mergeCell ref="V3:W3"/>
    <mergeCell ref="X3:Y3"/>
    <mergeCell ref="Z3:AA3"/>
    <mergeCell ref="N15:O15"/>
    <mergeCell ref="P15:Q15"/>
    <mergeCell ref="R15:S15"/>
    <mergeCell ref="T15:U15"/>
    <mergeCell ref="V15:W15"/>
    <mergeCell ref="X15:Y15"/>
    <mergeCell ref="AP3:AQ3"/>
    <mergeCell ref="AR3:AS3"/>
    <mergeCell ref="AB3:AC3"/>
    <mergeCell ref="AD3:AE3"/>
    <mergeCell ref="AF3:AG3"/>
    <mergeCell ref="AH3:AI3"/>
    <mergeCell ref="AL3:AM3"/>
    <mergeCell ref="AN3:AO3"/>
    <mergeCell ref="AJ3:AK3"/>
    <mergeCell ref="AN15:AO15"/>
    <mergeCell ref="AP15:AQ15"/>
    <mergeCell ref="Z15:AA15"/>
    <mergeCell ref="AB15:AC15"/>
    <mergeCell ref="AD15:AE15"/>
    <mergeCell ref="AF15:AG15"/>
    <mergeCell ref="AH15:AI15"/>
    <mergeCell ref="AL15:AM15"/>
    <mergeCell ref="AJ15:AK15"/>
  </mergeCells>
  <pageMargins left="0.11811023622047245" right="0.11811023622047245" top="0.5" bottom="0.55000000000000004" header="0.15748031496062992" footer="0.15748031496062992"/>
  <pageSetup scale="32" fitToHeight="0" orientation="landscape"/>
  <headerFooter alignWithMargins="0"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92D050"/>
  </sheetPr>
  <dimension ref="A1:M110"/>
  <sheetViews>
    <sheetView showGridLines="0" topLeftCell="A67" zoomScale="60" zoomScaleNormal="60" workbookViewId="0">
      <selection activeCell="B103" sqref="B103:B105"/>
    </sheetView>
  </sheetViews>
  <sheetFormatPr baseColWidth="10" defaultColWidth="11.42578125" defaultRowHeight="15" x14ac:dyDescent="0.2"/>
  <cols>
    <col min="1" max="1" width="8.7109375" style="8" customWidth="1"/>
    <col min="2" max="2" width="49.42578125" style="1" customWidth="1"/>
    <col min="3" max="3" width="4.85546875" style="1" customWidth="1"/>
    <col min="4" max="4" width="14.42578125" style="1" customWidth="1"/>
    <col min="5" max="5" width="5.42578125" style="1" customWidth="1"/>
    <col min="6" max="6" width="13.42578125" style="1" customWidth="1"/>
    <col min="7" max="7" width="21" style="1" customWidth="1"/>
    <col min="8" max="8" width="13.42578125" style="1" customWidth="1"/>
    <col min="9" max="9" width="20.42578125" style="1" customWidth="1"/>
    <col min="10" max="10" width="13.42578125" style="1" customWidth="1"/>
    <col min="11" max="11" width="21.28515625" style="1" customWidth="1"/>
    <col min="12" max="12" width="13.42578125" style="1" customWidth="1"/>
    <col min="13" max="13" width="21.28515625" style="1" customWidth="1"/>
    <col min="14" max="16384" width="11.42578125" style="1"/>
  </cols>
  <sheetData>
    <row r="1" spans="1:13" ht="70.5" customHeight="1" x14ac:dyDescent="0.2">
      <c r="A1" s="317" t="s">
        <v>108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13" ht="23.25" customHeight="1" x14ac:dyDescent="0.2">
      <c r="A2" s="318" t="s">
        <v>9</v>
      </c>
      <c r="B2" s="318"/>
      <c r="C2" s="318"/>
      <c r="D2" s="318"/>
      <c r="E2" s="318"/>
      <c r="F2" s="318"/>
      <c r="G2" s="318"/>
      <c r="H2" s="318"/>
      <c r="I2" s="318"/>
    </row>
    <row r="3" spans="1:13" ht="166.5" customHeight="1" x14ac:dyDescent="0.2">
      <c r="B3" s="12" t="s">
        <v>136</v>
      </c>
      <c r="F3" s="313" t="s">
        <v>12</v>
      </c>
      <c r="G3" s="314"/>
      <c r="H3" s="313" t="s">
        <v>16</v>
      </c>
      <c r="I3" s="314"/>
      <c r="J3" s="313" t="s">
        <v>17</v>
      </c>
      <c r="K3" s="314"/>
      <c r="L3" s="296" t="s">
        <v>18</v>
      </c>
      <c r="M3" s="297"/>
    </row>
    <row r="4" spans="1:13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7" t="s">
        <v>4</v>
      </c>
      <c r="I4" s="56" t="s">
        <v>0</v>
      </c>
      <c r="J4" s="57" t="s">
        <v>4</v>
      </c>
      <c r="K4" s="56" t="s">
        <v>0</v>
      </c>
      <c r="L4" s="57" t="s">
        <v>4</v>
      </c>
      <c r="M4" s="56" t="s">
        <v>0</v>
      </c>
    </row>
    <row r="5" spans="1:13" ht="36.75" customHeight="1" x14ac:dyDescent="0.2">
      <c r="A5" s="139"/>
      <c r="B5" s="196" t="s">
        <v>103</v>
      </c>
      <c r="C5" s="134"/>
      <c r="D5" s="134"/>
      <c r="E5" s="134"/>
      <c r="F5" s="135"/>
      <c r="G5" s="134"/>
      <c r="H5" s="135"/>
      <c r="I5" s="134"/>
      <c r="J5" s="135"/>
      <c r="K5" s="134"/>
      <c r="L5" s="135"/>
      <c r="M5" s="134"/>
    </row>
    <row r="6" spans="1:13" ht="66" customHeight="1" x14ac:dyDescent="0.2">
      <c r="A6" s="18">
        <v>1</v>
      </c>
      <c r="B6" s="102" t="s">
        <v>13</v>
      </c>
      <c r="C6" s="103" t="s">
        <v>1</v>
      </c>
      <c r="D6" s="51">
        <v>17</v>
      </c>
      <c r="E6" s="103">
        <v>4</v>
      </c>
      <c r="F6" s="17">
        <f>'Estudiodemercado DEF'!AL5</f>
        <v>324317</v>
      </c>
      <c r="G6" s="17">
        <f>ROUND((D6*E6*F6),0)</f>
        <v>22053556</v>
      </c>
      <c r="H6" s="17">
        <f>'Estudiodemercado DEF'!AN5</f>
        <v>296224</v>
      </c>
      <c r="I6" s="17">
        <f>ROUND((D6*E6*H6),0)</f>
        <v>20143232</v>
      </c>
      <c r="J6" s="17">
        <f>'Estudiodemercado DEF'!AP5</f>
        <v>310207</v>
      </c>
      <c r="K6" s="17">
        <f>ROUND((D6*E6*J6),0)</f>
        <v>21094076</v>
      </c>
      <c r="L6" s="17">
        <f>'Estudiodemercado DEF'!AR5</f>
        <v>316235</v>
      </c>
      <c r="M6" s="17">
        <f>ROUND((D6*E6*L6),0)</f>
        <v>21503980</v>
      </c>
    </row>
    <row r="7" spans="1:13" ht="76.5" x14ac:dyDescent="0.2">
      <c r="A7" s="18">
        <v>2</v>
      </c>
      <c r="B7" s="102" t="s">
        <v>14</v>
      </c>
      <c r="C7" s="103" t="s">
        <v>2</v>
      </c>
      <c r="D7" s="104">
        <v>3000</v>
      </c>
      <c r="E7" s="103">
        <v>4</v>
      </c>
      <c r="F7" s="17">
        <f>'Estudiodemercado DEF'!AL6</f>
        <v>2265</v>
      </c>
      <c r="G7" s="17">
        <f>ROUND((D7*E7*F7),0)</f>
        <v>27180000</v>
      </c>
      <c r="H7" s="17">
        <f>'Estudiodemercado DEF'!AN6</f>
        <v>1837</v>
      </c>
      <c r="I7" s="17">
        <f>ROUND((D7*E7*H7),0)</f>
        <v>22044000</v>
      </c>
      <c r="J7" s="17">
        <f>'Estudiodemercado DEF'!AP6</f>
        <v>1971</v>
      </c>
      <c r="K7" s="17">
        <f>ROUND((D7*E7*J7),0)</f>
        <v>23652000</v>
      </c>
      <c r="L7" s="17">
        <f>'Estudiodemercado DEF'!AR6</f>
        <v>2083</v>
      </c>
      <c r="M7" s="17">
        <f>ROUND((D7*E7*L7),0)</f>
        <v>24996000</v>
      </c>
    </row>
    <row r="8" spans="1:13" ht="89.25" x14ac:dyDescent="0.2">
      <c r="A8" s="18">
        <v>3</v>
      </c>
      <c r="B8" s="102" t="s">
        <v>15</v>
      </c>
      <c r="C8" s="103" t="s">
        <v>2</v>
      </c>
      <c r="D8" s="51">
        <v>2623</v>
      </c>
      <c r="E8" s="103">
        <v>4</v>
      </c>
      <c r="F8" s="17">
        <f>'Estudiodemercado DEF'!AL7</f>
        <v>2148</v>
      </c>
      <c r="G8" s="17">
        <f>ROUND((D8*E8*F8),0)</f>
        <v>22536816</v>
      </c>
      <c r="H8" s="17">
        <f>'Estudiodemercado DEF'!AN7</f>
        <v>1890</v>
      </c>
      <c r="I8" s="17">
        <f>ROUND((D8*E8*H8),0)</f>
        <v>19829880</v>
      </c>
      <c r="J8" s="17">
        <f>'Estudiodemercado DEF'!AP7</f>
        <v>2022</v>
      </c>
      <c r="K8" s="17">
        <f>ROUND((D8*E8*J8),0)</f>
        <v>21214824</v>
      </c>
      <c r="L8" s="17">
        <f>'Estudiodemercado DEF'!AR7</f>
        <v>2078</v>
      </c>
      <c r="M8" s="17">
        <f>ROUND((D8*E8*L8),0)</f>
        <v>21802376</v>
      </c>
    </row>
    <row r="9" spans="1:13" ht="38.25" x14ac:dyDescent="0.2">
      <c r="A9" s="18">
        <v>4</v>
      </c>
      <c r="B9" s="105" t="s">
        <v>46</v>
      </c>
      <c r="C9" s="52" t="s">
        <v>1</v>
      </c>
      <c r="D9" s="51">
        <v>12</v>
      </c>
      <c r="E9" s="52">
        <v>4</v>
      </c>
      <c r="F9" s="17">
        <f>'Estudiodemercado DEF'!AL8</f>
        <v>280802</v>
      </c>
      <c r="G9" s="17">
        <f>ROUND((D9*E9*F9),0)</f>
        <v>13478496</v>
      </c>
      <c r="H9" s="17">
        <f>'Estudiodemercado DEF'!AN8</f>
        <v>175862</v>
      </c>
      <c r="I9" s="17">
        <f>ROUND((D9*E9*H9),0)</f>
        <v>8441376</v>
      </c>
      <c r="J9" s="17">
        <f>'Estudiodemercado DEF'!AP8</f>
        <v>196838</v>
      </c>
      <c r="K9" s="17">
        <f>ROUND((D9*E9*J9),0)</f>
        <v>9448224</v>
      </c>
      <c r="L9" s="17">
        <f>'Estudiodemercado DEF'!AR8</f>
        <v>220596</v>
      </c>
      <c r="M9" s="17">
        <f>ROUND((D9*E9*L9),0)</f>
        <v>10588608</v>
      </c>
    </row>
    <row r="10" spans="1:13" ht="15.75" x14ac:dyDescent="0.2">
      <c r="A10" s="21"/>
      <c r="B10" s="193" t="s">
        <v>150</v>
      </c>
      <c r="C10" s="52"/>
      <c r="D10" s="51"/>
      <c r="E10" s="52"/>
      <c r="F10" s="169"/>
      <c r="G10" s="170">
        <f>SUM(G6:G9)</f>
        <v>85248868</v>
      </c>
      <c r="H10" s="169"/>
      <c r="I10" s="170">
        <f>SUM(I6:I9)</f>
        <v>70458488</v>
      </c>
      <c r="J10" s="169"/>
      <c r="K10" s="170">
        <f>SUM(K6:K9)</f>
        <v>75409124</v>
      </c>
      <c r="L10" s="169"/>
      <c r="M10" s="170">
        <f>SUM(M6:M9)</f>
        <v>78890964</v>
      </c>
    </row>
    <row r="11" spans="1:13" ht="15.75" x14ac:dyDescent="0.2">
      <c r="A11" s="21"/>
      <c r="B11" s="193" t="s">
        <v>151</v>
      </c>
      <c r="C11" s="52"/>
      <c r="D11" s="51"/>
      <c r="E11" s="52"/>
      <c r="F11" s="171">
        <v>0.19</v>
      </c>
      <c r="G11" s="170">
        <f>ROUND(G10*F11,0)</f>
        <v>16197285</v>
      </c>
      <c r="H11" s="171">
        <v>0.19</v>
      </c>
      <c r="I11" s="170">
        <f>ROUND(I10*H11,0)</f>
        <v>13387113</v>
      </c>
      <c r="J11" s="171">
        <v>0.19</v>
      </c>
      <c r="K11" s="170">
        <f>ROUND(K10*J11,0)</f>
        <v>14327734</v>
      </c>
      <c r="L11" s="171">
        <v>0.19</v>
      </c>
      <c r="M11" s="170">
        <f>ROUND(M10*L11,0)</f>
        <v>14989283</v>
      </c>
    </row>
    <row r="12" spans="1:13" ht="15.75" x14ac:dyDescent="0.2">
      <c r="A12" s="21"/>
      <c r="B12" s="165" t="s">
        <v>135</v>
      </c>
      <c r="C12" s="52"/>
      <c r="D12" s="51"/>
      <c r="E12" s="52"/>
      <c r="F12" s="169"/>
      <c r="G12" s="170">
        <f>SUM(G10:G11)</f>
        <v>101446153</v>
      </c>
      <c r="H12" s="169"/>
      <c r="I12" s="170">
        <f>SUM(I10:I11)</f>
        <v>83845601</v>
      </c>
      <c r="J12" s="169"/>
      <c r="K12" s="170">
        <f>SUM(K10:K11)</f>
        <v>89736858</v>
      </c>
      <c r="L12" s="169"/>
      <c r="M12" s="170">
        <f>SUM(M10:M11)</f>
        <v>93880247</v>
      </c>
    </row>
    <row r="13" spans="1:13" x14ac:dyDescent="0.2">
      <c r="A13" s="21"/>
      <c r="B13" s="105"/>
      <c r="C13" s="52"/>
      <c r="D13" s="51"/>
      <c r="E13" s="52"/>
      <c r="F13" s="143"/>
      <c r="G13" s="144"/>
      <c r="H13" s="143"/>
      <c r="I13" s="144"/>
      <c r="J13" s="143"/>
      <c r="K13" s="144"/>
      <c r="L13" s="143"/>
      <c r="M13" s="144"/>
    </row>
    <row r="14" spans="1:13" ht="15" customHeight="1" x14ac:dyDescent="0.2">
      <c r="A14" s="21"/>
      <c r="B14" s="196" t="s">
        <v>104</v>
      </c>
      <c r="C14" s="52"/>
      <c r="D14" s="51"/>
      <c r="E14" s="52"/>
      <c r="F14" s="17"/>
      <c r="G14" s="17">
        <f t="shared" ref="G14:G20" si="0">ROUND((D14*E14*F14),0)</f>
        <v>0</v>
      </c>
      <c r="H14" s="17"/>
      <c r="I14" s="17">
        <f t="shared" ref="I14:I20" si="1">ROUND((D14*E14*H14),0)</f>
        <v>0</v>
      </c>
      <c r="J14" s="17"/>
      <c r="K14" s="17">
        <f t="shared" ref="K14:K20" si="2">ROUND((D14*E14*J14),0)</f>
        <v>0</v>
      </c>
      <c r="L14" s="17"/>
      <c r="M14" s="17">
        <f t="shared" ref="M14:M20" si="3">ROUND((D14*E14*L14),0)</f>
        <v>0</v>
      </c>
    </row>
    <row r="15" spans="1:13" ht="63.75" x14ac:dyDescent="0.2">
      <c r="A15" s="19">
        <v>5</v>
      </c>
      <c r="B15" s="22" t="s">
        <v>21</v>
      </c>
      <c r="C15" s="19" t="s">
        <v>1</v>
      </c>
      <c r="D15" s="41">
        <v>20.6</v>
      </c>
      <c r="E15" s="42">
        <v>4</v>
      </c>
      <c r="F15" s="17">
        <f>'Estudiodemercado DEF'!AJ17</f>
        <v>344478</v>
      </c>
      <c r="G15" s="17">
        <f t="shared" si="0"/>
        <v>28384987</v>
      </c>
      <c r="H15" s="17">
        <f>'Estudiodemercado DEF'!AL17</f>
        <v>315193</v>
      </c>
      <c r="I15" s="17">
        <f t="shared" si="1"/>
        <v>25971903</v>
      </c>
      <c r="J15" s="17">
        <f>'Estudiodemercado DEF'!AN17</f>
        <v>330163</v>
      </c>
      <c r="K15" s="17">
        <f t="shared" si="2"/>
        <v>27205431</v>
      </c>
      <c r="L15" s="17">
        <f>'Estudiodemercado DEF'!AP17</f>
        <v>336545</v>
      </c>
      <c r="M15" s="17">
        <f t="shared" si="3"/>
        <v>27731308</v>
      </c>
    </row>
    <row r="16" spans="1:13" ht="76.5" x14ac:dyDescent="0.2">
      <c r="A16" s="19">
        <v>6</v>
      </c>
      <c r="B16" s="22" t="s">
        <v>14</v>
      </c>
      <c r="C16" s="19" t="s">
        <v>2</v>
      </c>
      <c r="D16" s="41">
        <v>2940</v>
      </c>
      <c r="E16" s="42">
        <v>4</v>
      </c>
      <c r="F16" s="17">
        <f>'Estudiodemercado DEF'!AJ18</f>
        <v>2356</v>
      </c>
      <c r="G16" s="17">
        <f t="shared" si="0"/>
        <v>27706560</v>
      </c>
      <c r="H16" s="17">
        <f>'Estudiodemercado DEF'!AL18</f>
        <v>2100</v>
      </c>
      <c r="I16" s="17">
        <f t="shared" si="1"/>
        <v>24696000</v>
      </c>
      <c r="J16" s="17">
        <f>'Estudiodemercado DEF'!AN18</f>
        <v>2056</v>
      </c>
      <c r="K16" s="17">
        <f t="shared" si="2"/>
        <v>24178560</v>
      </c>
      <c r="L16" s="17">
        <f>'Estudiodemercado DEF'!AP18</f>
        <v>2173</v>
      </c>
      <c r="M16" s="17">
        <f t="shared" si="3"/>
        <v>25554480</v>
      </c>
    </row>
    <row r="17" spans="1:13" ht="89.25" x14ac:dyDescent="0.2">
      <c r="A17" s="19">
        <v>7</v>
      </c>
      <c r="B17" s="22" t="s">
        <v>23</v>
      </c>
      <c r="C17" s="19" t="s">
        <v>2</v>
      </c>
      <c r="D17" s="41">
        <v>3110</v>
      </c>
      <c r="E17" s="42">
        <v>4</v>
      </c>
      <c r="F17" s="17">
        <f>'Estudiodemercado DEF'!AJ19</f>
        <v>2222</v>
      </c>
      <c r="G17" s="17">
        <f t="shared" si="0"/>
        <v>27641680</v>
      </c>
      <c r="H17" s="17">
        <f>'Estudiodemercado DEF'!AL19</f>
        <v>1953</v>
      </c>
      <c r="I17" s="17">
        <f t="shared" si="1"/>
        <v>24295320</v>
      </c>
      <c r="J17" s="17">
        <f>'Estudiodemercado DEF'!AN19</f>
        <v>2089</v>
      </c>
      <c r="K17" s="17">
        <f t="shared" si="2"/>
        <v>25987160</v>
      </c>
      <c r="L17" s="17">
        <f>'Estudiodemercado DEF'!AP19</f>
        <v>2150</v>
      </c>
      <c r="M17" s="17">
        <f t="shared" si="3"/>
        <v>26746000</v>
      </c>
    </row>
    <row r="18" spans="1:13" ht="54.75" customHeight="1" x14ac:dyDescent="0.2">
      <c r="A18" s="19">
        <v>8</v>
      </c>
      <c r="B18" s="43" t="s">
        <v>24</v>
      </c>
      <c r="C18" s="19" t="s">
        <v>1</v>
      </c>
      <c r="D18" s="41">
        <v>12</v>
      </c>
      <c r="E18" s="42">
        <v>4</v>
      </c>
      <c r="F18" s="17">
        <f>'Estudiodemercado DEF'!AJ20</f>
        <v>276575</v>
      </c>
      <c r="G18" s="17">
        <f t="shared" si="0"/>
        <v>13275600</v>
      </c>
      <c r="H18" s="17">
        <f>'Estudiodemercado DEF'!AL20</f>
        <v>180000</v>
      </c>
      <c r="I18" s="17">
        <f t="shared" si="1"/>
        <v>8640000</v>
      </c>
      <c r="J18" s="17">
        <f>'Estudiodemercado DEF'!AN20</f>
        <v>204677</v>
      </c>
      <c r="K18" s="17">
        <f t="shared" si="2"/>
        <v>9824496</v>
      </c>
      <c r="L18" s="17">
        <f>'Estudiodemercado DEF'!AP20</f>
        <v>225374</v>
      </c>
      <c r="M18" s="17">
        <f t="shared" si="3"/>
        <v>10817952</v>
      </c>
    </row>
    <row r="19" spans="1:13" ht="79.5" customHeight="1" x14ac:dyDescent="0.2">
      <c r="A19" s="19">
        <v>9</v>
      </c>
      <c r="B19" s="43" t="s">
        <v>149</v>
      </c>
      <c r="C19" s="19" t="s">
        <v>26</v>
      </c>
      <c r="D19" s="41">
        <f>ROUND(944*2+17.6*2,0)</f>
        <v>1923</v>
      </c>
      <c r="E19" s="42">
        <v>4</v>
      </c>
      <c r="F19" s="17">
        <f>'Estudiodemercado DEF'!AJ21</f>
        <v>2847</v>
      </c>
      <c r="G19" s="17">
        <f t="shared" si="0"/>
        <v>21899124</v>
      </c>
      <c r="H19" s="17">
        <f>'Estudiodemercado DEF'!AL21</f>
        <v>2800</v>
      </c>
      <c r="I19" s="17">
        <f t="shared" si="1"/>
        <v>21537600</v>
      </c>
      <c r="J19" s="17">
        <f>'Estudiodemercado DEF'!AN21</f>
        <v>2582</v>
      </c>
      <c r="K19" s="17">
        <f t="shared" si="2"/>
        <v>19860744</v>
      </c>
      <c r="L19" s="17">
        <f>'Estudiodemercado DEF'!AP21</f>
        <v>2715</v>
      </c>
      <c r="M19" s="17">
        <f t="shared" si="3"/>
        <v>20883780</v>
      </c>
    </row>
    <row r="20" spans="1:13" ht="102" x14ac:dyDescent="0.2">
      <c r="A20" s="4">
        <v>10</v>
      </c>
      <c r="B20" s="70" t="s">
        <v>27</v>
      </c>
      <c r="C20" s="42" t="s">
        <v>1</v>
      </c>
      <c r="D20" s="41">
        <v>2</v>
      </c>
      <c r="E20" s="42">
        <v>1</v>
      </c>
      <c r="F20" s="17">
        <f>'Estudiodemercado DEF'!AJ22</f>
        <v>1187524</v>
      </c>
      <c r="G20" s="17">
        <f t="shared" si="0"/>
        <v>2375048</v>
      </c>
      <c r="H20" s="17">
        <f>'Estudiodemercado DEF'!AL22</f>
        <v>1050000</v>
      </c>
      <c r="I20" s="17">
        <f t="shared" si="1"/>
        <v>2100000</v>
      </c>
      <c r="J20" s="17">
        <f>'Estudiodemercado DEF'!AN22</f>
        <v>1094653</v>
      </c>
      <c r="K20" s="17">
        <f t="shared" si="2"/>
        <v>2189306</v>
      </c>
      <c r="L20" s="17">
        <f>'Estudiodemercado DEF'!AP22</f>
        <v>1137749</v>
      </c>
      <c r="M20" s="17">
        <f t="shared" si="3"/>
        <v>2275498</v>
      </c>
    </row>
    <row r="21" spans="1:13" ht="15.75" x14ac:dyDescent="0.2">
      <c r="A21" s="42"/>
      <c r="B21" s="193" t="s">
        <v>150</v>
      </c>
      <c r="C21" s="52"/>
      <c r="D21" s="51"/>
      <c r="E21" s="52"/>
      <c r="F21" s="169"/>
      <c r="G21" s="170">
        <f>SUM(G15:G20)</f>
        <v>121282999</v>
      </c>
      <c r="H21" s="169"/>
      <c r="I21" s="170">
        <f>SUM(I15:I20)</f>
        <v>107240823</v>
      </c>
      <c r="J21" s="169"/>
      <c r="K21" s="170">
        <f>SUM(K15:K20)</f>
        <v>109245697</v>
      </c>
      <c r="L21" s="169"/>
      <c r="M21" s="170">
        <f>SUM(M15:M20)</f>
        <v>114009018</v>
      </c>
    </row>
    <row r="22" spans="1:13" ht="15.75" x14ac:dyDescent="0.2">
      <c r="A22" s="42"/>
      <c r="B22" s="193" t="s">
        <v>151</v>
      </c>
      <c r="C22" s="52"/>
      <c r="D22" s="51"/>
      <c r="E22" s="52"/>
      <c r="F22" s="171">
        <v>0.19</v>
      </c>
      <c r="G22" s="170">
        <f>ROUND(G21*F22,0)</f>
        <v>23043770</v>
      </c>
      <c r="H22" s="171">
        <v>0.19</v>
      </c>
      <c r="I22" s="170">
        <f>ROUND(I21*H22,0)</f>
        <v>20375756</v>
      </c>
      <c r="J22" s="171">
        <v>0.19</v>
      </c>
      <c r="K22" s="170">
        <f>ROUND(K21*J22,0)</f>
        <v>20756682</v>
      </c>
      <c r="L22" s="171">
        <v>0.19</v>
      </c>
      <c r="M22" s="170">
        <f>ROUND(M21*L22,0)</f>
        <v>21661713</v>
      </c>
    </row>
    <row r="23" spans="1:13" ht="15.75" x14ac:dyDescent="0.2">
      <c r="A23" s="42"/>
      <c r="B23" s="165" t="s">
        <v>147</v>
      </c>
      <c r="C23" s="52"/>
      <c r="D23" s="51"/>
      <c r="E23" s="52"/>
      <c r="F23" s="169"/>
      <c r="G23" s="170">
        <f>SUM(G21:G22)</f>
        <v>144326769</v>
      </c>
      <c r="H23" s="169"/>
      <c r="I23" s="170">
        <f>SUM(I21:I22)</f>
        <v>127616579</v>
      </c>
      <c r="J23" s="169"/>
      <c r="K23" s="170">
        <f>SUM(K21:K22)</f>
        <v>130002379</v>
      </c>
      <c r="L23" s="169"/>
      <c r="M23" s="170">
        <f>SUM(M21:M22)</f>
        <v>135670731</v>
      </c>
    </row>
    <row r="24" spans="1:13" ht="18.75" customHeight="1" x14ac:dyDescent="0.2">
      <c r="A24" s="42"/>
      <c r="B24" s="22"/>
      <c r="C24" s="19"/>
      <c r="D24" s="41"/>
      <c r="E24" s="42"/>
      <c r="F24" s="17"/>
      <c r="G24" s="17"/>
      <c r="H24" s="17"/>
      <c r="I24" s="17"/>
      <c r="J24" s="17"/>
      <c r="K24" s="17"/>
      <c r="L24" s="17"/>
      <c r="M24" s="17"/>
    </row>
    <row r="25" spans="1:13" x14ac:dyDescent="0.2">
      <c r="A25" s="137"/>
      <c r="B25" s="196" t="str">
        <f>UPPER("aeropuerto Berastegui de Cienaga de Oro - Cordoba")</f>
        <v>AEROPUERTO BERASTEGUI DE CIENAGA DE ORO - CORDOBA</v>
      </c>
      <c r="C25" s="42"/>
      <c r="D25" s="71"/>
      <c r="E25" s="3"/>
      <c r="F25" s="44"/>
      <c r="G25" s="17">
        <f>ROUND((D25*E25*F25),0)</f>
        <v>0</v>
      </c>
      <c r="H25" s="17"/>
      <c r="I25" s="17">
        <f>ROUND((D25*E25*H25),0)</f>
        <v>0</v>
      </c>
      <c r="J25" s="44"/>
      <c r="K25" s="17">
        <f>ROUND((D25*E25*J25),0)</f>
        <v>0</v>
      </c>
      <c r="L25" s="44"/>
      <c r="M25" s="17">
        <f>ROUND((D25*E25*L25),0)</f>
        <v>0</v>
      </c>
    </row>
    <row r="26" spans="1:13" ht="63.75" x14ac:dyDescent="0.2">
      <c r="A26" s="106">
        <v>1</v>
      </c>
      <c r="B26" s="22" t="s">
        <v>13</v>
      </c>
      <c r="C26" s="106" t="s">
        <v>1</v>
      </c>
      <c r="D26" s="51">
        <v>33.25</v>
      </c>
      <c r="E26" s="103">
        <v>4</v>
      </c>
      <c r="F26" s="17">
        <f>'Estudiodemercado DEF'!AL35</f>
        <v>319799</v>
      </c>
      <c r="G26" s="17">
        <f>ROUND((D26*E26*F26),0)</f>
        <v>42533267</v>
      </c>
      <c r="H26" s="17">
        <f>'Estudiodemercado DEF'!AN35</f>
        <v>302406</v>
      </c>
      <c r="I26" s="17">
        <f>ROUND((D26*E26*H26),0)</f>
        <v>40219998</v>
      </c>
      <c r="J26" s="17">
        <f>'Estudiodemercado DEF'!AP35</f>
        <v>308302</v>
      </c>
      <c r="K26" s="17">
        <f>ROUND((D26*E26*J26),0)</f>
        <v>41004166</v>
      </c>
      <c r="L26" s="17">
        <f>'Estudiodemercado DEF'!AR35</f>
        <v>312988</v>
      </c>
      <c r="M26" s="17">
        <f>ROUND((D26*E26*L26),0)</f>
        <v>41627404</v>
      </c>
    </row>
    <row r="27" spans="1:13" ht="89.25" x14ac:dyDescent="0.2">
      <c r="A27" s="106">
        <v>2</v>
      </c>
      <c r="B27" s="22" t="s">
        <v>59</v>
      </c>
      <c r="C27" s="106" t="s">
        <v>2</v>
      </c>
      <c r="D27" s="51">
        <v>4206</v>
      </c>
      <c r="E27" s="42">
        <v>4</v>
      </c>
      <c r="F27" s="17">
        <f>'Estudiodemercado DEF'!AL36</f>
        <v>2634</v>
      </c>
      <c r="G27" s="17">
        <f>ROUND((D27*E27*F27),0)</f>
        <v>44314416</v>
      </c>
      <c r="H27" s="17">
        <f>'Estudiodemercado DEF'!AN36</f>
        <v>2236</v>
      </c>
      <c r="I27" s="17">
        <f>ROUND((D27*E27*H27),0)</f>
        <v>37618464</v>
      </c>
      <c r="J27" s="17">
        <f>'Estudiodemercado DEF'!AP36</f>
        <v>2383</v>
      </c>
      <c r="K27" s="17">
        <f>ROUND((D27*E27*J27),0)</f>
        <v>40091592</v>
      </c>
      <c r="L27" s="17">
        <f>'Estudiodemercado DEF'!AR36</f>
        <v>2493</v>
      </c>
      <c r="M27" s="17">
        <f>ROUND((D27*E27*L27),0)</f>
        <v>41942232</v>
      </c>
    </row>
    <row r="28" spans="1:13" ht="76.5" x14ac:dyDescent="0.2">
      <c r="A28" s="106">
        <v>3</v>
      </c>
      <c r="B28" s="22" t="s">
        <v>14</v>
      </c>
      <c r="C28" s="108" t="s">
        <v>2</v>
      </c>
      <c r="D28" s="109">
        <v>2567</v>
      </c>
      <c r="E28" s="42">
        <v>4</v>
      </c>
      <c r="F28" s="17">
        <f>'Estudiodemercado DEF'!AL37</f>
        <v>2624</v>
      </c>
      <c r="G28" s="17">
        <f>ROUND((D28*E28*F28),0)</f>
        <v>26943232</v>
      </c>
      <c r="H28" s="17">
        <f>'Estudiodemercado DEF'!AN37</f>
        <v>2137</v>
      </c>
      <c r="I28" s="17">
        <f>ROUND((D28*E28*H28),0)</f>
        <v>21942716</v>
      </c>
      <c r="J28" s="17">
        <f>'Estudiodemercado DEF'!AP37</f>
        <v>2301</v>
      </c>
      <c r="K28" s="17">
        <f>ROUND((D28*E28*J28),0)</f>
        <v>23626668</v>
      </c>
      <c r="L28" s="17">
        <f>'Estudiodemercado DEF'!AR37</f>
        <v>2426</v>
      </c>
      <c r="M28" s="17">
        <f>ROUND((D28*E28*L28),0)</f>
        <v>24910168</v>
      </c>
    </row>
    <row r="29" spans="1:13" ht="38.25" x14ac:dyDescent="0.2">
      <c r="A29" s="106">
        <v>4</v>
      </c>
      <c r="B29" s="22" t="s">
        <v>46</v>
      </c>
      <c r="C29" s="19" t="s">
        <v>1</v>
      </c>
      <c r="D29" s="111">
        <v>14</v>
      </c>
      <c r="E29" s="42">
        <v>4</v>
      </c>
      <c r="F29" s="17">
        <f>'Estudiodemercado DEF'!AL38</f>
        <v>306143</v>
      </c>
      <c r="G29" s="17">
        <f>ROUND((D29*E29*F29),0)</f>
        <v>17144008</v>
      </c>
      <c r="H29" s="17">
        <f>'Estudiodemercado DEF'!AN38</f>
        <v>196064</v>
      </c>
      <c r="I29" s="17">
        <f>ROUND((D29*E29*H29),0)</f>
        <v>10979584</v>
      </c>
      <c r="J29" s="17">
        <f>'Estudiodemercado DEF'!AP38</f>
        <v>222553</v>
      </c>
      <c r="K29" s="17">
        <f>ROUND((D29*E29*J29),0)</f>
        <v>12462968</v>
      </c>
      <c r="L29" s="17">
        <f>'Estudiodemercado DEF'!AR38</f>
        <v>249489</v>
      </c>
      <c r="M29" s="17">
        <f>ROUND((D29*E29*L29),0)</f>
        <v>13971384</v>
      </c>
    </row>
    <row r="30" spans="1:13" ht="15.75" x14ac:dyDescent="0.2">
      <c r="A30" s="150"/>
      <c r="B30" s="193" t="s">
        <v>150</v>
      </c>
      <c r="C30" s="52"/>
      <c r="D30" s="51"/>
      <c r="E30" s="52"/>
      <c r="F30" s="169"/>
      <c r="G30" s="170">
        <f>SUM(G26:G29)</f>
        <v>130934923</v>
      </c>
      <c r="H30" s="169"/>
      <c r="I30" s="170">
        <f>SUM(I26:I29)</f>
        <v>110760762</v>
      </c>
      <c r="J30" s="169"/>
      <c r="K30" s="170">
        <f>SUM(K26:K29)</f>
        <v>117185394</v>
      </c>
      <c r="L30" s="169"/>
      <c r="M30" s="170">
        <f>SUM(M26:M29)</f>
        <v>122451188</v>
      </c>
    </row>
    <row r="31" spans="1:13" ht="15.75" x14ac:dyDescent="0.2">
      <c r="A31" s="150"/>
      <c r="B31" s="193" t="s">
        <v>151</v>
      </c>
      <c r="C31" s="52"/>
      <c r="D31" s="51"/>
      <c r="E31" s="52"/>
      <c r="F31" s="171">
        <v>0.19</v>
      </c>
      <c r="G31" s="170">
        <f>ROUND(G30*F31,0)</f>
        <v>24877635</v>
      </c>
      <c r="H31" s="171">
        <v>0.19</v>
      </c>
      <c r="I31" s="170">
        <f>ROUND(I30*H31,0)</f>
        <v>21044545</v>
      </c>
      <c r="J31" s="171">
        <v>0.19</v>
      </c>
      <c r="K31" s="170">
        <f>ROUND(K30*J31,0)</f>
        <v>22265225</v>
      </c>
      <c r="L31" s="171">
        <v>0.19</v>
      </c>
      <c r="M31" s="170">
        <f>ROUND(M30*L31,0)</f>
        <v>23265726</v>
      </c>
    </row>
    <row r="32" spans="1:13" ht="15.75" x14ac:dyDescent="0.2">
      <c r="A32" s="150"/>
      <c r="B32" s="165" t="s">
        <v>146</v>
      </c>
      <c r="C32" s="52"/>
      <c r="D32" s="51"/>
      <c r="E32" s="52"/>
      <c r="F32" s="169"/>
      <c r="G32" s="170">
        <f>SUM(G30:G31)</f>
        <v>155812558</v>
      </c>
      <c r="H32" s="169"/>
      <c r="I32" s="170">
        <f>SUM(I30:I31)</f>
        <v>131805307</v>
      </c>
      <c r="J32" s="169"/>
      <c r="K32" s="170">
        <f>SUM(K30:K31)</f>
        <v>139450619</v>
      </c>
      <c r="L32" s="169"/>
      <c r="M32" s="170">
        <f>SUM(M30:M31)</f>
        <v>145716914</v>
      </c>
    </row>
    <row r="33" spans="1:13" x14ac:dyDescent="0.2">
      <c r="A33" s="150"/>
      <c r="B33" s="22"/>
      <c r="C33" s="106"/>
      <c r="D33" s="51"/>
      <c r="E33" s="103"/>
      <c r="F33" s="143"/>
      <c r="G33" s="144"/>
      <c r="H33" s="143"/>
      <c r="I33" s="144"/>
      <c r="J33" s="143"/>
      <c r="K33" s="144"/>
      <c r="L33" s="143"/>
      <c r="M33" s="144"/>
    </row>
    <row r="34" spans="1:13" x14ac:dyDescent="0.2">
      <c r="A34" s="21"/>
      <c r="B34" s="196" t="str">
        <f>UPPER("aeropuerto El Pindo de Montelibano - Cordoba")</f>
        <v>AEROPUERTO EL PINDO DE MONTELIBANO - CORDOBA</v>
      </c>
      <c r="C34" s="52"/>
      <c r="D34" s="51"/>
      <c r="E34" s="52"/>
      <c r="F34" s="17"/>
      <c r="G34" s="17">
        <f>ROUND((D34*E34*F34),0)</f>
        <v>0</v>
      </c>
      <c r="H34" s="17"/>
      <c r="I34" s="17">
        <f>ROUND((D34*E34*H34),0)</f>
        <v>0</v>
      </c>
      <c r="J34" s="17"/>
      <c r="K34" s="17">
        <f>ROUND((D34*E34*J34),0)</f>
        <v>0</v>
      </c>
      <c r="L34" s="17"/>
      <c r="M34" s="17">
        <f>ROUND((D34*E34*L34),0)</f>
        <v>0</v>
      </c>
    </row>
    <row r="35" spans="1:13" ht="63.75" x14ac:dyDescent="0.2">
      <c r="A35" s="18">
        <v>5</v>
      </c>
      <c r="B35" s="22" t="s">
        <v>13</v>
      </c>
      <c r="C35" s="42" t="s">
        <v>1</v>
      </c>
      <c r="D35" s="112">
        <v>13</v>
      </c>
      <c r="E35" s="42">
        <v>4</v>
      </c>
      <c r="F35" s="17">
        <f>'Estudiodemercado DEF'!AJ49</f>
        <v>324289</v>
      </c>
      <c r="G35" s="17">
        <f>ROUND((D35*E35*F35),0)</f>
        <v>16863028</v>
      </c>
      <c r="H35" s="17">
        <f>'Estudiodemercado DEF'!AL49</f>
        <v>305632</v>
      </c>
      <c r="I35" s="17">
        <f>ROUND((D35*E35*H35),0)</f>
        <v>15892864</v>
      </c>
      <c r="J35" s="17">
        <f>'Estudiodemercado DEF'!AN49</f>
        <v>309804</v>
      </c>
      <c r="K35" s="17">
        <f>ROUND((D35*E35*J35),0)</f>
        <v>16109808</v>
      </c>
      <c r="L35" s="17">
        <f>'Estudiodemercado DEF'!AP49</f>
        <v>315763</v>
      </c>
      <c r="M35" s="17">
        <f>ROUND((D35*E35*L35),0)</f>
        <v>16419676</v>
      </c>
    </row>
    <row r="36" spans="1:13" ht="89.25" x14ac:dyDescent="0.2">
      <c r="A36" s="18">
        <v>6</v>
      </c>
      <c r="B36" s="22" t="s">
        <v>15</v>
      </c>
      <c r="C36" s="42" t="s">
        <v>2</v>
      </c>
      <c r="D36" s="112">
        <v>2792</v>
      </c>
      <c r="E36" s="42">
        <v>4</v>
      </c>
      <c r="F36" s="17">
        <f>'Estudiodemercado DEF'!AJ50</f>
        <v>2387</v>
      </c>
      <c r="G36" s="17">
        <f>ROUND((D36*E36*F36),0)</f>
        <v>26658016</v>
      </c>
      <c r="H36" s="17">
        <f>'Estudiodemercado DEF'!AL50</f>
        <v>2104</v>
      </c>
      <c r="I36" s="17">
        <f>ROUND((D36*E36*H36),0)</f>
        <v>23497472</v>
      </c>
      <c r="J36" s="17">
        <f>'Estudiodemercado DEF'!AN50</f>
        <v>2262</v>
      </c>
      <c r="K36" s="17">
        <f>ROUND((D36*E36*J36),0)</f>
        <v>25262016</v>
      </c>
      <c r="L36" s="17">
        <f>'Estudiodemercado DEF'!AP50</f>
        <v>2320</v>
      </c>
      <c r="M36" s="17">
        <f>ROUND((D36*E36*L36),0)</f>
        <v>25909760</v>
      </c>
    </row>
    <row r="37" spans="1:13" ht="38.25" x14ac:dyDescent="0.2">
      <c r="A37" s="18">
        <v>7</v>
      </c>
      <c r="B37" s="22" t="s">
        <v>46</v>
      </c>
      <c r="C37" s="42" t="s">
        <v>1</v>
      </c>
      <c r="D37" s="112">
        <v>12</v>
      </c>
      <c r="E37" s="42">
        <v>4</v>
      </c>
      <c r="F37" s="17">
        <f>'Estudiodemercado DEF'!AJ51</f>
        <v>293304</v>
      </c>
      <c r="G37" s="17">
        <f>ROUND((D37*E37*F37),0)</f>
        <v>14078592</v>
      </c>
      <c r="H37" s="17">
        <f>'Estudiodemercado DEF'!AL51</f>
        <v>180000</v>
      </c>
      <c r="I37" s="17">
        <f>ROUND((D37*E37*H37),0)</f>
        <v>8640000</v>
      </c>
      <c r="J37" s="17">
        <f>'Estudiodemercado DEF'!AN51</f>
        <v>204149</v>
      </c>
      <c r="K37" s="17">
        <f>ROUND((D37*E37*J37),0)</f>
        <v>9799152</v>
      </c>
      <c r="L37" s="17">
        <f>'Estudiodemercado DEF'!AP51</f>
        <v>229847</v>
      </c>
      <c r="M37" s="17">
        <f>ROUND((D37*E37*L37),0)</f>
        <v>11032656</v>
      </c>
    </row>
    <row r="38" spans="1:13" ht="63.75" x14ac:dyDescent="0.2">
      <c r="A38" s="18">
        <v>8</v>
      </c>
      <c r="B38" s="43" t="s">
        <v>149</v>
      </c>
      <c r="C38" s="42" t="s">
        <v>26</v>
      </c>
      <c r="D38" s="112">
        <f>1100*2</f>
        <v>2200</v>
      </c>
      <c r="E38" s="42">
        <v>4</v>
      </c>
      <c r="F38" s="17">
        <f>'Estudiodemercado DEF'!AJ52</f>
        <v>2808</v>
      </c>
      <c r="G38" s="17">
        <f>ROUND((D38*E38*F38),0)</f>
        <v>24710400</v>
      </c>
      <c r="H38" s="17">
        <f>'Estudiodemercado DEF'!AL52</f>
        <v>2800</v>
      </c>
      <c r="I38" s="17">
        <f>ROUND((D38*E38*H38),0)</f>
        <v>24640000</v>
      </c>
      <c r="J38" s="17">
        <f>'Estudiodemercado DEF'!AN52</f>
        <v>2514</v>
      </c>
      <c r="K38" s="17">
        <f>ROUND((D38*E38*J38),0)</f>
        <v>22123200</v>
      </c>
      <c r="L38" s="17">
        <f>'Estudiodemercado DEF'!AP52</f>
        <v>2660</v>
      </c>
      <c r="M38" s="17">
        <f>ROUND((D38*E38*L38),0)</f>
        <v>23408000</v>
      </c>
    </row>
    <row r="39" spans="1:13" ht="15.75" x14ac:dyDescent="0.2">
      <c r="A39" s="21"/>
      <c r="B39" s="193" t="s">
        <v>150</v>
      </c>
      <c r="C39" s="52"/>
      <c r="D39" s="51"/>
      <c r="E39" s="52"/>
      <c r="F39" s="169"/>
      <c r="G39" s="170">
        <f>SUM(G35:G38)</f>
        <v>82310036</v>
      </c>
      <c r="H39" s="169"/>
      <c r="I39" s="170">
        <f>SUM(I35:I38)</f>
        <v>72670336</v>
      </c>
      <c r="J39" s="169"/>
      <c r="K39" s="170">
        <f>SUM(K35:K38)</f>
        <v>73294176</v>
      </c>
      <c r="L39" s="169"/>
      <c r="M39" s="170">
        <f>SUM(M35:M38)</f>
        <v>76770092</v>
      </c>
    </row>
    <row r="40" spans="1:13" ht="15.75" x14ac:dyDescent="0.2">
      <c r="A40" s="21"/>
      <c r="B40" s="193" t="s">
        <v>151</v>
      </c>
      <c r="C40" s="52"/>
      <c r="D40" s="51"/>
      <c r="E40" s="52"/>
      <c r="F40" s="171">
        <v>0.19</v>
      </c>
      <c r="G40" s="170">
        <f>ROUND(G39*F40,0)</f>
        <v>15638907</v>
      </c>
      <c r="H40" s="171">
        <v>0.19</v>
      </c>
      <c r="I40" s="170">
        <f>ROUND(I39*H40,0)</f>
        <v>13807364</v>
      </c>
      <c r="J40" s="171">
        <v>0.19</v>
      </c>
      <c r="K40" s="170">
        <f>ROUND(K39*J40,0)</f>
        <v>13925893</v>
      </c>
      <c r="L40" s="171">
        <v>0.19</v>
      </c>
      <c r="M40" s="170">
        <f>ROUND(M39*L40,0)</f>
        <v>14586317</v>
      </c>
    </row>
    <row r="41" spans="1:13" ht="15.75" x14ac:dyDescent="0.2">
      <c r="A41" s="21"/>
      <c r="B41" s="165" t="s">
        <v>145</v>
      </c>
      <c r="C41" s="52"/>
      <c r="D41" s="51"/>
      <c r="E41" s="52"/>
      <c r="F41" s="169"/>
      <c r="G41" s="170">
        <f>SUM(G39:G40)</f>
        <v>97948943</v>
      </c>
      <c r="H41" s="169"/>
      <c r="I41" s="170">
        <f>SUM(I39:I40)</f>
        <v>86477700</v>
      </c>
      <c r="J41" s="169"/>
      <c r="K41" s="170">
        <f>SUM(K39:K40)</f>
        <v>87220069</v>
      </c>
      <c r="L41" s="169"/>
      <c r="M41" s="170">
        <f>SUM(M39:M40)</f>
        <v>91356409</v>
      </c>
    </row>
    <row r="42" spans="1:13" x14ac:dyDescent="0.2">
      <c r="A42" s="21"/>
      <c r="B42" s="22"/>
      <c r="C42" s="42"/>
      <c r="D42" s="112"/>
      <c r="E42" s="42"/>
      <c r="F42" s="143"/>
      <c r="G42" s="144"/>
      <c r="H42" s="143"/>
      <c r="I42" s="144"/>
      <c r="J42" s="143"/>
      <c r="K42" s="144"/>
      <c r="L42" s="143"/>
      <c r="M42" s="144"/>
    </row>
    <row r="43" spans="1:13" x14ac:dyDescent="0.2">
      <c r="A43" s="137"/>
      <c r="B43" s="196" t="str">
        <f>UPPER("aeropuerto Morela de Puerto Berrio - Antioquia")</f>
        <v>AEROPUERTO MORELA DE PUERTO BERRIO - ANTIOQUIA</v>
      </c>
      <c r="C43" s="42"/>
      <c r="D43" s="71"/>
      <c r="E43" s="3"/>
      <c r="F43" s="44"/>
      <c r="G43" s="17">
        <f>ROUND((D43*E43*F43),0)</f>
        <v>0</v>
      </c>
      <c r="H43" s="17"/>
      <c r="I43" s="17">
        <f>ROUND((D43*E43*H43),0)</f>
        <v>0</v>
      </c>
      <c r="J43" s="44"/>
      <c r="K43" s="17">
        <f>ROUND((D43*E43*J43),0)</f>
        <v>0</v>
      </c>
      <c r="L43" s="44"/>
      <c r="M43" s="17">
        <f>ROUND((D43*E43*L43),0)</f>
        <v>0</v>
      </c>
    </row>
    <row r="44" spans="1:13" ht="63.75" x14ac:dyDescent="0.2">
      <c r="A44" s="18">
        <v>1</v>
      </c>
      <c r="B44" s="102" t="s">
        <v>13</v>
      </c>
      <c r="C44" s="103" t="s">
        <v>1</v>
      </c>
      <c r="D44" s="51">
        <v>14</v>
      </c>
      <c r="E44" s="103">
        <v>4</v>
      </c>
      <c r="F44" s="17">
        <f>'Estudiodemercado DEF'!AJ64</f>
        <v>345702</v>
      </c>
      <c r="G44" s="17">
        <f>ROUND((D44*E44*F44),0)</f>
        <v>19359312</v>
      </c>
      <c r="H44" s="17">
        <f>'Estudiodemercado DEF'!AL64</f>
        <v>315000</v>
      </c>
      <c r="I44" s="17">
        <f>ROUND((D44*E44*H44),0)</f>
        <v>17640000</v>
      </c>
      <c r="J44" s="17">
        <f>'Estudiodemercado DEF'!AN64</f>
        <v>331981</v>
      </c>
      <c r="K44" s="17">
        <f>ROUND((D44*E44*J44),0)</f>
        <v>18590936</v>
      </c>
      <c r="L44" s="17">
        <f>'Estudiodemercado DEF'!AP64</f>
        <v>338056</v>
      </c>
      <c r="M44" s="17">
        <f>ROUND((D44*E44*L44),0)</f>
        <v>18931136</v>
      </c>
    </row>
    <row r="45" spans="1:13" ht="76.5" x14ac:dyDescent="0.2">
      <c r="A45" s="18">
        <v>2</v>
      </c>
      <c r="B45" s="102" t="s">
        <v>14</v>
      </c>
      <c r="C45" s="103" t="s">
        <v>2</v>
      </c>
      <c r="D45" s="104">
        <v>2787</v>
      </c>
      <c r="E45" s="42">
        <v>4</v>
      </c>
      <c r="F45" s="17">
        <f>'Estudiodemercado DEF'!AJ65</f>
        <v>2768</v>
      </c>
      <c r="G45" s="17">
        <f>ROUND((D45*E45*F45),0)</f>
        <v>30857664</v>
      </c>
      <c r="H45" s="17">
        <f>'Estudiodemercado DEF'!AL65</f>
        <v>2343</v>
      </c>
      <c r="I45" s="17">
        <f>ROUND((D45*E45*H45),0)</f>
        <v>26119764</v>
      </c>
      <c r="J45" s="17">
        <f>'Estudiodemercado DEF'!AN65</f>
        <v>2443</v>
      </c>
      <c r="K45" s="17">
        <f>ROUND((D45*E45*J45),0)</f>
        <v>27234564</v>
      </c>
      <c r="L45" s="17">
        <f>'Estudiodemercado DEF'!AP65</f>
        <v>2574</v>
      </c>
      <c r="M45" s="17">
        <f>ROUND((D45*E45*L45),0)</f>
        <v>28694952</v>
      </c>
    </row>
    <row r="46" spans="1:13" ht="89.25" x14ac:dyDescent="0.2">
      <c r="A46" s="18">
        <v>3</v>
      </c>
      <c r="B46" s="102" t="s">
        <v>15</v>
      </c>
      <c r="C46" s="103" t="s">
        <v>2</v>
      </c>
      <c r="D46" s="51">
        <v>3247</v>
      </c>
      <c r="E46" s="42">
        <v>4</v>
      </c>
      <c r="F46" s="17">
        <f>'Estudiodemercado DEF'!AJ66</f>
        <v>2360</v>
      </c>
      <c r="G46" s="17">
        <f>ROUND((D46*E46*F46),0)</f>
        <v>30651680</v>
      </c>
      <c r="H46" s="17">
        <f>'Estudiodemercado DEF'!AL66</f>
        <v>2200</v>
      </c>
      <c r="I46" s="17">
        <f>ROUND((D46*E46*H46),0)</f>
        <v>28573600</v>
      </c>
      <c r="J46" s="17">
        <f>'Estudiodemercado DEF'!AN66</f>
        <v>2242</v>
      </c>
      <c r="K46" s="17">
        <f>ROUND((D46*E46*J46),0)</f>
        <v>29119096</v>
      </c>
      <c r="L46" s="17">
        <f>'Estudiodemercado DEF'!AP66</f>
        <v>2298</v>
      </c>
      <c r="M46" s="17">
        <f>ROUND((D46*E46*L46),0)</f>
        <v>29846424</v>
      </c>
    </row>
    <row r="47" spans="1:13" ht="38.25" x14ac:dyDescent="0.2">
      <c r="A47" s="18">
        <v>4</v>
      </c>
      <c r="B47" s="105" t="s">
        <v>46</v>
      </c>
      <c r="C47" s="52" t="s">
        <v>1</v>
      </c>
      <c r="D47" s="51">
        <v>13</v>
      </c>
      <c r="E47" s="42">
        <v>4</v>
      </c>
      <c r="F47" s="17">
        <f>'Estudiodemercado DEF'!AJ67</f>
        <v>282182</v>
      </c>
      <c r="G47" s="17">
        <f>ROUND((D47*E47*F47),0)</f>
        <v>14673464</v>
      </c>
      <c r="H47" s="17">
        <f>'Estudiodemercado DEF'!AL67</f>
        <v>190891</v>
      </c>
      <c r="I47" s="17">
        <f>ROUND((D47*E47*H47),0)</f>
        <v>9926332</v>
      </c>
      <c r="J47" s="17">
        <f>'Estudiodemercado DEF'!AN67</f>
        <v>209775</v>
      </c>
      <c r="K47" s="17">
        <f>ROUND((D47*E47*J47),0)</f>
        <v>10908300</v>
      </c>
      <c r="L47" s="17">
        <f>'Estudiodemercado DEF'!AP67</f>
        <v>231213</v>
      </c>
      <c r="M47" s="17">
        <f>ROUND((D47*E47*L47),0)</f>
        <v>12023076</v>
      </c>
    </row>
    <row r="48" spans="1:13" ht="15.75" x14ac:dyDescent="0.2">
      <c r="A48" s="21"/>
      <c r="B48" s="193" t="s">
        <v>150</v>
      </c>
      <c r="C48" s="52"/>
      <c r="D48" s="51"/>
      <c r="E48" s="52"/>
      <c r="F48" s="169"/>
      <c r="G48" s="170">
        <f>SUM(G44:G47)</f>
        <v>95542120</v>
      </c>
      <c r="H48" s="169"/>
      <c r="I48" s="170">
        <f>SUM(I44:I47)</f>
        <v>82259696</v>
      </c>
      <c r="J48" s="169"/>
      <c r="K48" s="170">
        <f>SUM(K44:K47)</f>
        <v>85852896</v>
      </c>
      <c r="L48" s="169"/>
      <c r="M48" s="170">
        <f>SUM(M44:M47)</f>
        <v>89495588</v>
      </c>
    </row>
    <row r="49" spans="1:13" ht="15.75" x14ac:dyDescent="0.2">
      <c r="A49" s="21"/>
      <c r="B49" s="193" t="s">
        <v>151</v>
      </c>
      <c r="C49" s="52"/>
      <c r="D49" s="51"/>
      <c r="E49" s="52"/>
      <c r="F49" s="171">
        <v>0.19</v>
      </c>
      <c r="G49" s="170">
        <f>ROUND(G48*F49,0)</f>
        <v>18153003</v>
      </c>
      <c r="H49" s="171">
        <v>0.19</v>
      </c>
      <c r="I49" s="170">
        <f>ROUND(I48*H49,0)</f>
        <v>15629342</v>
      </c>
      <c r="J49" s="171">
        <v>0.19</v>
      </c>
      <c r="K49" s="170">
        <f>ROUND(K48*J49,0)</f>
        <v>16312050</v>
      </c>
      <c r="L49" s="171">
        <v>0.19</v>
      </c>
      <c r="M49" s="170">
        <f>ROUND(M48*L49,0)</f>
        <v>17004162</v>
      </c>
    </row>
    <row r="50" spans="1:13" ht="15.75" x14ac:dyDescent="0.2">
      <c r="A50" s="21"/>
      <c r="B50" s="165" t="s">
        <v>144</v>
      </c>
      <c r="C50" s="52"/>
      <c r="D50" s="51"/>
      <c r="E50" s="52"/>
      <c r="F50" s="169"/>
      <c r="G50" s="170">
        <f>SUM(G48:G49)</f>
        <v>113695123</v>
      </c>
      <c r="H50" s="169"/>
      <c r="I50" s="170">
        <f>SUM(I48:I49)</f>
        <v>97889038</v>
      </c>
      <c r="J50" s="169"/>
      <c r="K50" s="170">
        <f>SUM(K48:K49)</f>
        <v>102164946</v>
      </c>
      <c r="L50" s="169"/>
      <c r="M50" s="170">
        <f>SUM(M48:M49)</f>
        <v>106499750</v>
      </c>
    </row>
    <row r="51" spans="1:13" x14ac:dyDescent="0.2">
      <c r="A51" s="21"/>
      <c r="B51" s="102"/>
      <c r="C51" s="103"/>
      <c r="D51" s="51"/>
      <c r="E51" s="103"/>
      <c r="F51" s="17"/>
      <c r="G51" s="17"/>
      <c r="H51" s="17"/>
      <c r="I51" s="17"/>
      <c r="J51" s="17"/>
      <c r="K51" s="17"/>
      <c r="L51" s="17"/>
      <c r="M51" s="17"/>
    </row>
    <row r="52" spans="1:13" x14ac:dyDescent="0.2">
      <c r="A52" s="21"/>
      <c r="B52" s="196" t="str">
        <f>UPPER("aeropuerto de Gustavo Rojas Pinilla de Cimitarra - Santander")</f>
        <v>AEROPUERTO DE GUSTAVO ROJAS PINILLA DE CIMITARRA - SANTANDER</v>
      </c>
      <c r="C52" s="52"/>
      <c r="D52" s="51"/>
      <c r="E52" s="52"/>
      <c r="F52" s="17"/>
      <c r="G52" s="17">
        <f>ROUND((D52*E52*F52),0)</f>
        <v>0</v>
      </c>
      <c r="H52" s="17"/>
      <c r="I52" s="17">
        <f>ROUND((D52*E52*H52),0)</f>
        <v>0</v>
      </c>
      <c r="J52" s="17"/>
      <c r="K52" s="17">
        <f>ROUND((D52*E52*J52),0)</f>
        <v>0</v>
      </c>
      <c r="L52" s="17"/>
      <c r="M52" s="17">
        <f>ROUND((D52*E52*L52),0)</f>
        <v>0</v>
      </c>
    </row>
    <row r="53" spans="1:13" ht="63.75" x14ac:dyDescent="0.2">
      <c r="A53" s="113">
        <v>5</v>
      </c>
      <c r="B53" s="114" t="s">
        <v>13</v>
      </c>
      <c r="C53" s="115" t="s">
        <v>1</v>
      </c>
      <c r="D53" s="116">
        <v>24.85</v>
      </c>
      <c r="E53" s="42">
        <v>4</v>
      </c>
      <c r="F53" s="17">
        <f>'Estudiodemercado DEF'!AJ77</f>
        <v>329349</v>
      </c>
      <c r="G53" s="17">
        <f>ROUND((D53*E53*F53),0)</f>
        <v>32737291</v>
      </c>
      <c r="H53" s="17">
        <f>'Estudiodemercado DEF'!AL77</f>
        <v>310000</v>
      </c>
      <c r="I53" s="17">
        <f>ROUND((D53*E53*H53),0)</f>
        <v>30814000</v>
      </c>
      <c r="J53" s="17">
        <f>'Estudiodemercado DEF'!AN77</f>
        <v>316074</v>
      </c>
      <c r="K53" s="17">
        <f>ROUND((D53*E53*J53),0)</f>
        <v>31417756</v>
      </c>
      <c r="L53" s="17">
        <f>'Estudiodemercado DEF'!AP77</f>
        <v>321737</v>
      </c>
      <c r="M53" s="17">
        <f>ROUND((D53*E53*L53),0)</f>
        <v>31980658</v>
      </c>
    </row>
    <row r="54" spans="1:13" ht="76.5" x14ac:dyDescent="0.2">
      <c r="A54" s="113">
        <v>6</v>
      </c>
      <c r="B54" s="70" t="s">
        <v>14</v>
      </c>
      <c r="C54" s="117" t="s">
        <v>2</v>
      </c>
      <c r="D54" s="118">
        <v>2300</v>
      </c>
      <c r="E54" s="42">
        <v>4</v>
      </c>
      <c r="F54" s="17">
        <f>'Estudiodemercado DEF'!AJ78</f>
        <v>2322</v>
      </c>
      <c r="G54" s="17">
        <f>ROUND((D54*E54*F54),0)</f>
        <v>21362400</v>
      </c>
      <c r="H54" s="17">
        <f>'Estudiodemercado DEF'!AL78</f>
        <v>2019</v>
      </c>
      <c r="I54" s="17">
        <f>ROUND((D54*E54*H54),0)</f>
        <v>18574800</v>
      </c>
      <c r="J54" s="17">
        <f>'Estudiodemercado DEF'!AN78</f>
        <v>2001</v>
      </c>
      <c r="K54" s="17">
        <f>ROUND((D54*E54*J54),0)</f>
        <v>18409200</v>
      </c>
      <c r="L54" s="17">
        <f>'Estudiodemercado DEF'!AP78</f>
        <v>2128</v>
      </c>
      <c r="M54" s="17">
        <f>ROUND((D54*E54*L54),0)</f>
        <v>19577600</v>
      </c>
    </row>
    <row r="55" spans="1:13" ht="89.25" x14ac:dyDescent="0.2">
      <c r="A55" s="113">
        <v>7</v>
      </c>
      <c r="B55" s="70" t="s">
        <v>15</v>
      </c>
      <c r="C55" s="117" t="s">
        <v>2</v>
      </c>
      <c r="D55" s="119">
        <v>4000</v>
      </c>
      <c r="E55" s="42">
        <v>4</v>
      </c>
      <c r="F55" s="17">
        <f>'Estudiodemercado DEF'!AJ79</f>
        <v>2160</v>
      </c>
      <c r="G55" s="17">
        <f>ROUND((D55*E55*F55),0)</f>
        <v>34560000</v>
      </c>
      <c r="H55" s="17">
        <f>'Estudiodemercado DEF'!AL79</f>
        <v>1950</v>
      </c>
      <c r="I55" s="17">
        <f>ROUND((D55*E55*H55),0)</f>
        <v>31200000</v>
      </c>
      <c r="J55" s="17">
        <f>'Estudiodemercado DEF'!AN79</f>
        <v>1925</v>
      </c>
      <c r="K55" s="17">
        <f>ROUND((D55*E55*J55),0)</f>
        <v>30800000</v>
      </c>
      <c r="L55" s="17">
        <f>'Estudiodemercado DEF'!AP79</f>
        <v>2041</v>
      </c>
      <c r="M55" s="17">
        <f>ROUND((D55*E55*L55),0)</f>
        <v>32656000</v>
      </c>
    </row>
    <row r="56" spans="1:13" ht="38.25" x14ac:dyDescent="0.2">
      <c r="A56" s="113">
        <v>8</v>
      </c>
      <c r="B56" s="120" t="s">
        <v>46</v>
      </c>
      <c r="C56" s="117" t="s">
        <v>1</v>
      </c>
      <c r="D56" s="118">
        <v>18</v>
      </c>
      <c r="E56" s="42">
        <v>4</v>
      </c>
      <c r="F56" s="17">
        <f>'Estudiodemercado DEF'!AJ80</f>
        <v>268724</v>
      </c>
      <c r="G56" s="17">
        <f>ROUND((D56*E56*F56),0)</f>
        <v>19348128</v>
      </c>
      <c r="H56" s="17">
        <f>'Estudiodemercado DEF'!AL80</f>
        <v>179375</v>
      </c>
      <c r="I56" s="17">
        <f>ROUND((D56*E56*H56),0)</f>
        <v>12915000</v>
      </c>
      <c r="J56" s="17">
        <f>'Estudiodemercado DEF'!AN80</f>
        <v>194424</v>
      </c>
      <c r="K56" s="17">
        <f>ROUND((D56*E56*J56),0)</f>
        <v>13998528</v>
      </c>
      <c r="L56" s="17">
        <f>'Estudiodemercado DEF'!AP80</f>
        <v>215500</v>
      </c>
      <c r="M56" s="17">
        <f>ROUND((D56*E56*L56),0)</f>
        <v>15516000</v>
      </c>
    </row>
    <row r="57" spans="1:13" ht="15.75" x14ac:dyDescent="0.2">
      <c r="A57" s="151"/>
      <c r="B57" s="193" t="s">
        <v>150</v>
      </c>
      <c r="C57" s="52"/>
      <c r="D57" s="51"/>
      <c r="E57" s="52"/>
      <c r="F57" s="169"/>
      <c r="G57" s="170">
        <f>SUM(G53:G56)</f>
        <v>108007819</v>
      </c>
      <c r="H57" s="169"/>
      <c r="I57" s="170">
        <f>SUM(I53:I56)</f>
        <v>93503800</v>
      </c>
      <c r="J57" s="169"/>
      <c r="K57" s="170">
        <f>SUM(K53:K56)</f>
        <v>94625484</v>
      </c>
      <c r="L57" s="169"/>
      <c r="M57" s="170">
        <f>SUM(M53:M56)</f>
        <v>99730258</v>
      </c>
    </row>
    <row r="58" spans="1:13" ht="15.75" x14ac:dyDescent="0.2">
      <c r="A58" s="151"/>
      <c r="B58" s="193" t="s">
        <v>151</v>
      </c>
      <c r="C58" s="52"/>
      <c r="D58" s="51"/>
      <c r="E58" s="52"/>
      <c r="F58" s="171">
        <v>0.19</v>
      </c>
      <c r="G58" s="170">
        <f>ROUND(G57*F58,0)</f>
        <v>20521486</v>
      </c>
      <c r="H58" s="171">
        <v>0.19</v>
      </c>
      <c r="I58" s="170">
        <f>ROUND(I57*H58,0)</f>
        <v>17765722</v>
      </c>
      <c r="J58" s="171">
        <v>0.19</v>
      </c>
      <c r="K58" s="170">
        <f>ROUND(K57*J58,0)</f>
        <v>17978842</v>
      </c>
      <c r="L58" s="171">
        <v>0.19</v>
      </c>
      <c r="M58" s="170">
        <f>ROUND(M57*L58,0)</f>
        <v>18948749</v>
      </c>
    </row>
    <row r="59" spans="1:13" ht="15.75" x14ac:dyDescent="0.2">
      <c r="A59" s="151"/>
      <c r="B59" s="165" t="s">
        <v>143</v>
      </c>
      <c r="C59" s="52"/>
      <c r="D59" s="51"/>
      <c r="E59" s="52"/>
      <c r="F59" s="169"/>
      <c r="G59" s="170">
        <f>SUM(G57:G58)</f>
        <v>128529305</v>
      </c>
      <c r="H59" s="169"/>
      <c r="I59" s="170">
        <f>SUM(I57:I58)</f>
        <v>111269522</v>
      </c>
      <c r="J59" s="169"/>
      <c r="K59" s="170">
        <f>SUM(K57:K58)</f>
        <v>112604326</v>
      </c>
      <c r="L59" s="169"/>
      <c r="M59" s="170">
        <f>SUM(M57:M58)</f>
        <v>118679007</v>
      </c>
    </row>
    <row r="60" spans="1:13" x14ac:dyDescent="0.2">
      <c r="A60" s="151"/>
      <c r="B60" s="10"/>
      <c r="C60" s="42"/>
      <c r="D60" s="112"/>
      <c r="E60" s="42"/>
      <c r="F60" s="143"/>
      <c r="G60" s="144"/>
      <c r="H60" s="143"/>
      <c r="I60" s="144"/>
      <c r="J60" s="143"/>
      <c r="K60" s="144"/>
      <c r="L60" s="143"/>
      <c r="M60" s="144"/>
    </row>
    <row r="61" spans="1:13" x14ac:dyDescent="0.2">
      <c r="A61" s="137"/>
      <c r="B61" s="196" t="str">
        <f>UPPER("aeropuerto Mandinga de Condoto - Chocó")</f>
        <v>AEROPUERTO MANDINGA DE CONDOTO - CHOCÓ</v>
      </c>
      <c r="C61" s="42"/>
      <c r="D61" s="71"/>
      <c r="E61" s="3"/>
      <c r="F61" s="44"/>
      <c r="G61" s="17">
        <f>ROUND((D61*E61*F61),0)</f>
        <v>0</v>
      </c>
      <c r="H61" s="17"/>
      <c r="I61" s="17">
        <f>ROUND((D61*E61*H61),0)</f>
        <v>0</v>
      </c>
      <c r="J61" s="44"/>
      <c r="K61" s="17">
        <f>ROUND((D61*E61*J61),0)</f>
        <v>0</v>
      </c>
      <c r="L61" s="44"/>
      <c r="M61" s="17">
        <f>ROUND((D61*E61*L61),0)</f>
        <v>0</v>
      </c>
    </row>
    <row r="62" spans="1:13" ht="63.75" customHeight="1" x14ac:dyDescent="0.2">
      <c r="A62" s="18">
        <v>1</v>
      </c>
      <c r="B62" s="121" t="s">
        <v>13</v>
      </c>
      <c r="C62" s="42" t="s">
        <v>1</v>
      </c>
      <c r="D62" s="112">
        <v>32</v>
      </c>
      <c r="E62" s="42">
        <v>4</v>
      </c>
      <c r="F62" s="17">
        <f>'Estudiodemercado DEF'!AL91</f>
        <v>375447</v>
      </c>
      <c r="G62" s="17">
        <f>ROUND((D62*E62*F62),0)</f>
        <v>48057216</v>
      </c>
      <c r="H62" s="17">
        <f>'Estudiodemercado DEF'!AN91</f>
        <v>335000</v>
      </c>
      <c r="I62" s="17">
        <f>ROUND((D62*E62*H62),0)</f>
        <v>42880000</v>
      </c>
      <c r="J62" s="17">
        <f>'Estudiodemercado DEF'!AP91</f>
        <v>357079</v>
      </c>
      <c r="K62" s="17">
        <f>ROUND((D62*E62*J62),0)</f>
        <v>45706112</v>
      </c>
      <c r="L62" s="17">
        <f>'Estudiodemercado DEF'!AR91</f>
        <v>364580</v>
      </c>
      <c r="M62" s="17">
        <f>ROUND((D62*E62*L62),0)</f>
        <v>46666240</v>
      </c>
    </row>
    <row r="63" spans="1:13" ht="75.75" customHeight="1" x14ac:dyDescent="0.2">
      <c r="A63" s="18">
        <v>2</v>
      </c>
      <c r="B63" s="121" t="s">
        <v>14</v>
      </c>
      <c r="C63" s="42" t="s">
        <v>2</v>
      </c>
      <c r="D63" s="112">
        <v>2944</v>
      </c>
      <c r="E63" s="42">
        <v>4</v>
      </c>
      <c r="F63" s="17">
        <f>'Estudiodemercado DEF'!AL92</f>
        <v>2436</v>
      </c>
      <c r="G63" s="17">
        <f t="shared" ref="G63:G68" si="4">ROUND((D63*E63*F63),0)</f>
        <v>28686336</v>
      </c>
      <c r="H63" s="17">
        <f>'Estudiodemercado DEF'!AN92</f>
        <v>1984</v>
      </c>
      <c r="I63" s="17">
        <f t="shared" ref="I63:I68" si="5">ROUND((D63*E63*H63),0)</f>
        <v>23363584</v>
      </c>
      <c r="J63" s="17">
        <f>'Estudiodemercado DEF'!AP92</f>
        <v>2181</v>
      </c>
      <c r="K63" s="17">
        <f t="shared" ref="K63:K68" si="6">ROUND((D63*E63*J63),0)</f>
        <v>25683456</v>
      </c>
      <c r="L63" s="17">
        <f>'Estudiodemercado DEF'!AR92</f>
        <v>2277</v>
      </c>
      <c r="M63" s="17">
        <f t="shared" ref="M63:M68" si="7">ROUND((D63*E63*L63),0)</f>
        <v>26813952</v>
      </c>
    </row>
    <row r="64" spans="1:13" ht="79.5" customHeight="1" x14ac:dyDescent="0.2">
      <c r="A64" s="18">
        <v>3</v>
      </c>
      <c r="B64" s="121" t="s">
        <v>80</v>
      </c>
      <c r="C64" s="42" t="s">
        <v>26</v>
      </c>
      <c r="D64" s="112">
        <v>500</v>
      </c>
      <c r="E64" s="42">
        <v>4</v>
      </c>
      <c r="F64" s="17">
        <f>'Estudiodemercado DEF'!AL93</f>
        <v>10439</v>
      </c>
      <c r="G64" s="17">
        <f t="shared" si="4"/>
        <v>20878000</v>
      </c>
      <c r="H64" s="17">
        <f>'Estudiodemercado DEF'!AN93</f>
        <v>4285</v>
      </c>
      <c r="I64" s="17">
        <f t="shared" si="5"/>
        <v>8570000</v>
      </c>
      <c r="J64" s="17">
        <f>'Estudiodemercado DEF'!AP93</f>
        <v>4574</v>
      </c>
      <c r="K64" s="17">
        <f t="shared" si="6"/>
        <v>9148000</v>
      </c>
      <c r="L64" s="17">
        <f>'Estudiodemercado DEF'!AR93</f>
        <v>5510</v>
      </c>
      <c r="M64" s="17">
        <f t="shared" si="7"/>
        <v>11020000</v>
      </c>
    </row>
    <row r="65" spans="1:13" ht="84" x14ac:dyDescent="0.2">
      <c r="A65" s="18">
        <v>4</v>
      </c>
      <c r="B65" s="121" t="s">
        <v>15</v>
      </c>
      <c r="C65" s="42" t="s">
        <v>2</v>
      </c>
      <c r="D65" s="112">
        <v>4184</v>
      </c>
      <c r="E65" s="42">
        <v>4</v>
      </c>
      <c r="F65" s="17">
        <f>'Estudiodemercado DEF'!AL94</f>
        <v>2344</v>
      </c>
      <c r="G65" s="17">
        <f t="shared" si="4"/>
        <v>39229184</v>
      </c>
      <c r="H65" s="17">
        <f>'Estudiodemercado DEF'!AN94</f>
        <v>2195</v>
      </c>
      <c r="I65" s="17">
        <f t="shared" si="5"/>
        <v>36735520</v>
      </c>
      <c r="J65" s="17">
        <f>'Estudiodemercado DEF'!AP94</f>
        <v>2237</v>
      </c>
      <c r="K65" s="17">
        <f t="shared" si="6"/>
        <v>37438432</v>
      </c>
      <c r="L65" s="17">
        <f>'Estudiodemercado DEF'!AR94</f>
        <v>2287</v>
      </c>
      <c r="M65" s="17">
        <f t="shared" si="7"/>
        <v>38275232</v>
      </c>
    </row>
    <row r="66" spans="1:13" ht="43.5" customHeight="1" x14ac:dyDescent="0.2">
      <c r="A66" s="18">
        <v>5</v>
      </c>
      <c r="B66" s="121" t="s">
        <v>81</v>
      </c>
      <c r="C66" s="42" t="s">
        <v>1</v>
      </c>
      <c r="D66" s="112">
        <v>12</v>
      </c>
      <c r="E66" s="42">
        <v>4</v>
      </c>
      <c r="F66" s="17">
        <f>'Estudiodemercado DEF'!AL95</f>
        <v>281765</v>
      </c>
      <c r="G66" s="17">
        <f t="shared" si="4"/>
        <v>13524720</v>
      </c>
      <c r="H66" s="17">
        <f>'Estudiodemercado DEF'!AN95</f>
        <v>184267</v>
      </c>
      <c r="I66" s="17">
        <f t="shared" si="5"/>
        <v>8844816</v>
      </c>
      <c r="J66" s="17">
        <f>'Estudiodemercado DEF'!AP95</f>
        <v>204115</v>
      </c>
      <c r="K66" s="17">
        <f t="shared" si="6"/>
        <v>9797520</v>
      </c>
      <c r="L66" s="17">
        <f>'Estudiodemercado DEF'!AR95</f>
        <v>226503</v>
      </c>
      <c r="M66" s="17">
        <f t="shared" si="7"/>
        <v>10872144</v>
      </c>
    </row>
    <row r="67" spans="1:13" ht="73.5" customHeight="1" x14ac:dyDescent="0.2">
      <c r="A67" s="18">
        <v>6</v>
      </c>
      <c r="B67" s="121" t="s">
        <v>149</v>
      </c>
      <c r="C67" s="42" t="s">
        <v>26</v>
      </c>
      <c r="D67" s="112">
        <f>1150*2</f>
        <v>2300</v>
      </c>
      <c r="E67" s="42">
        <v>4</v>
      </c>
      <c r="F67" s="17">
        <f>'Estudiodemercado DEF'!AL96</f>
        <v>2825</v>
      </c>
      <c r="G67" s="17">
        <f t="shared" si="4"/>
        <v>25990000</v>
      </c>
      <c r="H67" s="17">
        <f>'Estudiodemercado DEF'!AN96</f>
        <v>3000</v>
      </c>
      <c r="I67" s="17">
        <f t="shared" si="5"/>
        <v>27600000</v>
      </c>
      <c r="J67" s="17">
        <f>'Estudiodemercado DEF'!AP96</f>
        <v>2540</v>
      </c>
      <c r="K67" s="17">
        <f t="shared" si="6"/>
        <v>23368000</v>
      </c>
      <c r="L67" s="17">
        <f>'Estudiodemercado DEF'!AR96</f>
        <v>2682</v>
      </c>
      <c r="M67" s="17">
        <f t="shared" si="7"/>
        <v>24674400</v>
      </c>
    </row>
    <row r="68" spans="1:13" ht="96" x14ac:dyDescent="0.2">
      <c r="A68" s="18">
        <v>7</v>
      </c>
      <c r="B68" s="121" t="s">
        <v>27</v>
      </c>
      <c r="C68" s="42" t="s">
        <v>1</v>
      </c>
      <c r="D68" s="122">
        <v>3</v>
      </c>
      <c r="E68" s="123">
        <v>1</v>
      </c>
      <c r="F68" s="17">
        <f>'Estudiodemercado DEF'!AL97</f>
        <v>1285881</v>
      </c>
      <c r="G68" s="17">
        <f t="shared" si="4"/>
        <v>3857643</v>
      </c>
      <c r="H68" s="17">
        <f>'Estudiodemercado DEF'!AN97</f>
        <v>1150000</v>
      </c>
      <c r="I68" s="17">
        <f t="shared" si="5"/>
        <v>3450000</v>
      </c>
      <c r="J68" s="17">
        <f>'Estudiodemercado DEF'!AP97</f>
        <v>1193706</v>
      </c>
      <c r="K68" s="17">
        <f t="shared" si="6"/>
        <v>3581118</v>
      </c>
      <c r="L68" s="17">
        <f>'Estudiodemercado DEF'!AR97</f>
        <v>1234030</v>
      </c>
      <c r="M68" s="17">
        <f t="shared" si="7"/>
        <v>3702090</v>
      </c>
    </row>
    <row r="69" spans="1:13" ht="15.75" x14ac:dyDescent="0.2">
      <c r="A69" s="21"/>
      <c r="B69" s="193" t="s">
        <v>150</v>
      </c>
      <c r="C69" s="52"/>
      <c r="D69" s="51"/>
      <c r="E69" s="52"/>
      <c r="F69" s="169"/>
      <c r="G69" s="170">
        <f>SUM(G62:G68)</f>
        <v>180223099</v>
      </c>
      <c r="H69" s="169"/>
      <c r="I69" s="170">
        <f>SUM(I62:I68)</f>
        <v>151443920</v>
      </c>
      <c r="J69" s="169"/>
      <c r="K69" s="170">
        <f>SUM(K62:K68)</f>
        <v>154722638</v>
      </c>
      <c r="L69" s="169"/>
      <c r="M69" s="170">
        <f>SUM(M62:M68)</f>
        <v>162024058</v>
      </c>
    </row>
    <row r="70" spans="1:13" ht="15.75" x14ac:dyDescent="0.2">
      <c r="A70" s="21"/>
      <c r="B70" s="193" t="s">
        <v>151</v>
      </c>
      <c r="C70" s="52"/>
      <c r="D70" s="51"/>
      <c r="E70" s="52"/>
      <c r="F70" s="171">
        <v>0.19</v>
      </c>
      <c r="G70" s="170">
        <f>ROUND(G69*F70,0)</f>
        <v>34242389</v>
      </c>
      <c r="H70" s="171">
        <v>0.19</v>
      </c>
      <c r="I70" s="170">
        <f>ROUND(I69*H70,0)</f>
        <v>28774345</v>
      </c>
      <c r="J70" s="171">
        <v>0.19</v>
      </c>
      <c r="K70" s="170">
        <f>ROUND(K69*J70,0)</f>
        <v>29397301</v>
      </c>
      <c r="L70" s="171">
        <v>0.19</v>
      </c>
      <c r="M70" s="170">
        <f>ROUND(M69*L70,0)</f>
        <v>30784571</v>
      </c>
    </row>
    <row r="71" spans="1:13" ht="15.75" x14ac:dyDescent="0.2">
      <c r="A71" s="21"/>
      <c r="B71" s="165" t="s">
        <v>142</v>
      </c>
      <c r="C71" s="52"/>
      <c r="D71" s="51"/>
      <c r="E71" s="52"/>
      <c r="F71" s="169"/>
      <c r="G71" s="170">
        <f>SUM(G69:G70)</f>
        <v>214465488</v>
      </c>
      <c r="H71" s="169"/>
      <c r="I71" s="170">
        <f>SUM(I69:I70)</f>
        <v>180218265</v>
      </c>
      <c r="J71" s="169"/>
      <c r="K71" s="170">
        <f>SUM(K69:K70)</f>
        <v>184119939</v>
      </c>
      <c r="L71" s="169"/>
      <c r="M71" s="170">
        <f>SUM(M69:M70)</f>
        <v>192808629</v>
      </c>
    </row>
    <row r="72" spans="1:13" x14ac:dyDescent="0.2">
      <c r="A72" s="21"/>
      <c r="B72" s="10"/>
      <c r="C72" s="42"/>
      <c r="D72" s="112"/>
      <c r="E72" s="42"/>
      <c r="F72" s="143"/>
      <c r="G72" s="144"/>
      <c r="H72" s="143"/>
      <c r="I72" s="144"/>
      <c r="J72" s="143"/>
      <c r="K72" s="144"/>
      <c r="L72" s="143"/>
      <c r="M72" s="144"/>
    </row>
    <row r="73" spans="1:13" x14ac:dyDescent="0.2">
      <c r="A73" s="21"/>
      <c r="B73" s="136" t="s">
        <v>105</v>
      </c>
      <c r="C73" s="52"/>
      <c r="D73" s="51"/>
      <c r="E73" s="52"/>
      <c r="F73" s="17"/>
      <c r="G73" s="17">
        <f>ROUND((D73*E73*F73),0)</f>
        <v>0</v>
      </c>
      <c r="H73" s="17"/>
      <c r="I73" s="17">
        <f>ROUND((D73*E73*H73),0)</f>
        <v>0</v>
      </c>
      <c r="J73" s="17"/>
      <c r="K73" s="17">
        <f>ROUND((D73*E73*J73),0)</f>
        <v>0</v>
      </c>
      <c r="L73" s="17"/>
      <c r="M73" s="17">
        <f>ROUND((D73*E73*L73),0)</f>
        <v>0</v>
      </c>
    </row>
    <row r="74" spans="1:13" ht="84" x14ac:dyDescent="0.2">
      <c r="A74" s="117">
        <v>8</v>
      </c>
      <c r="B74" s="121" t="s">
        <v>83</v>
      </c>
      <c r="C74" s="19" t="s">
        <v>1</v>
      </c>
      <c r="D74" s="41">
        <f>(20000+35000+1000*5*2)/10000</f>
        <v>6.5</v>
      </c>
      <c r="E74" s="42">
        <v>5</v>
      </c>
      <c r="F74" s="17">
        <f>'Estudiodemercado DEF'!AJ108</f>
        <v>319553</v>
      </c>
      <c r="G74" s="17">
        <f>ROUND((D74*E74*F74),0)</f>
        <v>10385473</v>
      </c>
      <c r="H74" s="17">
        <f>'Estudiodemercado DEF'!AL108</f>
        <v>295055</v>
      </c>
      <c r="I74" s="17">
        <f>ROUND((D74*E74*H74),0)</f>
        <v>9589288</v>
      </c>
      <c r="J74" s="17">
        <f>'Estudiodemercado DEF'!AN108</f>
        <v>302294</v>
      </c>
      <c r="K74" s="17">
        <f>ROUND((D74*E74*J74),0)</f>
        <v>9824555</v>
      </c>
      <c r="L74" s="17">
        <f>'Estudiodemercado DEF'!AP108</f>
        <v>309419</v>
      </c>
      <c r="M74" s="17">
        <f>ROUND((D74*E74*L74),0)</f>
        <v>10056118</v>
      </c>
    </row>
    <row r="75" spans="1:13" ht="101.25" customHeight="1" x14ac:dyDescent="0.2">
      <c r="A75" s="117">
        <v>9</v>
      </c>
      <c r="B75" s="121" t="s">
        <v>84</v>
      </c>
      <c r="C75" s="19" t="s">
        <v>2</v>
      </c>
      <c r="D75" s="41">
        <f>960</f>
        <v>960</v>
      </c>
      <c r="E75" s="42">
        <v>5</v>
      </c>
      <c r="F75" s="17">
        <f>'Estudiodemercado DEF'!AJ109</f>
        <v>2551</v>
      </c>
      <c r="G75" s="17">
        <f>ROUND((D75*E75*F75),0)</f>
        <v>12244800</v>
      </c>
      <c r="H75" s="17">
        <f>'Estudiodemercado DEF'!AL109</f>
        <v>2100</v>
      </c>
      <c r="I75" s="17">
        <f>ROUND((D75*E75*H75),0)</f>
        <v>10080000</v>
      </c>
      <c r="J75" s="17">
        <f>'Estudiodemercado DEF'!AN109</f>
        <v>2195</v>
      </c>
      <c r="K75" s="17">
        <f>ROUND((D75*E75*J75),0)</f>
        <v>10536000</v>
      </c>
      <c r="L75" s="17">
        <f>'Estudiodemercado DEF'!AP109</f>
        <v>2333</v>
      </c>
      <c r="M75" s="17">
        <f>ROUND((D75*E75*L75),0)</f>
        <v>11198400</v>
      </c>
    </row>
    <row r="76" spans="1:13" ht="75.75" customHeight="1" x14ac:dyDescent="0.2">
      <c r="A76" s="117">
        <v>10</v>
      </c>
      <c r="B76" s="121" t="s">
        <v>85</v>
      </c>
      <c r="C76" s="19" t="s">
        <v>86</v>
      </c>
      <c r="D76" s="41">
        <v>1</v>
      </c>
      <c r="E76" s="42">
        <v>5</v>
      </c>
      <c r="F76" s="17">
        <f>'Estudiodemercado DEF'!AJ110</f>
        <v>2489141</v>
      </c>
      <c r="G76" s="17">
        <f>ROUND((D76*E76*F76),0)</f>
        <v>12445705</v>
      </c>
      <c r="H76" s="17">
        <f>'Estudiodemercado DEF'!AL110</f>
        <v>2300000</v>
      </c>
      <c r="I76" s="17">
        <f>ROUND((D76*E76*H76),0)</f>
        <v>11500000</v>
      </c>
      <c r="J76" s="17">
        <f>'Estudiodemercado DEF'!AN110</f>
        <v>2372626</v>
      </c>
      <c r="K76" s="17">
        <f>ROUND((D76*E76*J76),0)</f>
        <v>11863130</v>
      </c>
      <c r="L76" s="17">
        <f>'Estudiodemercado DEF'!AP110</f>
        <v>2422386</v>
      </c>
      <c r="M76" s="17">
        <f>ROUND((D76*E76*L76),0)</f>
        <v>12111930</v>
      </c>
    </row>
    <row r="77" spans="1:13" ht="15.75" x14ac:dyDescent="0.2">
      <c r="A77" s="140"/>
      <c r="B77" s="193" t="s">
        <v>150</v>
      </c>
      <c r="C77" s="52"/>
      <c r="D77" s="51"/>
      <c r="E77" s="52"/>
      <c r="F77" s="169"/>
      <c r="G77" s="170">
        <f>SUM(G74:G76)</f>
        <v>35075978</v>
      </c>
      <c r="H77" s="169"/>
      <c r="I77" s="170">
        <f>SUM(I74:I76)</f>
        <v>31169288</v>
      </c>
      <c r="J77" s="169"/>
      <c r="K77" s="170">
        <f>SUM(K74:K76)</f>
        <v>32223685</v>
      </c>
      <c r="L77" s="169"/>
      <c r="M77" s="170">
        <f>SUM(M74:M76)</f>
        <v>33366448</v>
      </c>
    </row>
    <row r="78" spans="1:13" ht="15.75" x14ac:dyDescent="0.2">
      <c r="A78" s="140"/>
      <c r="B78" s="193" t="s">
        <v>151</v>
      </c>
      <c r="C78" s="52"/>
      <c r="D78" s="51"/>
      <c r="E78" s="52"/>
      <c r="F78" s="171">
        <v>0.19</v>
      </c>
      <c r="G78" s="170">
        <f>ROUND(G77*F78,0)</f>
        <v>6664436</v>
      </c>
      <c r="H78" s="171">
        <v>0.19</v>
      </c>
      <c r="I78" s="170">
        <f>ROUND(I77*H78,0)</f>
        <v>5922165</v>
      </c>
      <c r="J78" s="171">
        <v>0.19</v>
      </c>
      <c r="K78" s="170">
        <f>ROUND(K77*J78,0)</f>
        <v>6122500</v>
      </c>
      <c r="L78" s="171">
        <v>0.19</v>
      </c>
      <c r="M78" s="170">
        <f>ROUND(M77*L78,0)</f>
        <v>6339625</v>
      </c>
    </row>
    <row r="79" spans="1:13" ht="15.75" x14ac:dyDescent="0.2">
      <c r="A79" s="140"/>
      <c r="B79" s="165" t="s">
        <v>141</v>
      </c>
      <c r="C79" s="52"/>
      <c r="D79" s="51"/>
      <c r="E79" s="52"/>
      <c r="F79" s="169"/>
      <c r="G79" s="170">
        <f>SUM(G77:G78)</f>
        <v>41740414</v>
      </c>
      <c r="H79" s="169"/>
      <c r="I79" s="170">
        <f>SUM(I77:I78)</f>
        <v>37091453</v>
      </c>
      <c r="J79" s="169"/>
      <c r="K79" s="170">
        <f>SUM(K77:K78)</f>
        <v>38346185</v>
      </c>
      <c r="L79" s="169"/>
      <c r="M79" s="170">
        <f>SUM(M77:M78)</f>
        <v>39706073</v>
      </c>
    </row>
    <row r="80" spans="1:13" x14ac:dyDescent="0.2">
      <c r="A80" s="140"/>
      <c r="B80" s="121"/>
      <c r="C80" s="19"/>
      <c r="D80" s="41"/>
      <c r="E80" s="42"/>
      <c r="F80" s="17"/>
      <c r="G80" s="17"/>
      <c r="H80" s="17"/>
      <c r="I80" s="17"/>
      <c r="J80" s="17"/>
      <c r="K80" s="17"/>
      <c r="L80" s="17"/>
      <c r="M80" s="17"/>
    </row>
    <row r="81" spans="1:13" x14ac:dyDescent="0.2">
      <c r="A81" s="137"/>
      <c r="B81" s="136" t="str">
        <f>UPPER("aeropuerto Reyes Murillo de Nuqui - Chocó")</f>
        <v>AEROPUERTO REYES MURILLO DE NUQUI - CHOCÓ</v>
      </c>
      <c r="C81" s="42"/>
      <c r="D81" s="71"/>
      <c r="E81" s="3"/>
      <c r="F81" s="44"/>
      <c r="G81" s="17">
        <f t="shared" ref="G81:G87" si="8">ROUND((D81*E81*F81),0)</f>
        <v>0</v>
      </c>
      <c r="H81" s="17"/>
      <c r="I81" s="17">
        <f t="shared" ref="I81:I87" si="9">ROUND((D81*E81*H81),0)</f>
        <v>0</v>
      </c>
      <c r="J81" s="44"/>
      <c r="K81" s="17">
        <f t="shared" ref="K81:K87" si="10">ROUND((D81*E81*J81),0)</f>
        <v>0</v>
      </c>
      <c r="L81" s="44"/>
      <c r="M81" s="17">
        <f t="shared" ref="M81:M87" si="11">ROUND((D81*E81*L81),0)</f>
        <v>0</v>
      </c>
    </row>
    <row r="82" spans="1:13" ht="63.75" x14ac:dyDescent="0.2">
      <c r="A82" s="124">
        <v>1</v>
      </c>
      <c r="B82" s="102" t="s">
        <v>13</v>
      </c>
      <c r="C82" s="125" t="s">
        <v>1</v>
      </c>
      <c r="D82" s="126">
        <v>16</v>
      </c>
      <c r="E82" s="125">
        <v>4</v>
      </c>
      <c r="F82" s="17">
        <f>'Estudiodemercado DEF'!AL121</f>
        <v>395051</v>
      </c>
      <c r="G82" s="17">
        <f t="shared" si="8"/>
        <v>25283264</v>
      </c>
      <c r="H82" s="17">
        <f>'Estudiodemercado DEF'!AN121</f>
        <v>373875</v>
      </c>
      <c r="I82" s="17">
        <f t="shared" si="9"/>
        <v>23928000</v>
      </c>
      <c r="J82" s="17">
        <f>'Estudiodemercado DEF'!AP121</f>
        <v>377267</v>
      </c>
      <c r="K82" s="17">
        <f t="shared" si="10"/>
        <v>24145088</v>
      </c>
      <c r="L82" s="17">
        <f>'Estudiodemercado DEF'!AR121</f>
        <v>384972</v>
      </c>
      <c r="M82" s="17">
        <f t="shared" si="11"/>
        <v>24638208</v>
      </c>
    </row>
    <row r="83" spans="1:13" ht="76.5" x14ac:dyDescent="0.2">
      <c r="A83" s="124">
        <v>2</v>
      </c>
      <c r="B83" s="102" t="s">
        <v>14</v>
      </c>
      <c r="C83" s="125" t="s">
        <v>2</v>
      </c>
      <c r="D83" s="126">
        <v>2900</v>
      </c>
      <c r="E83" s="125">
        <v>4</v>
      </c>
      <c r="F83" s="17">
        <f>'Estudiodemercado DEF'!AL122</f>
        <v>2575</v>
      </c>
      <c r="G83" s="17">
        <f t="shared" si="8"/>
        <v>29870000</v>
      </c>
      <c r="H83" s="17">
        <f>'Estudiodemercado DEF'!AN122</f>
        <v>2192</v>
      </c>
      <c r="I83" s="17">
        <f t="shared" si="9"/>
        <v>25427200</v>
      </c>
      <c r="J83" s="17">
        <f>'Estudiodemercado DEF'!AP122</f>
        <v>2326</v>
      </c>
      <c r="K83" s="17">
        <f t="shared" si="10"/>
        <v>26981600</v>
      </c>
      <c r="L83" s="17">
        <f>'Estudiodemercado DEF'!AR122</f>
        <v>2424</v>
      </c>
      <c r="M83" s="17">
        <f t="shared" si="11"/>
        <v>28118400</v>
      </c>
    </row>
    <row r="84" spans="1:13" ht="89.25" x14ac:dyDescent="0.2">
      <c r="A84" s="124">
        <v>3</v>
      </c>
      <c r="B84" s="102" t="s">
        <v>15</v>
      </c>
      <c r="C84" s="125" t="s">
        <v>2</v>
      </c>
      <c r="D84" s="126">
        <v>3266</v>
      </c>
      <c r="E84" s="125">
        <v>4</v>
      </c>
      <c r="F84" s="17">
        <f>'Estudiodemercado DEF'!AL123</f>
        <v>2402</v>
      </c>
      <c r="G84" s="17">
        <f t="shared" si="8"/>
        <v>31379728</v>
      </c>
      <c r="H84" s="17">
        <f>'Estudiodemercado DEF'!AN123</f>
        <v>2257</v>
      </c>
      <c r="I84" s="17">
        <f t="shared" si="9"/>
        <v>29485448</v>
      </c>
      <c r="J84" s="17">
        <f>'Estudiodemercado DEF'!AP123</f>
        <v>2288</v>
      </c>
      <c r="K84" s="17">
        <f t="shared" si="10"/>
        <v>29890432</v>
      </c>
      <c r="L84" s="17">
        <f>'Estudiodemercado DEF'!AR123</f>
        <v>2343</v>
      </c>
      <c r="M84" s="17">
        <f t="shared" si="11"/>
        <v>30608952</v>
      </c>
    </row>
    <row r="85" spans="1:13" ht="38.25" x14ac:dyDescent="0.2">
      <c r="A85" s="124">
        <v>4</v>
      </c>
      <c r="B85" s="102" t="s">
        <v>46</v>
      </c>
      <c r="C85" s="125" t="s">
        <v>1</v>
      </c>
      <c r="D85" s="126">
        <v>13</v>
      </c>
      <c r="E85" s="125">
        <v>4</v>
      </c>
      <c r="F85" s="17">
        <f>'Estudiodemercado DEF'!AL124</f>
        <v>335108</v>
      </c>
      <c r="G85" s="17">
        <f t="shared" si="8"/>
        <v>17425616</v>
      </c>
      <c r="H85" s="17">
        <f>'Estudiodemercado DEF'!AN124</f>
        <v>202771</v>
      </c>
      <c r="I85" s="17">
        <f t="shared" si="9"/>
        <v>10544092</v>
      </c>
      <c r="J85" s="17">
        <f>'Estudiodemercado DEF'!AP124</f>
        <v>234114</v>
      </c>
      <c r="K85" s="17">
        <f t="shared" si="10"/>
        <v>12173928</v>
      </c>
      <c r="L85" s="17">
        <f>'Estudiodemercado DEF'!AR124</f>
        <v>266813</v>
      </c>
      <c r="M85" s="17">
        <f t="shared" si="11"/>
        <v>13874276</v>
      </c>
    </row>
    <row r="86" spans="1:13" ht="67.5" customHeight="1" x14ac:dyDescent="0.2">
      <c r="A86" s="124">
        <v>5</v>
      </c>
      <c r="B86" s="43" t="s">
        <v>149</v>
      </c>
      <c r="C86" s="125" t="s">
        <v>26</v>
      </c>
      <c r="D86" s="126">
        <f>1200*2+100*2+50*2</f>
        <v>2700</v>
      </c>
      <c r="E86" s="125">
        <v>4</v>
      </c>
      <c r="F86" s="17">
        <f>'Estudiodemercado DEF'!AL125</f>
        <v>2969</v>
      </c>
      <c r="G86" s="17">
        <f t="shared" si="8"/>
        <v>32065200</v>
      </c>
      <c r="H86" s="17">
        <f>'Estudiodemercado DEF'!AN125</f>
        <v>3125</v>
      </c>
      <c r="I86" s="17">
        <f t="shared" si="9"/>
        <v>33750000</v>
      </c>
      <c r="J86" s="17">
        <f>'Estudiodemercado DEF'!AP125</f>
        <v>2713</v>
      </c>
      <c r="K86" s="17">
        <f t="shared" si="10"/>
        <v>29300400</v>
      </c>
      <c r="L86" s="17">
        <f>'Estudiodemercado DEF'!AR125</f>
        <v>2845</v>
      </c>
      <c r="M86" s="17">
        <f t="shared" si="11"/>
        <v>30726000</v>
      </c>
    </row>
    <row r="87" spans="1:13" ht="165.75" x14ac:dyDescent="0.2">
      <c r="A87" s="124">
        <v>6</v>
      </c>
      <c r="B87" s="70" t="s">
        <v>95</v>
      </c>
      <c r="C87" s="128" t="s">
        <v>1</v>
      </c>
      <c r="D87" s="126">
        <v>3</v>
      </c>
      <c r="E87" s="129">
        <v>1</v>
      </c>
      <c r="F87" s="17">
        <f>'Estudiodemercado DEF'!AL126</f>
        <v>1268822</v>
      </c>
      <c r="G87" s="17">
        <f t="shared" si="8"/>
        <v>3806466</v>
      </c>
      <c r="H87" s="17">
        <f>'Estudiodemercado DEF'!AN126</f>
        <v>1144242</v>
      </c>
      <c r="I87" s="17">
        <f t="shared" si="9"/>
        <v>3432726</v>
      </c>
      <c r="J87" s="17">
        <f>'Estudiodemercado DEF'!AP126</f>
        <v>1153262</v>
      </c>
      <c r="K87" s="17">
        <f t="shared" si="10"/>
        <v>3459786</v>
      </c>
      <c r="L87" s="17">
        <f>'Estudiodemercado DEF'!AR126</f>
        <v>1199958</v>
      </c>
      <c r="M87" s="17">
        <f t="shared" si="11"/>
        <v>3599874</v>
      </c>
    </row>
    <row r="88" spans="1:13" ht="15.75" x14ac:dyDescent="0.2">
      <c r="A88" s="152"/>
      <c r="B88" s="193" t="s">
        <v>150</v>
      </c>
      <c r="C88" s="52"/>
      <c r="D88" s="51"/>
      <c r="E88" s="52"/>
      <c r="F88" s="169"/>
      <c r="G88" s="170">
        <f>SUM(G82:G87)</f>
        <v>139830274</v>
      </c>
      <c r="H88" s="169"/>
      <c r="I88" s="170">
        <f>SUM(I82:I87)</f>
        <v>126567466</v>
      </c>
      <c r="J88" s="169"/>
      <c r="K88" s="170">
        <f>SUM(K82:K87)</f>
        <v>125951234</v>
      </c>
      <c r="L88" s="169"/>
      <c r="M88" s="170">
        <f>SUM(M82:M87)</f>
        <v>131565710</v>
      </c>
    </row>
    <row r="89" spans="1:13" ht="15.75" x14ac:dyDescent="0.2">
      <c r="A89" s="152"/>
      <c r="B89" s="193" t="s">
        <v>151</v>
      </c>
      <c r="C89" s="52"/>
      <c r="D89" s="51"/>
      <c r="E89" s="52"/>
      <c r="F89" s="171">
        <v>0.19</v>
      </c>
      <c r="G89" s="170">
        <f>ROUND(G88*F89,0)</f>
        <v>26567752</v>
      </c>
      <c r="H89" s="171">
        <v>0.19</v>
      </c>
      <c r="I89" s="170">
        <f>ROUND(I88*H89,0)</f>
        <v>24047819</v>
      </c>
      <c r="J89" s="171">
        <v>0.19</v>
      </c>
      <c r="K89" s="170">
        <f>ROUND(K88*J89,0)</f>
        <v>23930734</v>
      </c>
      <c r="L89" s="171">
        <v>0.19</v>
      </c>
      <c r="M89" s="170">
        <f>ROUND(M88*L89,0)</f>
        <v>24997485</v>
      </c>
    </row>
    <row r="90" spans="1:13" ht="15.75" x14ac:dyDescent="0.2">
      <c r="A90" s="152"/>
      <c r="B90" s="165" t="s">
        <v>140</v>
      </c>
      <c r="C90" s="52"/>
      <c r="D90" s="51"/>
      <c r="E90" s="52"/>
      <c r="F90" s="169"/>
      <c r="G90" s="170">
        <f>SUM(G88:G89)</f>
        <v>166398026</v>
      </c>
      <c r="H90" s="169"/>
      <c r="I90" s="170">
        <f>SUM(I88:I89)</f>
        <v>150615285</v>
      </c>
      <c r="J90" s="169"/>
      <c r="K90" s="170">
        <f>SUM(K88:K89)</f>
        <v>149881968</v>
      </c>
      <c r="L90" s="169"/>
      <c r="M90" s="170">
        <f>SUM(M88:M89)</f>
        <v>156563195</v>
      </c>
    </row>
    <row r="91" spans="1:13" x14ac:dyDescent="0.2">
      <c r="A91" s="152"/>
      <c r="B91" s="102"/>
      <c r="C91" s="103"/>
      <c r="D91" s="51"/>
      <c r="E91" s="125"/>
      <c r="F91" s="17"/>
      <c r="G91" s="17"/>
      <c r="H91" s="17"/>
      <c r="I91" s="17"/>
      <c r="J91" s="17"/>
      <c r="K91" s="17"/>
      <c r="L91" s="17"/>
      <c r="M91" s="17"/>
    </row>
    <row r="92" spans="1:13" x14ac:dyDescent="0.2">
      <c r="A92" s="4"/>
      <c r="B92" s="196" t="s">
        <v>106</v>
      </c>
      <c r="C92" s="3"/>
      <c r="D92" s="5"/>
      <c r="E92" s="3"/>
      <c r="F92" s="14"/>
      <c r="G92" s="17">
        <f t="shared" ref="G92:G97" si="12">ROUND((D92*E92*F92),0)</f>
        <v>0</v>
      </c>
      <c r="H92" s="14"/>
      <c r="I92" s="17">
        <f t="shared" ref="I92:I97" si="13">ROUND((D92*E92*H92),0)</f>
        <v>0</v>
      </c>
      <c r="J92" s="14"/>
      <c r="K92" s="17">
        <f t="shared" ref="K92:K97" si="14">ROUND((D92*E92*J92),0)</f>
        <v>0</v>
      </c>
      <c r="L92" s="14"/>
      <c r="M92" s="17">
        <f t="shared" ref="M92:M97" si="15">ROUND((D92*E92*L92),0)</f>
        <v>0</v>
      </c>
    </row>
    <row r="93" spans="1:13" ht="63.75" x14ac:dyDescent="0.2">
      <c r="A93" s="130">
        <v>7</v>
      </c>
      <c r="B93" s="102" t="s">
        <v>13</v>
      </c>
      <c r="C93" s="125" t="s">
        <v>1</v>
      </c>
      <c r="D93" s="131">
        <v>23</v>
      </c>
      <c r="E93" s="125">
        <v>4</v>
      </c>
      <c r="F93" s="17">
        <f>'Estudiodemercado DEF'!AL137</f>
        <v>326549</v>
      </c>
      <c r="G93" s="17">
        <f t="shared" si="12"/>
        <v>30042508</v>
      </c>
      <c r="H93" s="17">
        <f>'Estudiodemercado DEF'!AN137</f>
        <v>305559</v>
      </c>
      <c r="I93" s="17">
        <f t="shared" si="13"/>
        <v>28111428</v>
      </c>
      <c r="J93" s="17">
        <f>'Estudiodemercado DEF'!AP137</f>
        <v>313016</v>
      </c>
      <c r="K93" s="17">
        <f t="shared" si="14"/>
        <v>28797472</v>
      </c>
      <c r="L93" s="17">
        <f>'Estudiodemercado DEF'!AR137</f>
        <v>318843</v>
      </c>
      <c r="M93" s="17">
        <f t="shared" si="15"/>
        <v>29333556</v>
      </c>
    </row>
    <row r="94" spans="1:13" ht="76.5" x14ac:dyDescent="0.2">
      <c r="A94" s="113">
        <v>8</v>
      </c>
      <c r="B94" s="102" t="s">
        <v>14</v>
      </c>
      <c r="C94" s="125" t="s">
        <v>2</v>
      </c>
      <c r="D94" s="131">
        <v>3000</v>
      </c>
      <c r="E94" s="125">
        <v>4</v>
      </c>
      <c r="F94" s="17">
        <f>'Estudiodemercado DEF'!AL138</f>
        <v>2462</v>
      </c>
      <c r="G94" s="17">
        <f t="shared" si="12"/>
        <v>29544000</v>
      </c>
      <c r="H94" s="17">
        <f>'Estudiodemercado DEF'!AN138</f>
        <v>2096</v>
      </c>
      <c r="I94" s="17">
        <f t="shared" si="13"/>
        <v>25152000</v>
      </c>
      <c r="J94" s="17">
        <f>'Estudiodemercado DEF'!AP138</f>
        <v>2142</v>
      </c>
      <c r="K94" s="17">
        <f t="shared" si="14"/>
        <v>25704000</v>
      </c>
      <c r="L94" s="17">
        <f>'Estudiodemercado DEF'!AR138</f>
        <v>2270</v>
      </c>
      <c r="M94" s="17">
        <f t="shared" si="15"/>
        <v>27240000</v>
      </c>
    </row>
    <row r="95" spans="1:13" ht="89.25" x14ac:dyDescent="0.2">
      <c r="A95" s="130">
        <v>9</v>
      </c>
      <c r="B95" s="70" t="s">
        <v>15</v>
      </c>
      <c r="C95" s="128" t="s">
        <v>2</v>
      </c>
      <c r="D95" s="131">
        <v>2582</v>
      </c>
      <c r="E95" s="125">
        <v>4</v>
      </c>
      <c r="F95" s="17">
        <f>'Estudiodemercado DEF'!AL139</f>
        <v>2396</v>
      </c>
      <c r="G95" s="17">
        <f t="shared" si="12"/>
        <v>24745888</v>
      </c>
      <c r="H95" s="17">
        <f>'Estudiodemercado DEF'!AN139</f>
        <v>2219</v>
      </c>
      <c r="I95" s="17">
        <f t="shared" si="13"/>
        <v>22917832</v>
      </c>
      <c r="J95" s="17">
        <f>'Estudiodemercado DEF'!AP139</f>
        <v>2284</v>
      </c>
      <c r="K95" s="17">
        <f t="shared" si="14"/>
        <v>23589152</v>
      </c>
      <c r="L95" s="17">
        <f>'Estudiodemercado DEF'!AR139</f>
        <v>2337</v>
      </c>
      <c r="M95" s="17">
        <f t="shared" si="15"/>
        <v>24136536</v>
      </c>
    </row>
    <row r="96" spans="1:13" ht="63.75" x14ac:dyDescent="0.2">
      <c r="A96" s="113">
        <v>10</v>
      </c>
      <c r="B96" s="43" t="s">
        <v>149</v>
      </c>
      <c r="C96" s="128" t="s">
        <v>26</v>
      </c>
      <c r="D96" s="131">
        <f>865*2+50*2</f>
        <v>1830</v>
      </c>
      <c r="E96" s="125">
        <v>4</v>
      </c>
      <c r="F96" s="17">
        <f>'Estudiodemercado DEF'!AL140</f>
        <v>2765</v>
      </c>
      <c r="G96" s="17">
        <f t="shared" si="12"/>
        <v>20239800</v>
      </c>
      <c r="H96" s="17">
        <f>'Estudiodemercado DEF'!AN140</f>
        <v>2925</v>
      </c>
      <c r="I96" s="17">
        <f t="shared" si="13"/>
        <v>21411000</v>
      </c>
      <c r="J96" s="17">
        <f>'Estudiodemercado DEF'!AP140</f>
        <v>2480</v>
      </c>
      <c r="K96" s="17">
        <f t="shared" si="14"/>
        <v>18153600</v>
      </c>
      <c r="L96" s="17">
        <f>'Estudiodemercado DEF'!AR140</f>
        <v>2619</v>
      </c>
      <c r="M96" s="17">
        <f t="shared" si="15"/>
        <v>19171080</v>
      </c>
    </row>
    <row r="97" spans="1:13" ht="38.25" x14ac:dyDescent="0.2">
      <c r="A97" s="130">
        <v>11</v>
      </c>
      <c r="B97" s="120" t="s">
        <v>46</v>
      </c>
      <c r="C97" s="128" t="s">
        <v>1</v>
      </c>
      <c r="D97" s="131">
        <v>12</v>
      </c>
      <c r="E97" s="125">
        <v>4</v>
      </c>
      <c r="F97" s="17">
        <f>'Estudiodemercado DEF'!AL141</f>
        <v>270227</v>
      </c>
      <c r="G97" s="17">
        <f t="shared" si="12"/>
        <v>12970896</v>
      </c>
      <c r="H97" s="17">
        <f>'Estudiodemercado DEF'!AN141</f>
        <v>188031</v>
      </c>
      <c r="I97" s="17">
        <f t="shared" si="13"/>
        <v>9025488</v>
      </c>
      <c r="J97" s="17">
        <f>'Estudiodemercado DEF'!AP141</f>
        <v>202515</v>
      </c>
      <c r="K97" s="17">
        <f t="shared" si="14"/>
        <v>9720720</v>
      </c>
      <c r="L97" s="17">
        <f>'Estudiodemercado DEF'!AR141</f>
        <v>221861</v>
      </c>
      <c r="M97" s="17">
        <f t="shared" si="15"/>
        <v>10649328</v>
      </c>
    </row>
    <row r="98" spans="1:13" ht="15.75" x14ac:dyDescent="0.2">
      <c r="A98" s="153"/>
      <c r="B98" s="193" t="s">
        <v>150</v>
      </c>
      <c r="C98" s="52"/>
      <c r="D98" s="51"/>
      <c r="E98" s="52"/>
      <c r="F98" s="169"/>
      <c r="G98" s="170">
        <f>SUM(G93:G97)</f>
        <v>117543092</v>
      </c>
      <c r="H98" s="169"/>
      <c r="I98" s="170">
        <f>SUM(I93:I97)</f>
        <v>106617748</v>
      </c>
      <c r="J98" s="169"/>
      <c r="K98" s="170">
        <f>SUM(K93:K97)</f>
        <v>105964944</v>
      </c>
      <c r="L98" s="169"/>
      <c r="M98" s="170">
        <f>SUM(M93:M97)</f>
        <v>110530500</v>
      </c>
    </row>
    <row r="99" spans="1:13" ht="15.75" x14ac:dyDescent="0.2">
      <c r="A99" s="153"/>
      <c r="B99" s="193" t="s">
        <v>151</v>
      </c>
      <c r="C99" s="52"/>
      <c r="D99" s="51"/>
      <c r="E99" s="52"/>
      <c r="F99" s="171">
        <v>0.19</v>
      </c>
      <c r="G99" s="170">
        <f>ROUND(G98*F99,0)</f>
        <v>22333187</v>
      </c>
      <c r="H99" s="171">
        <v>0.19</v>
      </c>
      <c r="I99" s="170">
        <f>ROUND(I98*H99,0)</f>
        <v>20257372</v>
      </c>
      <c r="J99" s="171">
        <v>0.19</v>
      </c>
      <c r="K99" s="170">
        <f>ROUND(K98*J99,0)</f>
        <v>20133339</v>
      </c>
      <c r="L99" s="171">
        <v>0.19</v>
      </c>
      <c r="M99" s="170">
        <f>ROUND(M98*L99,0)</f>
        <v>21000795</v>
      </c>
    </row>
    <row r="100" spans="1:13" ht="15.75" x14ac:dyDescent="0.2">
      <c r="A100" s="153"/>
      <c r="B100" s="165" t="s">
        <v>139</v>
      </c>
      <c r="C100" s="52"/>
      <c r="D100" s="51"/>
      <c r="E100" s="52"/>
      <c r="F100" s="169"/>
      <c r="G100" s="170">
        <f>SUM(G98:G99)</f>
        <v>139876279</v>
      </c>
      <c r="H100" s="169"/>
      <c r="I100" s="170">
        <f>SUM(I98:I99)</f>
        <v>126875120</v>
      </c>
      <c r="J100" s="169"/>
      <c r="K100" s="170">
        <f>SUM(K98:K99)</f>
        <v>126098283</v>
      </c>
      <c r="L100" s="169"/>
      <c r="M100" s="170">
        <f>SUM(M98:M99)</f>
        <v>131531295</v>
      </c>
    </row>
    <row r="101" spans="1:13" x14ac:dyDescent="0.2">
      <c r="A101" s="153"/>
      <c r="B101" s="102"/>
      <c r="C101" s="103"/>
      <c r="D101" s="51"/>
      <c r="E101" s="125"/>
      <c r="F101" s="17"/>
      <c r="G101" s="17"/>
      <c r="H101" s="17"/>
      <c r="I101" s="17"/>
      <c r="J101" s="17"/>
      <c r="K101" s="17"/>
      <c r="L101" s="17"/>
      <c r="M101" s="17"/>
    </row>
    <row r="102" spans="1:13" x14ac:dyDescent="0.2">
      <c r="A102" s="4"/>
      <c r="B102" s="70"/>
      <c r="C102" s="42"/>
      <c r="D102" s="71"/>
      <c r="E102" s="3"/>
      <c r="F102" s="44"/>
      <c r="G102" s="17">
        <f>ROUND((D102*E102*F102),0)</f>
        <v>0</v>
      </c>
      <c r="H102" s="17"/>
      <c r="I102" s="17">
        <f>ROUND((D102*E102*H102),0)</f>
        <v>0</v>
      </c>
      <c r="J102" s="44"/>
      <c r="K102" s="44"/>
      <c r="L102" s="44"/>
      <c r="M102" s="44"/>
    </row>
    <row r="103" spans="1:13" ht="44.25" customHeight="1" x14ac:dyDescent="0.2">
      <c r="A103" s="4"/>
      <c r="B103" s="193" t="s">
        <v>152</v>
      </c>
      <c r="C103" s="10"/>
      <c r="D103" s="141"/>
      <c r="E103" s="141"/>
      <c r="F103" s="143"/>
      <c r="G103" s="144">
        <f>G10+G21+G30+G39+G48+G57+G69+G77+G88+G98</f>
        <v>1095999208</v>
      </c>
      <c r="H103" s="143"/>
      <c r="I103" s="144">
        <f>I10+I21+I30+I39+I48+I57+I69+I77+I88+I98</f>
        <v>952692327</v>
      </c>
      <c r="J103" s="143"/>
      <c r="K103" s="144">
        <f>K10+K21+K30+K39+K48+K57+K69+K77+K88+K98</f>
        <v>974475272</v>
      </c>
      <c r="L103" s="143"/>
      <c r="M103" s="144">
        <f>M10+M21+M30+M39+M48+M57+M69+M77+M88+M98</f>
        <v>1018833824</v>
      </c>
    </row>
    <row r="104" spans="1:13" ht="27" customHeight="1" x14ac:dyDescent="0.2">
      <c r="A104" s="4"/>
      <c r="B104" s="165" t="s">
        <v>134</v>
      </c>
      <c r="C104" s="10"/>
      <c r="D104" s="141"/>
      <c r="E104" s="142"/>
      <c r="F104" s="171">
        <v>0.19</v>
      </c>
      <c r="G104" s="170">
        <f>ROUND(G103*F104,0)</f>
        <v>208239850</v>
      </c>
      <c r="H104" s="171">
        <v>0.19</v>
      </c>
      <c r="I104" s="170">
        <f>ROUND(I103*H104,0)</f>
        <v>181011542</v>
      </c>
      <c r="J104" s="171">
        <v>0.19</v>
      </c>
      <c r="K104" s="170">
        <f>ROUND(K103*J104,0)</f>
        <v>185150302</v>
      </c>
      <c r="L104" s="171">
        <v>0.19</v>
      </c>
      <c r="M104" s="170">
        <f>ROUND(M103*L104,0)</f>
        <v>193578427</v>
      </c>
    </row>
    <row r="105" spans="1:13" ht="53.25" customHeight="1" x14ac:dyDescent="0.2">
      <c r="A105" s="4"/>
      <c r="B105" s="193" t="s">
        <v>153</v>
      </c>
      <c r="C105" s="10"/>
      <c r="D105" s="141"/>
      <c r="E105" s="141"/>
      <c r="F105" s="143"/>
      <c r="G105" s="144">
        <f>SUM(G103:G104)</f>
        <v>1304239058</v>
      </c>
      <c r="H105" s="143"/>
      <c r="I105" s="144">
        <f>SUM(I103:I104)</f>
        <v>1133703869</v>
      </c>
      <c r="J105" s="143"/>
      <c r="K105" s="144">
        <f>SUM(K103:K104)</f>
        <v>1159625574</v>
      </c>
      <c r="L105" s="143"/>
      <c r="M105" s="144">
        <f>SUM(M103:M104)</f>
        <v>1212412251</v>
      </c>
    </row>
    <row r="110" spans="1:13" ht="28.5" x14ac:dyDescent="0.2">
      <c r="B110" s="133"/>
      <c r="I110" s="2"/>
      <c r="K110" s="2"/>
      <c r="M110" s="2"/>
    </row>
  </sheetData>
  <mergeCells count="6">
    <mergeCell ref="A1:M1"/>
    <mergeCell ref="A2:I2"/>
    <mergeCell ref="F3:G3"/>
    <mergeCell ref="H3:I3"/>
    <mergeCell ref="J3:K3"/>
    <mergeCell ref="L3:M3"/>
  </mergeCells>
  <pageMargins left="0.11811023622047245" right="0.11811023622047245" top="0.23622047244094491" bottom="0.23622047244094491" header="0.15748031496062992" footer="0.15748031496062992"/>
  <pageSetup scale="27" fitToHeight="0" orientation="landscape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3"/>
  </sheetPr>
  <dimension ref="A1:AN121"/>
  <sheetViews>
    <sheetView showGridLines="0" topLeftCell="E16" zoomScale="60" zoomScaleNormal="60" workbookViewId="0">
      <selection activeCell="L86" sqref="L86"/>
    </sheetView>
  </sheetViews>
  <sheetFormatPr baseColWidth="10" defaultColWidth="11.42578125" defaultRowHeight="15" x14ac:dyDescent="0.2"/>
  <cols>
    <col min="1" max="1" width="4" style="8" customWidth="1"/>
    <col min="2" max="2" width="49.42578125" style="1" customWidth="1"/>
    <col min="3" max="3" width="4.85546875" style="1" customWidth="1"/>
    <col min="4" max="4" width="14.42578125" style="1" customWidth="1"/>
    <col min="5" max="5" width="5.42578125" style="1" customWidth="1"/>
    <col min="6" max="6" width="10" style="1" customWidth="1"/>
    <col min="7" max="7" width="14.140625" style="1" customWidth="1"/>
    <col min="8" max="8" width="9.28515625" style="1" customWidth="1"/>
    <col min="9" max="9" width="15.7109375" style="1" customWidth="1"/>
    <col min="10" max="10" width="9.42578125" style="1" customWidth="1"/>
    <col min="11" max="11" width="13.42578125" style="1" customWidth="1"/>
    <col min="12" max="12" width="8.28515625" style="1" customWidth="1"/>
    <col min="13" max="13" width="14" style="1" customWidth="1"/>
    <col min="14" max="14" width="9.7109375" style="1" customWidth="1"/>
    <col min="15" max="15" width="14.7109375" style="1" customWidth="1"/>
    <col min="16" max="16" width="8.28515625" style="1" customWidth="1"/>
    <col min="17" max="17" width="14.7109375" style="1" customWidth="1"/>
    <col min="18" max="18" width="8" style="1" customWidth="1"/>
    <col min="19" max="19" width="15.42578125" style="1" customWidth="1"/>
    <col min="20" max="20" width="9.42578125" style="1" customWidth="1"/>
    <col min="21" max="21" width="15.42578125" style="1" customWidth="1"/>
    <col min="22" max="22" width="8.42578125" style="1" customWidth="1"/>
    <col min="23" max="23" width="15.28515625" style="1" customWidth="1"/>
    <col min="24" max="24" width="9.28515625" style="1" customWidth="1"/>
    <col min="25" max="25" width="15.42578125" style="1" customWidth="1"/>
    <col min="26" max="26" width="8.42578125" style="1" customWidth="1"/>
    <col min="27" max="27" width="16" style="1" customWidth="1"/>
    <col min="28" max="28" width="12.7109375" style="1" customWidth="1"/>
    <col min="29" max="29" width="16.28515625" style="1" customWidth="1"/>
    <col min="30" max="30" width="13.42578125" style="1" customWidth="1"/>
    <col min="31" max="31" width="16.28515625" style="1" customWidth="1"/>
    <col min="32" max="32" width="15.42578125" style="1" customWidth="1"/>
    <col min="33" max="33" width="18.7109375" style="1" customWidth="1"/>
    <col min="34" max="34" width="13.140625" style="1" customWidth="1"/>
    <col min="35" max="35" width="16.85546875" style="1" customWidth="1"/>
    <col min="36" max="36" width="14.140625" style="1" customWidth="1"/>
    <col min="37" max="37" width="17.140625" style="1" customWidth="1"/>
    <col min="38" max="38" width="13.42578125" style="1" customWidth="1"/>
    <col min="39" max="39" width="16.28515625" style="1" customWidth="1"/>
    <col min="40" max="16384" width="11.42578125" style="1"/>
  </cols>
  <sheetData>
    <row r="1" spans="1:40" ht="35.25" customHeight="1" x14ac:dyDescent="0.2">
      <c r="A1" s="317" t="s">
        <v>44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</row>
    <row r="2" spans="1:40" ht="23.25" customHeight="1" x14ac:dyDescent="0.2">
      <c r="A2" s="318" t="s">
        <v>9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8"/>
    </row>
    <row r="3" spans="1:40" ht="166.5" customHeight="1" x14ac:dyDescent="0.2">
      <c r="B3" s="12" t="s">
        <v>32</v>
      </c>
      <c r="F3" s="303" t="s">
        <v>40</v>
      </c>
      <c r="G3" s="304"/>
      <c r="H3" s="303" t="s">
        <v>41</v>
      </c>
      <c r="I3" s="304"/>
      <c r="J3" s="305" t="s">
        <v>42</v>
      </c>
      <c r="K3" s="306"/>
      <c r="L3" s="303" t="s">
        <v>43</v>
      </c>
      <c r="M3" s="304"/>
      <c r="N3" s="303" t="s">
        <v>22</v>
      </c>
      <c r="O3" s="304"/>
      <c r="P3" s="307" t="s">
        <v>45</v>
      </c>
      <c r="Q3" s="308"/>
      <c r="R3" s="300" t="s">
        <v>47</v>
      </c>
      <c r="S3" s="301"/>
      <c r="T3" s="309" t="s">
        <v>48</v>
      </c>
      <c r="U3" s="310"/>
      <c r="V3" s="294" t="s">
        <v>49</v>
      </c>
      <c r="W3" s="295"/>
      <c r="X3" s="298" t="s">
        <v>50</v>
      </c>
      <c r="Y3" s="299"/>
      <c r="Z3" s="300" t="s">
        <v>37</v>
      </c>
      <c r="AA3" s="301"/>
      <c r="AB3" s="298" t="s">
        <v>38</v>
      </c>
      <c r="AC3" s="299"/>
      <c r="AD3" s="294" t="s">
        <v>39</v>
      </c>
      <c r="AE3" s="295"/>
      <c r="AF3" s="296" t="s">
        <v>12</v>
      </c>
      <c r="AG3" s="297"/>
      <c r="AH3" s="296" t="s">
        <v>16</v>
      </c>
      <c r="AI3" s="297"/>
      <c r="AJ3" s="296" t="s">
        <v>17</v>
      </c>
      <c r="AK3" s="297"/>
      <c r="AL3" s="296" t="s">
        <v>18</v>
      </c>
      <c r="AM3" s="297"/>
    </row>
    <row r="4" spans="1:40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8" t="s">
        <v>4</v>
      </c>
      <c r="I4" s="59" t="s">
        <v>0</v>
      </c>
      <c r="J4" s="60" t="s">
        <v>4</v>
      </c>
      <c r="K4" s="61" t="s">
        <v>0</v>
      </c>
      <c r="L4" s="57" t="s">
        <v>4</v>
      </c>
      <c r="M4" s="56" t="s">
        <v>0</v>
      </c>
      <c r="N4" s="62" t="s">
        <v>4</v>
      </c>
      <c r="O4" s="63" t="s">
        <v>0</v>
      </c>
      <c r="P4" s="64" t="s">
        <v>4</v>
      </c>
      <c r="Q4" s="65" t="s">
        <v>0</v>
      </c>
      <c r="R4" s="66" t="s">
        <v>4</v>
      </c>
      <c r="S4" s="67" t="s">
        <v>0</v>
      </c>
      <c r="T4" s="68" t="s">
        <v>4</v>
      </c>
      <c r="U4" s="69" t="s">
        <v>0</v>
      </c>
      <c r="V4" s="60" t="s">
        <v>4</v>
      </c>
      <c r="W4" s="61" t="s">
        <v>0</v>
      </c>
      <c r="X4" s="58" t="s">
        <v>4</v>
      </c>
      <c r="Y4" s="59" t="s">
        <v>0</v>
      </c>
      <c r="Z4" s="66" t="s">
        <v>4</v>
      </c>
      <c r="AA4" s="67" t="s">
        <v>0</v>
      </c>
      <c r="AB4" s="58" t="s">
        <v>4</v>
      </c>
      <c r="AC4" s="59" t="s">
        <v>0</v>
      </c>
      <c r="AD4" s="60" t="s">
        <v>4</v>
      </c>
      <c r="AE4" s="61" t="s">
        <v>0</v>
      </c>
      <c r="AF4" s="57" t="s">
        <v>4</v>
      </c>
      <c r="AG4" s="56" t="s">
        <v>0</v>
      </c>
      <c r="AH4" s="57" t="s">
        <v>4</v>
      </c>
      <c r="AI4" s="56" t="s">
        <v>0</v>
      </c>
      <c r="AJ4" s="57" t="s">
        <v>4</v>
      </c>
      <c r="AK4" s="56" t="s">
        <v>0</v>
      </c>
      <c r="AL4" s="57" t="s">
        <v>4</v>
      </c>
      <c r="AM4" s="56" t="s">
        <v>0</v>
      </c>
    </row>
    <row r="5" spans="1:40" ht="66" customHeight="1" x14ac:dyDescent="0.2">
      <c r="A5" s="18">
        <v>1</v>
      </c>
      <c r="B5" s="102" t="s">
        <v>13</v>
      </c>
      <c r="C5" s="103" t="s">
        <v>1</v>
      </c>
      <c r="D5" s="51">
        <v>17</v>
      </c>
      <c r="E5" s="103">
        <v>1</v>
      </c>
      <c r="F5" s="20">
        <v>400000</v>
      </c>
      <c r="G5" s="20">
        <f>F5*E5*D5</f>
        <v>6800000</v>
      </c>
      <c r="H5" s="30">
        <v>500000</v>
      </c>
      <c r="I5" s="30">
        <f>D5*E5*H5</f>
        <v>8500000</v>
      </c>
      <c r="J5" s="20">
        <v>546300</v>
      </c>
      <c r="K5" s="23">
        <f>D5*E5*J5</f>
        <v>9287100</v>
      </c>
      <c r="L5" s="36">
        <v>390000</v>
      </c>
      <c r="M5" s="20">
        <f>D5*E5*L5</f>
        <v>6630000</v>
      </c>
      <c r="N5" s="40">
        <v>415000</v>
      </c>
      <c r="O5" s="36">
        <f>D5*E5*N5</f>
        <v>7055000</v>
      </c>
      <c r="P5" s="54">
        <f>308440*1.0317*1.0373*1.0244*1.0194*1.0366*1.0677*1.0575</f>
        <v>403444.24540412962</v>
      </c>
      <c r="Q5" s="54">
        <f>D5*E5*P5</f>
        <v>6858552.1718702037</v>
      </c>
      <c r="R5" s="55">
        <f>309600*1.0373*1.0244*1.0194*1.0366*1.0677*1.0575</f>
        <v>392518.70037386671</v>
      </c>
      <c r="S5" s="97">
        <f>D5*E5*R5</f>
        <v>6672817.906355734</v>
      </c>
      <c r="T5" s="29">
        <f>227519*1.0244*1.0194*1.0366*1.0677*1.0575</f>
        <v>278081.88107604993</v>
      </c>
      <c r="U5" s="98">
        <f>D5*E5*T5</f>
        <v>4727391.9782928489</v>
      </c>
      <c r="V5" s="23">
        <f>230836*1.0194*1.0366*1.0677*1.0575</f>
        <v>275415.88972096186</v>
      </c>
      <c r="W5" s="23">
        <f>D5*E5*V5</f>
        <v>4682070.1252563512</v>
      </c>
      <c r="X5" s="30">
        <f>240375*1.0194*1.0366*1.0677*1.0575</f>
        <v>286797.09617077152</v>
      </c>
      <c r="Y5" s="30">
        <f>D5*E5*X5</f>
        <v>4875550.6349031162</v>
      </c>
      <c r="Z5" s="55">
        <f>249866*1.0366*1.0677*1.0575</f>
        <v>292447.55021151697</v>
      </c>
      <c r="AA5" s="97">
        <f>D5*E5*Z5</f>
        <v>4971608.3535957886</v>
      </c>
      <c r="AB5" s="31">
        <f>247151*1.0677*1.0575</f>
        <v>279056.40225525002</v>
      </c>
      <c r="AC5" s="30">
        <f>D5*E5*AB5</f>
        <v>4743958.8383392505</v>
      </c>
      <c r="AD5" s="24">
        <f>301528*1.0575</f>
        <v>318865.86000000004</v>
      </c>
      <c r="AE5" s="23">
        <f>D5*E5*AD5</f>
        <v>5420719.620000001</v>
      </c>
      <c r="AF5" s="17">
        <f>ROUND((AVERAGE(F5,H5,J5,L5,N5,P5,R5,T5,V5,Z5,AB5,AD5)),0)</f>
        <v>374261</v>
      </c>
      <c r="AG5" s="17">
        <f>ROUND((D5*E5*AF5),0)</f>
        <v>6362437</v>
      </c>
      <c r="AH5" s="17">
        <f>ROUND((MEDIAN(H5,F5,J5,L5,N5,P5,R5,T5,V5,Z5,AB5,AD5)),0)</f>
        <v>391259</v>
      </c>
      <c r="AI5" s="17">
        <f>ROUND((D5*E5*AH5),0)</f>
        <v>6651403</v>
      </c>
      <c r="AJ5" s="17">
        <f>ROUND((HARMEAN(F5,H5,J5,L5,N5,P5,R5,T5,V5,Z5,AB5,AD5)),0)</f>
        <v>356120</v>
      </c>
      <c r="AK5" s="17">
        <f>ROUND((D5*E5*AJ5),0)</f>
        <v>6054040</v>
      </c>
      <c r="AL5" s="17">
        <f>ROUND((GEOMEAN(F5,H5,J5,L5,N5,P5,R5,T5,V5,Z5,AB5,AD5)),0)</f>
        <v>364945</v>
      </c>
      <c r="AM5" s="17">
        <f>ROUND((D5*E5*AL5),0)</f>
        <v>6204065</v>
      </c>
      <c r="AN5" s="17"/>
    </row>
    <row r="6" spans="1:40" ht="15" customHeight="1" x14ac:dyDescent="0.2">
      <c r="A6" s="21"/>
      <c r="B6" s="53"/>
      <c r="C6" s="52"/>
      <c r="D6" s="51"/>
      <c r="E6" s="52"/>
      <c r="F6" s="20"/>
      <c r="G6" s="20"/>
      <c r="H6" s="30"/>
      <c r="I6" s="30"/>
      <c r="J6" s="23"/>
      <c r="K6" s="23"/>
      <c r="L6" s="20"/>
      <c r="M6" s="20"/>
      <c r="N6" s="36"/>
      <c r="O6" s="36"/>
      <c r="P6" s="54"/>
      <c r="Q6" s="54"/>
      <c r="R6" s="55"/>
      <c r="S6" s="55"/>
      <c r="T6" s="29"/>
      <c r="U6" s="29"/>
      <c r="V6" s="24"/>
      <c r="W6" s="24">
        <f>D6*E6*V6</f>
        <v>0</v>
      </c>
      <c r="X6" s="31"/>
      <c r="Y6" s="31"/>
      <c r="Z6" s="55"/>
      <c r="AA6" s="55"/>
      <c r="AB6" s="31"/>
      <c r="AC6" s="31"/>
      <c r="AD6" s="24"/>
      <c r="AE6" s="24"/>
      <c r="AF6" s="17"/>
      <c r="AG6" s="17"/>
      <c r="AH6" s="17"/>
      <c r="AI6" s="17"/>
      <c r="AJ6" s="17"/>
      <c r="AK6" s="17"/>
      <c r="AL6" s="17"/>
      <c r="AM6" s="17"/>
    </row>
    <row r="7" spans="1:40" x14ac:dyDescent="0.2">
      <c r="A7" s="4"/>
      <c r="B7" s="3"/>
      <c r="C7" s="3"/>
      <c r="D7" s="5"/>
      <c r="E7" s="3"/>
      <c r="F7" s="6"/>
      <c r="G7" s="6"/>
      <c r="H7" s="32"/>
      <c r="I7" s="32"/>
      <c r="J7" s="25"/>
      <c r="K7" s="25"/>
      <c r="L7" s="6"/>
      <c r="M7" s="6"/>
      <c r="N7" s="36"/>
      <c r="O7" s="36"/>
      <c r="P7" s="54"/>
      <c r="Q7" s="54"/>
      <c r="R7" s="55"/>
      <c r="S7" s="55"/>
      <c r="T7" s="29"/>
      <c r="U7" s="29"/>
      <c r="V7" s="24"/>
      <c r="W7" s="24"/>
      <c r="X7" s="31"/>
      <c r="Y7" s="31"/>
      <c r="Z7" s="55"/>
      <c r="AA7" s="55"/>
      <c r="AB7" s="31"/>
      <c r="AC7" s="31"/>
      <c r="AD7" s="24"/>
      <c r="AE7" s="24"/>
      <c r="AF7" s="14"/>
      <c r="AG7" s="14"/>
      <c r="AH7" s="14"/>
      <c r="AI7" s="14"/>
      <c r="AJ7" s="14"/>
      <c r="AK7" s="14"/>
      <c r="AL7" s="14"/>
      <c r="AM7" s="14"/>
    </row>
    <row r="8" spans="1:40" ht="12.75" customHeight="1" x14ac:dyDescent="0.2">
      <c r="A8" s="4"/>
      <c r="B8" s="10" t="s">
        <v>10</v>
      </c>
      <c r="C8" s="10"/>
      <c r="D8" s="10"/>
      <c r="E8" s="10"/>
      <c r="F8" s="10"/>
      <c r="G8" s="5">
        <f>SUM(G5:G5)</f>
        <v>6800000</v>
      </c>
      <c r="H8" s="33"/>
      <c r="I8" s="34">
        <f>SUM(I5:I5)</f>
        <v>8500000</v>
      </c>
      <c r="J8" s="26"/>
      <c r="K8" s="27">
        <f>SUM(K5:K5)</f>
        <v>9287100</v>
      </c>
      <c r="L8" s="3"/>
      <c r="M8" s="5">
        <f>SUM(M5:M5)</f>
        <v>6630000</v>
      </c>
      <c r="N8" s="37"/>
      <c r="O8" s="38">
        <f>SUM(O5:O5)</f>
        <v>7055000</v>
      </c>
      <c r="P8" s="77"/>
      <c r="Q8" s="78">
        <f>SUM(Q5:Q5)</f>
        <v>6858552.1718702037</v>
      </c>
      <c r="R8" s="83"/>
      <c r="S8" s="84">
        <f>SUM(S5:S5)</f>
        <v>6672817.906355734</v>
      </c>
      <c r="T8" s="88"/>
      <c r="U8" s="89">
        <f>SUM(U5:U5)</f>
        <v>4727391.9782928489</v>
      </c>
      <c r="V8" s="91"/>
      <c r="W8" s="92">
        <f>SUM(W5:W5)</f>
        <v>4682070.1252563512</v>
      </c>
      <c r="X8" s="94"/>
      <c r="Y8" s="95">
        <f>SUM(Y5:Y5)</f>
        <v>4875550.6349031162</v>
      </c>
      <c r="Z8" s="83"/>
      <c r="AA8" s="84">
        <f>SUM(AA5:AA5)</f>
        <v>4971608.3535957886</v>
      </c>
      <c r="AB8" s="94"/>
      <c r="AC8" s="95">
        <f>SUM(AC5:AC5)</f>
        <v>4743958.8383392505</v>
      </c>
      <c r="AD8" s="91"/>
      <c r="AE8" s="92">
        <f>SUM(AE5:AE5)</f>
        <v>5420719.620000001</v>
      </c>
      <c r="AF8" s="15"/>
      <c r="AG8" s="13">
        <f>ROUND(SUM(AG5:AG5),0)</f>
        <v>6362437</v>
      </c>
      <c r="AH8" s="15"/>
      <c r="AI8" s="13">
        <f>ROUND(SUM(AI5:AI5),0)</f>
        <v>6651403</v>
      </c>
      <c r="AJ8" s="15"/>
      <c r="AK8" s="13">
        <f>ROUND(SUM(AK5:AK5),0)</f>
        <v>6054040</v>
      </c>
      <c r="AL8" s="15"/>
      <c r="AM8" s="13">
        <f>ROUND(SUM(AM5:AM5),0)</f>
        <v>6204065</v>
      </c>
    </row>
    <row r="9" spans="1:40" ht="12.75" customHeight="1" x14ac:dyDescent="0.2">
      <c r="A9" s="4"/>
      <c r="B9" s="10" t="s">
        <v>11</v>
      </c>
      <c r="C9" s="10"/>
      <c r="D9" s="10"/>
      <c r="E9" s="11">
        <v>0.16</v>
      </c>
      <c r="F9" s="10"/>
      <c r="G9" s="5">
        <f>G8*E9</f>
        <v>1088000</v>
      </c>
      <c r="H9" s="35">
        <v>0.16</v>
      </c>
      <c r="I9" s="34">
        <f>I8*H9</f>
        <v>1360000</v>
      </c>
      <c r="J9" s="28">
        <v>0.16</v>
      </c>
      <c r="K9" s="27">
        <f>K8*J9</f>
        <v>1485936</v>
      </c>
      <c r="L9" s="7">
        <v>0.16</v>
      </c>
      <c r="M9" s="5">
        <f>M8*L9</f>
        <v>1060800</v>
      </c>
      <c r="N9" s="39">
        <v>0.16</v>
      </c>
      <c r="O9" s="38">
        <f>O8*N9</f>
        <v>1128800</v>
      </c>
      <c r="P9" s="79">
        <v>0.16</v>
      </c>
      <c r="Q9" s="78">
        <f>Q8*P9</f>
        <v>1097368.3474992325</v>
      </c>
      <c r="R9" s="85">
        <v>0.16</v>
      </c>
      <c r="S9" s="84">
        <f>S8*R9</f>
        <v>1067650.8650169175</v>
      </c>
      <c r="T9" s="90">
        <v>0.16</v>
      </c>
      <c r="U9" s="89">
        <f>U8*T9</f>
        <v>756382.71652685583</v>
      </c>
      <c r="V9" s="93">
        <v>0.16</v>
      </c>
      <c r="W9" s="92">
        <f>W8*V9</f>
        <v>749131.22004101623</v>
      </c>
      <c r="X9" s="96">
        <v>0.16</v>
      </c>
      <c r="Y9" s="95">
        <f>Y8*X9</f>
        <v>780088.10158449865</v>
      </c>
      <c r="Z9" s="85">
        <v>0.16</v>
      </c>
      <c r="AA9" s="84">
        <f>AA8*Z9</f>
        <v>795457.33657532616</v>
      </c>
      <c r="AB9" s="96">
        <v>0.16</v>
      </c>
      <c r="AC9" s="95">
        <f>AC8*AB9</f>
        <v>759033.41413428006</v>
      </c>
      <c r="AD9" s="93">
        <v>0.16</v>
      </c>
      <c r="AE9" s="92">
        <f>AE8*AD9</f>
        <v>867315.13920000021</v>
      </c>
      <c r="AF9" s="16">
        <v>0.16</v>
      </c>
      <c r="AG9" s="13">
        <f>ROUND(AG8*AF9,0)</f>
        <v>1017990</v>
      </c>
      <c r="AH9" s="16">
        <v>0.16</v>
      </c>
      <c r="AI9" s="13">
        <f>ROUND(AI8*AH9,0)</f>
        <v>1064224</v>
      </c>
      <c r="AJ9" s="16">
        <v>0.16</v>
      </c>
      <c r="AK9" s="99">
        <f>ROUND(AK8*AJ9,0)</f>
        <v>968646</v>
      </c>
      <c r="AL9" s="16">
        <v>0.16</v>
      </c>
      <c r="AM9" s="13">
        <f>ROUND(AM8*AL9,0)</f>
        <v>992650</v>
      </c>
    </row>
    <row r="10" spans="1:40" ht="16.5" customHeight="1" x14ac:dyDescent="0.2">
      <c r="A10" s="4"/>
      <c r="B10" s="10" t="s">
        <v>31</v>
      </c>
      <c r="C10" s="10"/>
      <c r="D10" s="10"/>
      <c r="E10" s="10"/>
      <c r="F10" s="10"/>
      <c r="G10" s="5">
        <f>SUM(G8:G9)</f>
        <v>7888000</v>
      </c>
      <c r="H10" s="33"/>
      <c r="I10" s="34">
        <f>SUM(I8:I9)</f>
        <v>9860000</v>
      </c>
      <c r="J10" s="26"/>
      <c r="K10" s="27">
        <f>SUM(K8:K9)</f>
        <v>10773036</v>
      </c>
      <c r="L10" s="3"/>
      <c r="M10" s="5">
        <f>SUM(M8:M9)</f>
        <v>7690800</v>
      </c>
      <c r="N10" s="37"/>
      <c r="O10" s="38">
        <f>SUM(O8:O9)</f>
        <v>8183800</v>
      </c>
      <c r="P10" s="77"/>
      <c r="Q10" s="78">
        <f>SUM(Q8:Q9)</f>
        <v>7955920.5193694364</v>
      </c>
      <c r="R10" s="86"/>
      <c r="S10" s="87">
        <f>SUM(S8:S9)</f>
        <v>7740468.7713726517</v>
      </c>
      <c r="T10" s="88"/>
      <c r="U10" s="89">
        <f>SUM(U8:U9)</f>
        <v>5483774.6948197046</v>
      </c>
      <c r="V10" s="92"/>
      <c r="W10" s="92">
        <f>SUM(W8:W9)</f>
        <v>5431201.3452973673</v>
      </c>
      <c r="X10" s="94"/>
      <c r="Y10" s="95">
        <f>SUM(Y8:Y9)</f>
        <v>5655638.7364876149</v>
      </c>
      <c r="Z10" s="84"/>
      <c r="AA10" s="84">
        <f>SUM(AA8:AA9)</f>
        <v>5767065.6901711151</v>
      </c>
      <c r="AB10" s="94"/>
      <c r="AC10" s="95">
        <f>SUM(AC8:AC9)</f>
        <v>5502992.2524735304</v>
      </c>
      <c r="AD10" s="91"/>
      <c r="AE10" s="92">
        <f>SUM(AE8:AE9)</f>
        <v>6288034.7592000011</v>
      </c>
      <c r="AF10" s="15"/>
      <c r="AG10" s="13">
        <f>SUM(AG8:AG9)</f>
        <v>7380427</v>
      </c>
      <c r="AH10" s="15"/>
      <c r="AI10" s="13">
        <f>SUM(AI8:AI9)</f>
        <v>7715627</v>
      </c>
      <c r="AJ10" s="15"/>
      <c r="AK10" s="99">
        <f>SUM(AK8:AK9)</f>
        <v>7022686</v>
      </c>
      <c r="AL10" s="15"/>
      <c r="AM10" s="13">
        <f>SUM(AM8:AM9)</f>
        <v>7196715</v>
      </c>
    </row>
    <row r="11" spans="1:40" ht="26.25" x14ac:dyDescent="0.2">
      <c r="A11" s="317" t="s">
        <v>28</v>
      </c>
      <c r="B11" s="317"/>
      <c r="C11" s="317"/>
      <c r="D11" s="317"/>
      <c r="E11" s="317"/>
      <c r="F11" s="317"/>
      <c r="G11" s="317"/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100"/>
      <c r="AE11" s="100"/>
    </row>
    <row r="12" spans="1:40" ht="21" x14ac:dyDescent="0.2">
      <c r="A12" s="318" t="s">
        <v>9</v>
      </c>
      <c r="B12" s="318"/>
      <c r="C12" s="318"/>
      <c r="D12" s="318"/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318"/>
      <c r="W12" s="318"/>
      <c r="X12" s="318"/>
      <c r="Y12" s="318"/>
      <c r="Z12" s="318"/>
      <c r="AA12" s="318"/>
      <c r="AB12" s="318"/>
      <c r="AC12" s="318"/>
      <c r="AD12" s="101"/>
      <c r="AE12" s="101"/>
    </row>
    <row r="13" spans="1:40" ht="164.25" customHeight="1" x14ac:dyDescent="0.2">
      <c r="B13" s="12" t="s">
        <v>32</v>
      </c>
      <c r="F13" s="303" t="s">
        <v>40</v>
      </c>
      <c r="G13" s="304"/>
      <c r="H13" s="303" t="s">
        <v>41</v>
      </c>
      <c r="I13" s="304"/>
      <c r="J13" s="305" t="s">
        <v>42</v>
      </c>
      <c r="K13" s="306"/>
      <c r="L13" s="303" t="s">
        <v>43</v>
      </c>
      <c r="M13" s="304"/>
      <c r="N13" s="303" t="s">
        <v>22</v>
      </c>
      <c r="O13" s="304"/>
      <c r="P13" s="311" t="s">
        <v>33</v>
      </c>
      <c r="Q13" s="312"/>
      <c r="R13" s="290" t="s">
        <v>34</v>
      </c>
      <c r="S13" s="291"/>
      <c r="T13" s="286" t="s">
        <v>35</v>
      </c>
      <c r="U13" s="287"/>
      <c r="V13" s="288" t="s">
        <v>36</v>
      </c>
      <c r="W13" s="289"/>
      <c r="X13" s="290" t="s">
        <v>37</v>
      </c>
      <c r="Y13" s="291"/>
      <c r="Z13" s="292" t="s">
        <v>38</v>
      </c>
      <c r="AA13" s="293"/>
      <c r="AB13" s="294" t="s">
        <v>39</v>
      </c>
      <c r="AC13" s="295"/>
      <c r="AD13" s="285" t="s">
        <v>12</v>
      </c>
      <c r="AE13" s="285"/>
      <c r="AF13" s="285" t="s">
        <v>16</v>
      </c>
      <c r="AG13" s="285"/>
      <c r="AH13" s="285" t="s">
        <v>19</v>
      </c>
      <c r="AI13" s="285"/>
      <c r="AJ13" s="285" t="s">
        <v>20</v>
      </c>
      <c r="AK13" s="285"/>
    </row>
    <row r="14" spans="1:40" ht="38.25" customHeight="1" x14ac:dyDescent="0.2">
      <c r="A14" s="56" t="s">
        <v>8</v>
      </c>
      <c r="B14" s="56" t="s">
        <v>7</v>
      </c>
      <c r="C14" s="56" t="s">
        <v>6</v>
      </c>
      <c r="D14" s="56" t="s">
        <v>5</v>
      </c>
      <c r="E14" s="72" t="s">
        <v>3</v>
      </c>
      <c r="F14" s="57" t="s">
        <v>4</v>
      </c>
      <c r="G14" s="56" t="s">
        <v>0</v>
      </c>
      <c r="H14" s="58" t="s">
        <v>4</v>
      </c>
      <c r="I14" s="59" t="s">
        <v>0</v>
      </c>
      <c r="J14" s="60" t="s">
        <v>4</v>
      </c>
      <c r="K14" s="61" t="s">
        <v>0</v>
      </c>
      <c r="L14" s="57" t="s">
        <v>4</v>
      </c>
      <c r="M14" s="56" t="s">
        <v>0</v>
      </c>
      <c r="N14" s="62" t="s">
        <v>4</v>
      </c>
      <c r="O14" s="63" t="s">
        <v>0</v>
      </c>
      <c r="P14" s="64" t="s">
        <v>4</v>
      </c>
      <c r="Q14" s="65" t="s">
        <v>0</v>
      </c>
      <c r="R14" s="66" t="s">
        <v>4</v>
      </c>
      <c r="S14" s="67" t="s">
        <v>0</v>
      </c>
      <c r="T14" s="68" t="s">
        <v>4</v>
      </c>
      <c r="U14" s="69" t="s">
        <v>0</v>
      </c>
      <c r="V14" s="60" t="s">
        <v>4</v>
      </c>
      <c r="W14" s="61" t="s">
        <v>0</v>
      </c>
      <c r="X14" s="66" t="s">
        <v>4</v>
      </c>
      <c r="Y14" s="67" t="s">
        <v>0</v>
      </c>
      <c r="Z14" s="58" t="s">
        <v>4</v>
      </c>
      <c r="AA14" s="59" t="s">
        <v>0</v>
      </c>
      <c r="AB14" s="60" t="s">
        <v>4</v>
      </c>
      <c r="AC14" s="61" t="s">
        <v>0</v>
      </c>
      <c r="AD14" s="57" t="s">
        <v>4</v>
      </c>
      <c r="AE14" s="56" t="s">
        <v>0</v>
      </c>
      <c r="AF14" s="57" t="s">
        <v>4</v>
      </c>
      <c r="AG14" s="56" t="s">
        <v>0</v>
      </c>
      <c r="AH14" s="57" t="s">
        <v>4</v>
      </c>
      <c r="AI14" s="56" t="s">
        <v>0</v>
      </c>
      <c r="AJ14" s="57" t="s">
        <v>4</v>
      </c>
      <c r="AK14" s="56" t="s">
        <v>0</v>
      </c>
    </row>
    <row r="15" spans="1:40" ht="87.75" customHeight="1" x14ac:dyDescent="0.2">
      <c r="A15" s="19">
        <v>5</v>
      </c>
      <c r="B15" s="22" t="s">
        <v>21</v>
      </c>
      <c r="C15" s="19" t="s">
        <v>1</v>
      </c>
      <c r="D15" s="41">
        <v>20.6</v>
      </c>
      <c r="E15" s="42">
        <v>1</v>
      </c>
      <c r="F15" s="20">
        <v>400000</v>
      </c>
      <c r="G15" s="20">
        <f>F15*E15*D15</f>
        <v>8240000.0000000009</v>
      </c>
      <c r="H15" s="30">
        <v>500000</v>
      </c>
      <c r="I15" s="30">
        <f>D15*E15*H15</f>
        <v>10300000</v>
      </c>
      <c r="J15" s="20">
        <v>546300</v>
      </c>
      <c r="K15" s="23">
        <f>D15*E15*J15</f>
        <v>11253780</v>
      </c>
      <c r="L15" s="36">
        <v>390000</v>
      </c>
      <c r="M15" s="20">
        <f>D15*E15*L15</f>
        <v>8034000.0000000009</v>
      </c>
      <c r="N15" s="40">
        <v>415000</v>
      </c>
      <c r="O15" s="36">
        <f>D15*E15*N15</f>
        <v>8549000</v>
      </c>
      <c r="P15" s="54">
        <f>302500*1.0317*1.0373*1.0244*1.0194*1.0366*1.0677*1.0575</f>
        <v>395674.63440133975</v>
      </c>
      <c r="Q15" s="54">
        <f>D15*E15*P15</f>
        <v>8150897.4686675994</v>
      </c>
      <c r="R15" s="55">
        <f>290931*1.0373*1.0244*1.0194*1.0366*1.0677*1.0575</f>
        <v>368849.67060229147</v>
      </c>
      <c r="S15" s="55">
        <f>D15*E15*R15</f>
        <v>7598303.2144072047</v>
      </c>
      <c r="T15" s="29">
        <f>309544*1.0244*1.0194*1.0366*1.0677*1.0575</f>
        <v>378335.77765287645</v>
      </c>
      <c r="U15" s="29">
        <f>D15*E15*T15</f>
        <v>7793717.0196492551</v>
      </c>
      <c r="V15" s="24">
        <f>340040*1.0194*1.0366*1.0677*1.0575</f>
        <v>405709.76425131212</v>
      </c>
      <c r="W15" s="24">
        <f>D15*E15*V15</f>
        <v>8357621.1435770299</v>
      </c>
      <c r="X15" s="55">
        <f>274204*1.0366*1.0677*1.0575</f>
        <v>320933.17241320864</v>
      </c>
      <c r="Y15" s="55">
        <f>D15*E15*X15</f>
        <v>6611223.3517120983</v>
      </c>
      <c r="Z15" s="31">
        <f>279156*1.0677*1.0575</f>
        <v>315193.01571900008</v>
      </c>
      <c r="AA15" s="31">
        <f>D15*E15*Z15</f>
        <v>6492976.1238114024</v>
      </c>
      <c r="AB15" s="31">
        <f>293183*1.0575</f>
        <v>310041.02250000002</v>
      </c>
      <c r="AC15" s="31">
        <f>ROUND((D15*E15*AB15),0)</f>
        <v>6386845</v>
      </c>
      <c r="AD15" s="17">
        <f>ROUND((AVERAGE(F15,H15,J15,L15,N15,P15,R15,T15,V15,X15,Z15,AB15)),0)</f>
        <v>395503</v>
      </c>
      <c r="AE15" s="17">
        <f>ROUND((D15*E15*AD15),0)</f>
        <v>8147362</v>
      </c>
      <c r="AF15" s="17">
        <f>ROUND((MEDIAN(F15,H15,J15,L15,N15,P15,R15,T15,V15,X15,Z15,AB15)),0)</f>
        <v>392837</v>
      </c>
      <c r="AG15" s="17">
        <f>ROUND((D15*E15*AF15),0)</f>
        <v>8092442</v>
      </c>
      <c r="AH15" s="17">
        <f>ROUND((HARMEAN(F15,H15,J15,L15,N15,P15,R15,T15,V15,X15,Z15,AB15)),0)</f>
        <v>385052</v>
      </c>
      <c r="AI15" s="17">
        <f>ROUND((D15*E15*AH15),0)</f>
        <v>7932071</v>
      </c>
      <c r="AJ15" s="17">
        <f>ROUND((GEOMEAN(F15,H15,J15,L15,N15,P15,R15,T15,V15,X15,Z15,AB15)),0)</f>
        <v>390111</v>
      </c>
      <c r="AK15" s="17">
        <f>ROUND((D15*E15*AJ15),0)</f>
        <v>8036287</v>
      </c>
    </row>
    <row r="16" spans="1:40" x14ac:dyDescent="0.2">
      <c r="A16" s="4"/>
      <c r="B16" s="70"/>
      <c r="C16" s="42"/>
      <c r="D16" s="71"/>
      <c r="E16" s="3"/>
      <c r="F16" s="20"/>
      <c r="G16" s="20"/>
      <c r="H16" s="30"/>
      <c r="I16" s="30"/>
      <c r="J16" s="23"/>
      <c r="K16" s="23"/>
      <c r="L16" s="20"/>
      <c r="M16" s="20"/>
      <c r="N16" s="36"/>
      <c r="O16" s="36"/>
      <c r="P16" s="54"/>
      <c r="Q16" s="54"/>
      <c r="R16" s="55"/>
      <c r="S16" s="55"/>
      <c r="T16" s="29"/>
      <c r="U16" s="29"/>
      <c r="V16" s="24"/>
      <c r="W16" s="24"/>
      <c r="X16" s="24"/>
      <c r="Y16" s="24"/>
      <c r="Z16" s="24"/>
      <c r="AA16" s="24"/>
      <c r="AB16" s="44"/>
      <c r="AC16" s="44"/>
      <c r="AD16" s="44"/>
      <c r="AE16" s="44"/>
      <c r="AF16" s="17"/>
      <c r="AG16" s="44"/>
      <c r="AH16" s="44"/>
      <c r="AI16" s="44"/>
      <c r="AJ16" s="44"/>
      <c r="AK16" s="44"/>
    </row>
    <row r="17" spans="1:39" x14ac:dyDescent="0.2">
      <c r="A17" s="4"/>
      <c r="B17" s="10" t="s">
        <v>10</v>
      </c>
      <c r="C17" s="10"/>
      <c r="D17" s="10"/>
      <c r="E17" s="10"/>
      <c r="F17" s="45"/>
      <c r="G17" s="46">
        <f>SUM(G15:G15)</f>
        <v>8240000.0000000009</v>
      </c>
      <c r="H17" s="47"/>
      <c r="I17" s="46">
        <f>SUM(I15:I15)</f>
        <v>10300000</v>
      </c>
      <c r="J17" s="47"/>
      <c r="K17" s="46">
        <f>SUM(K15:K15)</f>
        <v>11253780</v>
      </c>
      <c r="L17" s="47"/>
      <c r="M17" s="46">
        <f>SUM(M15:M15)</f>
        <v>8034000.0000000009</v>
      </c>
      <c r="N17" s="47"/>
      <c r="O17" s="46">
        <f>SUM(O15:O15)</f>
        <v>8549000</v>
      </c>
      <c r="P17" s="80"/>
      <c r="Q17" s="81">
        <f>SUM(Q15:Q15)</f>
        <v>8150897.4686675994</v>
      </c>
      <c r="R17" s="80"/>
      <c r="S17" s="81">
        <f>SUM(S15:S15)</f>
        <v>7598303.2144072047</v>
      </c>
      <c r="T17" s="80"/>
      <c r="U17" s="81">
        <f>SUM(U15:U15)</f>
        <v>7793717.0196492551</v>
      </c>
      <c r="V17" s="80"/>
      <c r="W17" s="81">
        <f>SUM(W15:W15)</f>
        <v>8357621.1435770299</v>
      </c>
      <c r="X17" s="47"/>
      <c r="Y17" s="46">
        <f>SUM(Y15:Y15)</f>
        <v>6611223.3517120983</v>
      </c>
      <c r="Z17" s="80"/>
      <c r="AA17" s="81">
        <f>SUM(AA15:AA15)</f>
        <v>6492976.1238114024</v>
      </c>
      <c r="AB17" s="48"/>
      <c r="AC17" s="74">
        <f>SUM(AC15:AC15)</f>
        <v>6386845</v>
      </c>
      <c r="AD17" s="48"/>
      <c r="AE17" s="74">
        <f>SUM(AE15:AE15)</f>
        <v>8147362</v>
      </c>
      <c r="AF17" s="76"/>
      <c r="AG17" s="74">
        <f>SUM(AG15:AG15)</f>
        <v>8092442</v>
      </c>
      <c r="AH17" s="76"/>
      <c r="AI17" s="74">
        <f>SUM(AI15:AI15)</f>
        <v>7932071</v>
      </c>
      <c r="AJ17" s="76"/>
      <c r="AK17" s="74">
        <f>SUM(AK15:AK15)</f>
        <v>8036287</v>
      </c>
    </row>
    <row r="18" spans="1:39" x14ac:dyDescent="0.2">
      <c r="A18" s="4"/>
      <c r="B18" s="10" t="s">
        <v>11</v>
      </c>
      <c r="C18" s="10"/>
      <c r="D18" s="10"/>
      <c r="E18" s="11"/>
      <c r="F18" s="11">
        <v>0.16</v>
      </c>
      <c r="G18" s="46">
        <f>G17*F18</f>
        <v>1318400.0000000002</v>
      </c>
      <c r="H18" s="49">
        <v>0.16</v>
      </c>
      <c r="I18" s="46">
        <f>I17*H18</f>
        <v>1648000</v>
      </c>
      <c r="J18" s="49">
        <v>0.16</v>
      </c>
      <c r="K18" s="46">
        <f>K17*J18</f>
        <v>1800604.8</v>
      </c>
      <c r="L18" s="49">
        <v>0.16</v>
      </c>
      <c r="M18" s="46">
        <f>M17*L18</f>
        <v>1285440.0000000002</v>
      </c>
      <c r="N18" s="49">
        <v>0.16</v>
      </c>
      <c r="O18" s="46">
        <f>O17*N18</f>
        <v>1367840</v>
      </c>
      <c r="P18" s="82">
        <v>0.16</v>
      </c>
      <c r="Q18" s="81">
        <f>Q17*P18</f>
        <v>1304143.5949868159</v>
      </c>
      <c r="R18" s="82">
        <v>0.16</v>
      </c>
      <c r="S18" s="81">
        <f>S17*R18</f>
        <v>1215728.5143051527</v>
      </c>
      <c r="T18" s="82">
        <v>0.16</v>
      </c>
      <c r="U18" s="81">
        <f>U17*T18</f>
        <v>1246994.723143881</v>
      </c>
      <c r="V18" s="82">
        <v>0.16</v>
      </c>
      <c r="W18" s="81">
        <f>W17*V18</f>
        <v>1337219.3829723247</v>
      </c>
      <c r="X18" s="49">
        <v>0.16</v>
      </c>
      <c r="Y18" s="46">
        <f>Y17*X18</f>
        <v>1057795.7362739358</v>
      </c>
      <c r="Z18" s="82">
        <v>0.16</v>
      </c>
      <c r="AA18" s="81">
        <f>AA17*Z18</f>
        <v>1038876.1798098244</v>
      </c>
      <c r="AB18" s="50">
        <v>0.16</v>
      </c>
      <c r="AC18" s="74">
        <f>ROUND(AC17*AB18,0)</f>
        <v>1021895</v>
      </c>
      <c r="AD18" s="50">
        <v>0.16</v>
      </c>
      <c r="AE18" s="74">
        <f>ROUND(AE17*AD18,0)</f>
        <v>1303578</v>
      </c>
      <c r="AF18" s="75">
        <v>0.16</v>
      </c>
      <c r="AG18" s="74">
        <f>ROUND(AG17*AF18,0)</f>
        <v>1294791</v>
      </c>
      <c r="AH18" s="75">
        <v>0.16</v>
      </c>
      <c r="AI18" s="74">
        <f>ROUND(AI17*AH18,0)</f>
        <v>1269131</v>
      </c>
      <c r="AJ18" s="75">
        <v>0.16</v>
      </c>
      <c r="AK18" s="74">
        <f>ROUND(AK17*AJ18,0)</f>
        <v>1285806</v>
      </c>
    </row>
    <row r="19" spans="1:39" x14ac:dyDescent="0.2">
      <c r="A19" s="4"/>
      <c r="B19" s="10" t="s">
        <v>30</v>
      </c>
      <c r="C19" s="10"/>
      <c r="D19" s="10"/>
      <c r="E19" s="10"/>
      <c r="F19" s="45"/>
      <c r="G19" s="46">
        <f>SUM(G17:G18)</f>
        <v>9558400.0000000019</v>
      </c>
      <c r="H19" s="47"/>
      <c r="I19" s="46">
        <f>SUM(I17:I18)</f>
        <v>11948000</v>
      </c>
      <c r="J19" s="47"/>
      <c r="K19" s="46">
        <f>SUM(K17:K18)</f>
        <v>13054384.800000001</v>
      </c>
      <c r="L19" s="47"/>
      <c r="M19" s="46">
        <f>SUM(M17:M18)</f>
        <v>9319440.0000000019</v>
      </c>
      <c r="N19" s="47"/>
      <c r="O19" s="46">
        <f>SUM(O17:O18)</f>
        <v>9916840</v>
      </c>
      <c r="P19" s="80"/>
      <c r="Q19" s="81">
        <f>SUM(Q17:Q18)</f>
        <v>9455041.0636544153</v>
      </c>
      <c r="R19" s="80"/>
      <c r="S19" s="81">
        <f>SUM(S17:S18)</f>
        <v>8814031.7287123576</v>
      </c>
      <c r="T19" s="80"/>
      <c r="U19" s="81">
        <f>SUM(U17:U18)</f>
        <v>9040711.7427931353</v>
      </c>
      <c r="V19" s="81"/>
      <c r="W19" s="81">
        <f>SUM(W17:W18)</f>
        <v>9694840.5265493542</v>
      </c>
      <c r="X19" s="46"/>
      <c r="Y19" s="46">
        <f>SUM(Y17:Y18)</f>
        <v>7669019.0879860343</v>
      </c>
      <c r="Z19" s="81"/>
      <c r="AA19" s="81">
        <f>SUM(AA17:AA18)</f>
        <v>7531852.3036212269</v>
      </c>
      <c r="AB19" s="48"/>
      <c r="AC19" s="74">
        <f>SUM(AC17:AC18)</f>
        <v>7408740</v>
      </c>
      <c r="AD19" s="48"/>
      <c r="AE19" s="74">
        <f>SUM(AE17:AE18)</f>
        <v>9450940</v>
      </c>
      <c r="AF19" s="74"/>
      <c r="AG19" s="74">
        <f>SUM(AG17:AG18)</f>
        <v>9387233</v>
      </c>
      <c r="AH19" s="76"/>
      <c r="AI19" s="74">
        <f>SUM(AI17:AI18)</f>
        <v>9201202</v>
      </c>
      <c r="AJ19" s="76"/>
      <c r="AK19" s="74">
        <f>SUM(AK17:AK18)</f>
        <v>9322093</v>
      </c>
    </row>
    <row r="20" spans="1:39" x14ac:dyDescent="0.2">
      <c r="G20" s="2"/>
      <c r="AB20" s="73"/>
    </row>
    <row r="21" spans="1:39" x14ac:dyDescent="0.2">
      <c r="B21" s="10"/>
      <c r="Q21" s="2">
        <f>Q10+Q19</f>
        <v>17410961.583023854</v>
      </c>
      <c r="S21" s="2">
        <f>S10+S19</f>
        <v>16554500.500085009</v>
      </c>
      <c r="U21" s="2">
        <f>U10+U19</f>
        <v>14524486.437612839</v>
      </c>
      <c r="W21" s="2">
        <f>W10+W19</f>
        <v>15126041.871846721</v>
      </c>
      <c r="Y21" s="2">
        <f>Y10+Y19</f>
        <v>13324657.824473649</v>
      </c>
      <c r="AA21" s="2">
        <f>AA10+AA19</f>
        <v>13298917.993792342</v>
      </c>
      <c r="AC21" s="2">
        <f>AC10+AC19</f>
        <v>12911732.252473529</v>
      </c>
      <c r="AE21" s="2">
        <f>AE10+AE19</f>
        <v>15738974.759200001</v>
      </c>
      <c r="AG21" s="2">
        <f>AG10+AG19</f>
        <v>16767660</v>
      </c>
      <c r="AI21" s="2">
        <f>AI10+AI19</f>
        <v>16916829</v>
      </c>
      <c r="AK21" s="2">
        <f>AK10+AK19</f>
        <v>16344779</v>
      </c>
    </row>
    <row r="22" spans="1:39" ht="15" customHeight="1" x14ac:dyDescent="0.2">
      <c r="B22" s="10" t="s">
        <v>29</v>
      </c>
      <c r="AF22" s="319"/>
      <c r="AG22" s="319"/>
    </row>
    <row r="23" spans="1:39" x14ac:dyDescent="0.2">
      <c r="AG23" s="9"/>
    </row>
    <row r="24" spans="1:39" ht="26.25" x14ac:dyDescent="0.2">
      <c r="A24" s="317" t="str">
        <f>UPPER("OBJETO: Mantenimiento de las zonas seguridad y canales del aeropuerto Berastegui de Cienaga de Oro - Cordoba")</f>
        <v>OBJETO: MANTENIMIENTO DE LAS ZONAS SEGURIDAD Y CANALES DEL AEROPUERTO BERASTEGUI DE CIENAGA DE ORO - CORDOBA</v>
      </c>
      <c r="B24" s="317"/>
      <c r="C24" s="317"/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  <c r="AG24" s="317"/>
    </row>
    <row r="25" spans="1:39" ht="21" x14ac:dyDescent="0.2">
      <c r="A25" s="318" t="s">
        <v>9</v>
      </c>
      <c r="B25" s="31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318"/>
      <c r="AC25" s="318"/>
      <c r="AD25" s="318"/>
      <c r="AE25" s="318"/>
      <c r="AF25" s="318"/>
      <c r="AG25" s="318"/>
    </row>
    <row r="26" spans="1:39" ht="129" customHeight="1" x14ac:dyDescent="0.2">
      <c r="B26" s="12" t="s">
        <v>51</v>
      </c>
      <c r="F26" s="303" t="s">
        <v>40</v>
      </c>
      <c r="G26" s="304"/>
      <c r="H26" s="303" t="s">
        <v>41</v>
      </c>
      <c r="I26" s="304"/>
      <c r="J26" s="305" t="s">
        <v>42</v>
      </c>
      <c r="K26" s="306"/>
      <c r="L26" s="303" t="s">
        <v>43</v>
      </c>
      <c r="M26" s="304"/>
      <c r="N26" s="303" t="s">
        <v>22</v>
      </c>
      <c r="O26" s="304"/>
      <c r="P26" s="307"/>
      <c r="Q26" s="308"/>
      <c r="R26" s="300" t="s">
        <v>52</v>
      </c>
      <c r="S26" s="301"/>
      <c r="T26" s="309" t="s">
        <v>53</v>
      </c>
      <c r="U26" s="310"/>
      <c r="V26" s="294" t="s">
        <v>54</v>
      </c>
      <c r="W26" s="295"/>
      <c r="X26" s="294" t="s">
        <v>55</v>
      </c>
      <c r="Y26" s="295"/>
      <c r="Z26" s="300" t="s">
        <v>56</v>
      </c>
      <c r="AA26" s="301"/>
      <c r="AB26" s="298" t="s">
        <v>57</v>
      </c>
      <c r="AC26" s="299"/>
      <c r="AD26" s="294" t="s">
        <v>58</v>
      </c>
      <c r="AE26" s="295"/>
      <c r="AF26" s="313" t="s">
        <v>12</v>
      </c>
      <c r="AG26" s="314"/>
      <c r="AH26" s="313" t="s">
        <v>16</v>
      </c>
      <c r="AI26" s="314"/>
      <c r="AJ26" s="313" t="s">
        <v>17</v>
      </c>
      <c r="AK26" s="314"/>
      <c r="AL26" s="313" t="s">
        <v>18</v>
      </c>
      <c r="AM26" s="314"/>
    </row>
    <row r="27" spans="1:39" ht="34.5" customHeight="1" x14ac:dyDescent="0.2">
      <c r="A27" s="56" t="s">
        <v>8</v>
      </c>
      <c r="B27" s="56" t="s">
        <v>7</v>
      </c>
      <c r="C27" s="56" t="s">
        <v>6</v>
      </c>
      <c r="D27" s="56" t="s">
        <v>5</v>
      </c>
      <c r="E27" s="56" t="s">
        <v>3</v>
      </c>
      <c r="F27" s="57" t="s">
        <v>4</v>
      </c>
      <c r="G27" s="56" t="s">
        <v>0</v>
      </c>
      <c r="H27" s="58" t="s">
        <v>4</v>
      </c>
      <c r="I27" s="59" t="s">
        <v>0</v>
      </c>
      <c r="J27" s="60" t="s">
        <v>4</v>
      </c>
      <c r="K27" s="61" t="s">
        <v>0</v>
      </c>
      <c r="L27" s="57" t="s">
        <v>4</v>
      </c>
      <c r="M27" s="56" t="s">
        <v>0</v>
      </c>
      <c r="N27" s="62" t="s">
        <v>4</v>
      </c>
      <c r="O27" s="63" t="s">
        <v>0</v>
      </c>
      <c r="P27" s="64" t="s">
        <v>4</v>
      </c>
      <c r="Q27" s="65" t="s">
        <v>0</v>
      </c>
      <c r="R27" s="66" t="s">
        <v>4</v>
      </c>
      <c r="S27" s="67" t="s">
        <v>0</v>
      </c>
      <c r="T27" s="68" t="s">
        <v>4</v>
      </c>
      <c r="U27" s="69" t="s">
        <v>0</v>
      </c>
      <c r="V27" s="60" t="s">
        <v>4</v>
      </c>
      <c r="W27" s="61" t="s">
        <v>0</v>
      </c>
      <c r="X27" s="58" t="s">
        <v>4</v>
      </c>
      <c r="Y27" s="59" t="s">
        <v>0</v>
      </c>
      <c r="Z27" s="66" t="s">
        <v>4</v>
      </c>
      <c r="AA27" s="67" t="s">
        <v>0</v>
      </c>
      <c r="AB27" s="58" t="s">
        <v>4</v>
      </c>
      <c r="AC27" s="59" t="s">
        <v>0</v>
      </c>
      <c r="AD27" s="60" t="s">
        <v>4</v>
      </c>
      <c r="AE27" s="61" t="s">
        <v>0</v>
      </c>
      <c r="AF27" s="57" t="s">
        <v>4</v>
      </c>
      <c r="AG27" s="56" t="s">
        <v>0</v>
      </c>
      <c r="AH27" s="57" t="s">
        <v>4</v>
      </c>
      <c r="AI27" s="56" t="s">
        <v>0</v>
      </c>
      <c r="AJ27" s="57" t="s">
        <v>4</v>
      </c>
      <c r="AK27" s="56" t="s">
        <v>0</v>
      </c>
      <c r="AL27" s="57" t="s">
        <v>4</v>
      </c>
      <c r="AM27" s="56" t="s">
        <v>0</v>
      </c>
    </row>
    <row r="28" spans="1:39" ht="63.75" x14ac:dyDescent="0.2">
      <c r="A28" s="106">
        <v>1</v>
      </c>
      <c r="B28" s="22" t="s">
        <v>13</v>
      </c>
      <c r="C28" s="106" t="s">
        <v>1</v>
      </c>
      <c r="D28" s="51">
        <v>33.25</v>
      </c>
      <c r="E28" s="103">
        <v>1</v>
      </c>
      <c r="F28" s="20">
        <v>400000</v>
      </c>
      <c r="G28" s="20">
        <f>F28*E28*D28</f>
        <v>13300000</v>
      </c>
      <c r="H28" s="30">
        <v>500000</v>
      </c>
      <c r="I28" s="30">
        <f>D28*E28*H28</f>
        <v>16625000</v>
      </c>
      <c r="J28" s="20">
        <v>546300</v>
      </c>
      <c r="K28" s="23">
        <f>D28*E28*J28</f>
        <v>18164475</v>
      </c>
      <c r="L28" s="36">
        <v>390000</v>
      </c>
      <c r="M28" s="20">
        <f>D28*E28*L28</f>
        <v>12967500</v>
      </c>
      <c r="N28" s="40">
        <v>415000</v>
      </c>
      <c r="O28" s="36">
        <f>D28*E28*N28</f>
        <v>13798750</v>
      </c>
      <c r="P28" s="54"/>
      <c r="Q28" s="54">
        <f>D28*E28*P28</f>
        <v>0</v>
      </c>
      <c r="R28" s="55">
        <f>250000*1.0373*1.0244*1.0194*1.0366*1.0677*1.0575</f>
        <v>316956.31490137824</v>
      </c>
      <c r="S28" s="97">
        <f>D28*E28*R28</f>
        <v>10538797.470470827</v>
      </c>
      <c r="T28" s="29">
        <f>240000*1.0244*1.0194*1.0366*1.0677*1.0575</f>
        <v>293336.60686910537</v>
      </c>
      <c r="U28" s="98">
        <f>D28*E28*T28</f>
        <v>9753442.1783977542</v>
      </c>
      <c r="V28" s="107">
        <f>246578*1.0194*1.0366*1.0677*1.0575</f>
        <v>294198.04214080708</v>
      </c>
      <c r="W28" s="23">
        <f>D28*E28*V28</f>
        <v>9782084.9011818357</v>
      </c>
      <c r="X28" s="107">
        <f>253457*1.0194*1.0366*1.0677*1.0575</f>
        <v>302405.53969487362</v>
      </c>
      <c r="Y28" s="30">
        <f>D28*E28*X28</f>
        <v>10054984.194854548</v>
      </c>
      <c r="Z28" s="55">
        <f>268008*1.0366*1.0677*1.0575</f>
        <v>313681.26530655724</v>
      </c>
      <c r="AA28" s="97">
        <f>D28*E28*Z28</f>
        <v>10429902.071443029</v>
      </c>
      <c r="AB28" s="31">
        <f>257126*1.0677*1.0575</f>
        <v>290319.10243650002</v>
      </c>
      <c r="AC28" s="30">
        <f>D28*E28*AB28</f>
        <v>9653110.1560136247</v>
      </c>
      <c r="AD28" s="24">
        <f>291864*1.0575</f>
        <v>308646.18000000005</v>
      </c>
      <c r="AE28" s="23">
        <f>D28*E28*AD28</f>
        <v>10262485.485000001</v>
      </c>
      <c r="AF28" s="17">
        <f>ROUND((AVERAGE(F28,H28,J28,L28,N28,R28,T28,V28,Z28,AB28,AD28)),0)</f>
        <v>369858</v>
      </c>
      <c r="AG28" s="17">
        <f>ROUND((D28*E28*AF28),0)</f>
        <v>12297779</v>
      </c>
      <c r="AH28" s="17">
        <f>ROUND((MEDIAN(H28,F28,J28,L28,N28,R28,T28,V28,X28,Z28,AB28,AD28)),0)</f>
        <v>315319</v>
      </c>
      <c r="AI28" s="17">
        <f>ROUND((D28*E28*AH28),0)</f>
        <v>10484357</v>
      </c>
      <c r="AJ28" s="17">
        <f>ROUND((HARMEAN(F28,H28,J28,L28,N28,P28,R28,T28,V28,X28,Z28,AB28,AD28)),0)</f>
        <v>348366</v>
      </c>
      <c r="AK28" s="17">
        <f>ROUND((D28*E28*AJ28),0)</f>
        <v>11583170</v>
      </c>
      <c r="AL28" s="17">
        <f>ROUND((GEOMEAN(F28,H28,J28,L28,N28,P28,R28,T28,V28,X28,Z28,AB28,AD28)),0)</f>
        <v>355767</v>
      </c>
      <c r="AM28" s="17">
        <f>ROUND((D28*E28*AL28),0)</f>
        <v>11829253</v>
      </c>
    </row>
    <row r="29" spans="1:39" x14ac:dyDescent="0.2">
      <c r="A29" s="21"/>
      <c r="B29" s="53"/>
      <c r="C29" s="52"/>
      <c r="D29" s="51"/>
      <c r="E29" s="52"/>
      <c r="F29" s="20"/>
      <c r="G29" s="20"/>
      <c r="H29" s="30"/>
      <c r="I29" s="30"/>
      <c r="J29" s="23"/>
      <c r="K29" s="23"/>
      <c r="L29" s="20"/>
      <c r="M29" s="20"/>
      <c r="N29" s="36"/>
      <c r="O29" s="36"/>
      <c r="P29" s="54"/>
      <c r="Q29" s="54"/>
      <c r="R29" s="55"/>
      <c r="S29" s="55"/>
      <c r="T29" s="29"/>
      <c r="U29" s="29"/>
      <c r="V29" s="24"/>
      <c r="W29" s="24">
        <f>D29*E29*V29</f>
        <v>0</v>
      </c>
      <c r="X29" s="31"/>
      <c r="Y29" s="31"/>
      <c r="Z29" s="55"/>
      <c r="AA29" s="55"/>
      <c r="AB29" s="31"/>
      <c r="AC29" s="31"/>
      <c r="AD29" s="24"/>
      <c r="AE29" s="24"/>
      <c r="AF29" s="17"/>
      <c r="AG29" s="17"/>
      <c r="AH29" s="17"/>
      <c r="AI29" s="17"/>
      <c r="AJ29" s="17"/>
      <c r="AK29" s="17"/>
      <c r="AL29" s="17"/>
      <c r="AM29" s="17"/>
    </row>
    <row r="30" spans="1:39" x14ac:dyDescent="0.2">
      <c r="A30" s="4"/>
      <c r="B30" s="3"/>
      <c r="C30" s="3"/>
      <c r="D30" s="5"/>
      <c r="E30" s="3"/>
      <c r="F30" s="6"/>
      <c r="G30" s="6"/>
      <c r="H30" s="32"/>
      <c r="I30" s="32"/>
      <c r="J30" s="25"/>
      <c r="K30" s="25"/>
      <c r="L30" s="6"/>
      <c r="M30" s="6"/>
      <c r="N30" s="36"/>
      <c r="O30" s="36"/>
      <c r="P30" s="54"/>
      <c r="Q30" s="54"/>
      <c r="R30" s="55"/>
      <c r="S30" s="55"/>
      <c r="T30" s="29"/>
      <c r="U30" s="29"/>
      <c r="V30" s="24"/>
      <c r="W30" s="24"/>
      <c r="X30" s="31"/>
      <c r="Y30" s="31"/>
      <c r="Z30" s="55"/>
      <c r="AA30" s="55"/>
      <c r="AB30" s="31"/>
      <c r="AC30" s="31"/>
      <c r="AD30" s="24"/>
      <c r="AE30" s="24"/>
      <c r="AF30" s="14"/>
      <c r="AG30" s="14"/>
      <c r="AH30" s="14"/>
      <c r="AI30" s="14"/>
      <c r="AJ30" s="14"/>
      <c r="AK30" s="14"/>
      <c r="AL30" s="14"/>
      <c r="AM30" s="14"/>
    </row>
    <row r="31" spans="1:39" x14ac:dyDescent="0.2">
      <c r="A31" s="4"/>
      <c r="B31" s="10" t="s">
        <v>10</v>
      </c>
      <c r="C31" s="10"/>
      <c r="D31" s="10"/>
      <c r="E31" s="10"/>
      <c r="F31" s="10"/>
      <c r="G31" s="5">
        <f>SUM(G28:G28)</f>
        <v>13300000</v>
      </c>
      <c r="H31" s="33"/>
      <c r="I31" s="34">
        <f>SUM(I28:I28)</f>
        <v>16625000</v>
      </c>
      <c r="J31" s="26"/>
      <c r="K31" s="27">
        <f>SUM(K28:K28)</f>
        <v>18164475</v>
      </c>
      <c r="L31" s="3"/>
      <c r="M31" s="5">
        <f>SUM(M28:M28)</f>
        <v>12967500</v>
      </c>
      <c r="N31" s="37"/>
      <c r="O31" s="38">
        <f>SUM(O28:O28)</f>
        <v>13798750</v>
      </c>
      <c r="P31" s="77"/>
      <c r="Q31" s="78">
        <f>SUM(Q28:Q28)</f>
        <v>0</v>
      </c>
      <c r="R31" s="83"/>
      <c r="S31" s="84">
        <f>SUM(S28:S28)</f>
        <v>10538797.470470827</v>
      </c>
      <c r="T31" s="88"/>
      <c r="U31" s="89">
        <f>SUM(U28:U28)</f>
        <v>9753442.1783977542</v>
      </c>
      <c r="V31" s="91"/>
      <c r="W31" s="92">
        <f>SUM(W28:W28)</f>
        <v>9782084.9011818357</v>
      </c>
      <c r="X31" s="94"/>
      <c r="Y31" s="95">
        <f>SUM(Y28:Y28)</f>
        <v>10054984.194854548</v>
      </c>
      <c r="Z31" s="83"/>
      <c r="AA31" s="84">
        <f>SUM(AA28:AA28)</f>
        <v>10429902.071443029</v>
      </c>
      <c r="AB31" s="94"/>
      <c r="AC31" s="95">
        <f>SUM(AC28:AC28)</f>
        <v>9653110.1560136247</v>
      </c>
      <c r="AD31" s="91"/>
      <c r="AE31" s="92">
        <f>SUM(AE28:AE28)</f>
        <v>10262485.485000001</v>
      </c>
      <c r="AF31" s="15"/>
      <c r="AG31" s="13">
        <f>ROUND(SUM(AG28:AG28),0)</f>
        <v>12297779</v>
      </c>
      <c r="AH31" s="15"/>
      <c r="AI31" s="13">
        <f>ROUND(SUM(AI28:AI28),0)</f>
        <v>10484357</v>
      </c>
      <c r="AJ31" s="15"/>
      <c r="AK31" s="13">
        <f>ROUND(SUM(AK28:AK28),0)</f>
        <v>11583170</v>
      </c>
      <c r="AL31" s="15"/>
      <c r="AM31" s="13">
        <f>ROUND(SUM(AM28:AM28),0)</f>
        <v>11829253</v>
      </c>
    </row>
    <row r="32" spans="1:39" x14ac:dyDescent="0.2">
      <c r="A32" s="4"/>
      <c r="B32" s="10" t="s">
        <v>11</v>
      </c>
      <c r="C32" s="10"/>
      <c r="D32" s="10"/>
      <c r="E32" s="11">
        <v>0.16</v>
      </c>
      <c r="F32" s="10"/>
      <c r="G32" s="5">
        <f>G31*E32</f>
        <v>2128000</v>
      </c>
      <c r="H32" s="35">
        <v>0.16</v>
      </c>
      <c r="I32" s="34">
        <f>I31*H32</f>
        <v>2660000</v>
      </c>
      <c r="J32" s="28">
        <v>0.16</v>
      </c>
      <c r="K32" s="27">
        <f>K31*J32</f>
        <v>2906316</v>
      </c>
      <c r="L32" s="7">
        <v>0.16</v>
      </c>
      <c r="M32" s="5">
        <f>M31*L32</f>
        <v>2074800</v>
      </c>
      <c r="N32" s="39">
        <v>0.16</v>
      </c>
      <c r="O32" s="38">
        <f>O31*N32</f>
        <v>2207800</v>
      </c>
      <c r="P32" s="79">
        <v>0.16</v>
      </c>
      <c r="Q32" s="78">
        <f>Q31*P32</f>
        <v>0</v>
      </c>
      <c r="R32" s="85">
        <v>0.16</v>
      </c>
      <c r="S32" s="84">
        <f>S31*R32</f>
        <v>1686207.5952753325</v>
      </c>
      <c r="T32" s="90">
        <v>0.16</v>
      </c>
      <c r="U32" s="89">
        <f>U31*T32</f>
        <v>1560550.7485436406</v>
      </c>
      <c r="V32" s="93">
        <v>0.16</v>
      </c>
      <c r="W32" s="92">
        <f>W31*V32</f>
        <v>1565133.5841890937</v>
      </c>
      <c r="X32" s="96">
        <v>0.16</v>
      </c>
      <c r="Y32" s="95">
        <f>Y31*X32</f>
        <v>1608797.4711767277</v>
      </c>
      <c r="Z32" s="85">
        <v>0.16</v>
      </c>
      <c r="AA32" s="84">
        <f>AA31*Z32</f>
        <v>1668784.3314308845</v>
      </c>
      <c r="AB32" s="96">
        <v>0.16</v>
      </c>
      <c r="AC32" s="95">
        <f>AC31*AB32</f>
        <v>1544497.6249621799</v>
      </c>
      <c r="AD32" s="93">
        <v>0.16</v>
      </c>
      <c r="AE32" s="92">
        <f>AE31*AD32</f>
        <v>1641997.6776000003</v>
      </c>
      <c r="AF32" s="16">
        <v>0.16</v>
      </c>
      <c r="AG32" s="13">
        <f>ROUND(AG31*AF32,0)</f>
        <v>1967645</v>
      </c>
      <c r="AH32" s="16">
        <v>0.16</v>
      </c>
      <c r="AI32" s="13">
        <f>ROUND(AI31*AH32,0)</f>
        <v>1677497</v>
      </c>
      <c r="AJ32" s="16">
        <v>0.16</v>
      </c>
      <c r="AK32" s="99">
        <f>ROUND(AK31*AJ32,0)</f>
        <v>1853307</v>
      </c>
      <c r="AL32" s="16">
        <v>0.16</v>
      </c>
      <c r="AM32" s="13">
        <f>ROUND(AM31*AL32,0)</f>
        <v>1892680</v>
      </c>
    </row>
    <row r="33" spans="1:39" x14ac:dyDescent="0.2">
      <c r="A33" s="4"/>
      <c r="B33" s="10" t="s">
        <v>31</v>
      </c>
      <c r="C33" s="10"/>
      <c r="D33" s="10"/>
      <c r="E33" s="10"/>
      <c r="F33" s="10"/>
      <c r="G33" s="5">
        <f>SUM(G31:G32)</f>
        <v>15428000</v>
      </c>
      <c r="H33" s="33"/>
      <c r="I33" s="34">
        <f>SUM(I31:I32)</f>
        <v>19285000</v>
      </c>
      <c r="J33" s="26"/>
      <c r="K33" s="27">
        <f>SUM(K31:K32)</f>
        <v>21070791</v>
      </c>
      <c r="L33" s="3"/>
      <c r="M33" s="5">
        <f>SUM(M31:M32)</f>
        <v>15042300</v>
      </c>
      <c r="N33" s="37"/>
      <c r="O33" s="38">
        <f>SUM(O31:O32)</f>
        <v>16006550</v>
      </c>
      <c r="P33" s="77"/>
      <c r="Q33" s="78">
        <f>SUM(Q31:Q32)</f>
        <v>0</v>
      </c>
      <c r="R33" s="86"/>
      <c r="S33" s="87">
        <f>SUM(S31:S32)</f>
        <v>12225005.06574616</v>
      </c>
      <c r="T33" s="88"/>
      <c r="U33" s="89">
        <f>SUM(U31:U32)</f>
        <v>11313992.926941395</v>
      </c>
      <c r="V33" s="92"/>
      <c r="W33" s="92">
        <f>SUM(W31:W32)</f>
        <v>11347218.48537093</v>
      </c>
      <c r="X33" s="94"/>
      <c r="Y33" s="95">
        <f>SUM(Y31:Y32)</f>
        <v>11663781.666031275</v>
      </c>
      <c r="Z33" s="84"/>
      <c r="AA33" s="84">
        <f>SUM(AA31:AA32)</f>
        <v>12098686.402873913</v>
      </c>
      <c r="AB33" s="94"/>
      <c r="AC33" s="95">
        <f>SUM(AC31:AC32)</f>
        <v>11197607.780975804</v>
      </c>
      <c r="AD33" s="91"/>
      <c r="AE33" s="92">
        <f>SUM(AE31:AE32)</f>
        <v>11904483.162600001</v>
      </c>
      <c r="AF33" s="15"/>
      <c r="AG33" s="13">
        <f>SUM(AG31:AG32)</f>
        <v>14265424</v>
      </c>
      <c r="AH33" s="15"/>
      <c r="AI33" s="13">
        <f>SUM(AI31:AI32)</f>
        <v>12161854</v>
      </c>
      <c r="AJ33" s="15"/>
      <c r="AK33" s="99">
        <f>SUM(AK31:AK32)</f>
        <v>13436477</v>
      </c>
      <c r="AL33" s="15"/>
      <c r="AM33" s="13">
        <f>SUM(AM31:AM32)</f>
        <v>13721933</v>
      </c>
    </row>
    <row r="36" spans="1:39" ht="26.25" x14ac:dyDescent="0.2">
      <c r="A36" s="317" t="str">
        <f>UPPER("OBJETO:Contratar el Mantenimiento de las zonas seguridad y canales del aeropuerto El Pindo de Montelibano - Cordoba")</f>
        <v>OBJETO:CONTRATAR EL MANTENIMIENTO DE LAS ZONAS SEGURIDAD Y CANALES DEL AEROPUERTO EL PINDO DE MONTELIBANO - CORDOBA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7"/>
      <c r="AD36" s="100"/>
      <c r="AE36" s="100"/>
    </row>
    <row r="37" spans="1:39" ht="21" x14ac:dyDescent="0.2">
      <c r="A37" s="318" t="s">
        <v>9</v>
      </c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101"/>
      <c r="AE37" s="101"/>
    </row>
    <row r="38" spans="1:39" ht="152.25" customHeight="1" x14ac:dyDescent="0.2">
      <c r="B38" s="12" t="s">
        <v>51</v>
      </c>
      <c r="F38" s="303" t="s">
        <v>40</v>
      </c>
      <c r="G38" s="304"/>
      <c r="H38" s="303" t="s">
        <v>41</v>
      </c>
      <c r="I38" s="304"/>
      <c r="J38" s="305" t="s">
        <v>42</v>
      </c>
      <c r="K38" s="306"/>
      <c r="L38" s="303" t="s">
        <v>43</v>
      </c>
      <c r="M38" s="304"/>
      <c r="N38" s="303" t="s">
        <v>22</v>
      </c>
      <c r="O38" s="304"/>
      <c r="P38" s="311"/>
      <c r="Q38" s="312"/>
      <c r="R38" s="290"/>
      <c r="S38" s="291"/>
      <c r="T38" s="286"/>
      <c r="U38" s="287"/>
      <c r="V38" s="288" t="s">
        <v>60</v>
      </c>
      <c r="W38" s="289"/>
      <c r="X38" s="290" t="s">
        <v>56</v>
      </c>
      <c r="Y38" s="291"/>
      <c r="Z38" s="292" t="s">
        <v>57</v>
      </c>
      <c r="AA38" s="293"/>
      <c r="AB38" s="294" t="s">
        <v>58</v>
      </c>
      <c r="AC38" s="295"/>
      <c r="AD38" s="285" t="s">
        <v>12</v>
      </c>
      <c r="AE38" s="285"/>
      <c r="AF38" s="285" t="s">
        <v>16</v>
      </c>
      <c r="AG38" s="285"/>
      <c r="AH38" s="285" t="s">
        <v>19</v>
      </c>
      <c r="AI38" s="285"/>
      <c r="AJ38" s="285" t="s">
        <v>20</v>
      </c>
      <c r="AK38" s="285"/>
    </row>
    <row r="39" spans="1:39" ht="24" x14ac:dyDescent="0.2">
      <c r="A39" s="56" t="s">
        <v>8</v>
      </c>
      <c r="B39" s="56" t="s">
        <v>7</v>
      </c>
      <c r="C39" s="56" t="s">
        <v>6</v>
      </c>
      <c r="D39" s="56" t="s">
        <v>5</v>
      </c>
      <c r="E39" s="72" t="s">
        <v>3</v>
      </c>
      <c r="F39" s="57" t="s">
        <v>4</v>
      </c>
      <c r="G39" s="56" t="s">
        <v>0</v>
      </c>
      <c r="H39" s="58" t="s">
        <v>4</v>
      </c>
      <c r="I39" s="59" t="s">
        <v>0</v>
      </c>
      <c r="J39" s="60" t="s">
        <v>4</v>
      </c>
      <c r="K39" s="61" t="s">
        <v>0</v>
      </c>
      <c r="L39" s="57" t="s">
        <v>4</v>
      </c>
      <c r="M39" s="56" t="s">
        <v>0</v>
      </c>
      <c r="N39" s="62" t="s">
        <v>4</v>
      </c>
      <c r="O39" s="63" t="s">
        <v>0</v>
      </c>
      <c r="P39" s="64" t="s">
        <v>4</v>
      </c>
      <c r="Q39" s="65" t="s">
        <v>0</v>
      </c>
      <c r="R39" s="66" t="s">
        <v>4</v>
      </c>
      <c r="S39" s="67" t="s">
        <v>0</v>
      </c>
      <c r="T39" s="68" t="s">
        <v>4</v>
      </c>
      <c r="U39" s="69" t="s">
        <v>0</v>
      </c>
      <c r="V39" s="60" t="s">
        <v>4</v>
      </c>
      <c r="W39" s="61" t="s">
        <v>0</v>
      </c>
      <c r="X39" s="66" t="s">
        <v>4</v>
      </c>
      <c r="Y39" s="67" t="s">
        <v>0</v>
      </c>
      <c r="Z39" s="58" t="s">
        <v>4</v>
      </c>
      <c r="AA39" s="59" t="s">
        <v>0</v>
      </c>
      <c r="AB39" s="60" t="s">
        <v>4</v>
      </c>
      <c r="AC39" s="61" t="s">
        <v>0</v>
      </c>
      <c r="AD39" s="57" t="s">
        <v>4</v>
      </c>
      <c r="AE39" s="56" t="s">
        <v>0</v>
      </c>
      <c r="AF39" s="57" t="s">
        <v>4</v>
      </c>
      <c r="AG39" s="56" t="s">
        <v>0</v>
      </c>
      <c r="AH39" s="57" t="s">
        <v>4</v>
      </c>
      <c r="AI39" s="56" t="s">
        <v>0</v>
      </c>
      <c r="AJ39" s="57" t="s">
        <v>4</v>
      </c>
      <c r="AK39" s="56" t="s">
        <v>0</v>
      </c>
    </row>
    <row r="40" spans="1:39" ht="63.75" x14ac:dyDescent="0.2">
      <c r="A40" s="18">
        <v>5</v>
      </c>
      <c r="B40" s="22" t="s">
        <v>13</v>
      </c>
      <c r="C40" s="42" t="s">
        <v>1</v>
      </c>
      <c r="D40" s="112">
        <v>13</v>
      </c>
      <c r="E40" s="42">
        <v>1</v>
      </c>
      <c r="F40" s="20">
        <v>400000</v>
      </c>
      <c r="G40" s="20">
        <f>F40*E40*D40</f>
        <v>5200000</v>
      </c>
      <c r="H40" s="30">
        <v>500000</v>
      </c>
      <c r="I40" s="30">
        <f>D40*E40*H40</f>
        <v>6500000</v>
      </c>
      <c r="J40" s="20">
        <v>546300</v>
      </c>
      <c r="K40" s="23">
        <f>D40*E40*J40</f>
        <v>7101900</v>
      </c>
      <c r="L40" s="36">
        <v>390000</v>
      </c>
      <c r="M40" s="20">
        <f>D40*E40*L40</f>
        <v>5070000</v>
      </c>
      <c r="N40" s="40">
        <v>415000</v>
      </c>
      <c r="O40" s="36">
        <f>D40*E40*N40</f>
        <v>5395000</v>
      </c>
      <c r="P40" s="54"/>
      <c r="Q40" s="54">
        <f>D40*E40*P40</f>
        <v>0</v>
      </c>
      <c r="R40" s="55"/>
      <c r="S40" s="55">
        <f>D40*E40*R40</f>
        <v>0</v>
      </c>
      <c r="T40" s="29"/>
      <c r="U40" s="29">
        <f>D40*E40*T40</f>
        <v>0</v>
      </c>
      <c r="V40" s="24">
        <f>252500*1.0194*1.0366*1.0677*1.0575</f>
        <v>301263.72036659316</v>
      </c>
      <c r="W40" s="24">
        <f>D40*E40*V40</f>
        <v>3916428.3647657111</v>
      </c>
      <c r="X40" s="55">
        <f>274204*1.0366*1.0677*1.0575</f>
        <v>320933.17241320864</v>
      </c>
      <c r="Y40" s="55">
        <f>D40*E40*X40</f>
        <v>4172131.2413717122</v>
      </c>
      <c r="Z40" s="31">
        <f>252626*1.0677*1.0575</f>
        <v>285238.18506150006</v>
      </c>
      <c r="AA40" s="31">
        <f>D40*E40*Z40</f>
        <v>3708096.4057995006</v>
      </c>
      <c r="AB40" s="31">
        <f>299376*1.0575</f>
        <v>316590.12000000005</v>
      </c>
      <c r="AC40" s="31">
        <f>ROUND((D40*E40*AB40),0)</f>
        <v>4115672</v>
      </c>
      <c r="AD40" s="17">
        <f>ROUND((AVERAGE(F40,H40,J40,L40,N40,P40,R40,T40,V40,X40,Z40,AB40)),0)</f>
        <v>386147</v>
      </c>
      <c r="AE40" s="17">
        <f>ROUND((D40*E40*AD40),0)</f>
        <v>5019911</v>
      </c>
      <c r="AF40" s="17">
        <f>ROUND((MEDIAN(F40,H40,J40,L40,N40,P40,R40,T40,V40,X40,Z40,AB40)),0)</f>
        <v>390000</v>
      </c>
      <c r="AG40" s="17">
        <f>ROUND((D40*E40*AF40),0)</f>
        <v>5070000</v>
      </c>
      <c r="AH40" s="17">
        <f>ROUND((HARMEAN(F40,H40,J40,L40,N40,P40,R40,T40,V40,X40,Z40,AB40)),0)</f>
        <v>368792</v>
      </c>
      <c r="AI40" s="17">
        <f>ROUND((D40*E40*AH40),0)</f>
        <v>4794296</v>
      </c>
      <c r="AJ40" s="17">
        <f>ROUND((GEOMEAN(F40,H40,J40,L40,N40,P40,R40,T40,V40,X40,Z40,AB40)),0)</f>
        <v>377151</v>
      </c>
      <c r="AK40" s="17">
        <f>ROUND((D40*E40*AJ40),0)</f>
        <v>4902963</v>
      </c>
    </row>
    <row r="41" spans="1:39" x14ac:dyDescent="0.2">
      <c r="A41" s="4"/>
      <c r="B41" s="70"/>
      <c r="C41" s="42"/>
      <c r="D41" s="71"/>
      <c r="E41" s="3"/>
      <c r="F41" s="20"/>
      <c r="G41" s="20"/>
      <c r="H41" s="30"/>
      <c r="I41" s="30"/>
      <c r="J41" s="23"/>
      <c r="K41" s="23"/>
      <c r="L41" s="20"/>
      <c r="M41" s="20"/>
      <c r="N41" s="36"/>
      <c r="O41" s="36"/>
      <c r="P41" s="54"/>
      <c r="Q41" s="54"/>
      <c r="R41" s="55"/>
      <c r="S41" s="55"/>
      <c r="T41" s="29"/>
      <c r="U41" s="29"/>
      <c r="V41" s="24"/>
      <c r="W41" s="24"/>
      <c r="X41" s="24"/>
      <c r="Y41" s="24"/>
      <c r="Z41" s="24"/>
      <c r="AA41" s="24"/>
      <c r="AB41" s="44"/>
      <c r="AC41" s="44"/>
      <c r="AD41" s="44"/>
      <c r="AE41" s="44"/>
      <c r="AF41" s="17"/>
      <c r="AG41" s="44"/>
      <c r="AH41" s="44"/>
      <c r="AI41" s="44"/>
      <c r="AJ41" s="44"/>
      <c r="AK41" s="44"/>
    </row>
    <row r="42" spans="1:39" x14ac:dyDescent="0.2">
      <c r="A42" s="4"/>
      <c r="B42" s="10" t="s">
        <v>10</v>
      </c>
      <c r="C42" s="10"/>
      <c r="D42" s="10"/>
      <c r="E42" s="10"/>
      <c r="F42" s="45"/>
      <c r="G42" s="46">
        <f>SUM(G40:G40)</f>
        <v>5200000</v>
      </c>
      <c r="H42" s="47"/>
      <c r="I42" s="46">
        <f>SUM(I40:I40)</f>
        <v>6500000</v>
      </c>
      <c r="J42" s="47"/>
      <c r="K42" s="46">
        <f>SUM(K40:K40)</f>
        <v>7101900</v>
      </c>
      <c r="L42" s="47"/>
      <c r="M42" s="46">
        <f>SUM(M40:M40)</f>
        <v>5070000</v>
      </c>
      <c r="N42" s="47"/>
      <c r="O42" s="46">
        <f>SUM(O40:O40)</f>
        <v>5395000</v>
      </c>
      <c r="P42" s="80"/>
      <c r="Q42" s="81">
        <f>SUM(Q40:Q40)</f>
        <v>0</v>
      </c>
      <c r="R42" s="80"/>
      <c r="S42" s="81">
        <f>SUM(S40:S40)</f>
        <v>0</v>
      </c>
      <c r="T42" s="80"/>
      <c r="U42" s="81">
        <f>SUM(U40:U40)</f>
        <v>0</v>
      </c>
      <c r="V42" s="80"/>
      <c r="W42" s="81">
        <f>SUM(W40:W40)</f>
        <v>3916428.3647657111</v>
      </c>
      <c r="X42" s="47"/>
      <c r="Y42" s="46">
        <f>SUM(Y40:Y40)</f>
        <v>4172131.2413717122</v>
      </c>
      <c r="Z42" s="80"/>
      <c r="AA42" s="81">
        <f>SUM(AA40:AA40)</f>
        <v>3708096.4057995006</v>
      </c>
      <c r="AB42" s="48"/>
      <c r="AC42" s="74">
        <f>SUM(AC40:AC40)</f>
        <v>4115672</v>
      </c>
      <c r="AD42" s="48"/>
      <c r="AE42" s="74">
        <f>SUM(AE40:AE40)</f>
        <v>5019911</v>
      </c>
      <c r="AF42" s="76"/>
      <c r="AG42" s="74">
        <f>SUM(AG40:AG40)</f>
        <v>5070000</v>
      </c>
      <c r="AH42" s="76"/>
      <c r="AI42" s="74">
        <f>SUM(AI40:AI40)</f>
        <v>4794296</v>
      </c>
      <c r="AJ42" s="76"/>
      <c r="AK42" s="74">
        <f>SUM(AK40:AK40)</f>
        <v>4902963</v>
      </c>
    </row>
    <row r="43" spans="1:39" x14ac:dyDescent="0.2">
      <c r="A43" s="4"/>
      <c r="B43" s="10" t="s">
        <v>11</v>
      </c>
      <c r="C43" s="10"/>
      <c r="D43" s="10"/>
      <c r="E43" s="11"/>
      <c r="F43" s="11">
        <v>0.16</v>
      </c>
      <c r="G43" s="46">
        <f>G42*F43</f>
        <v>832000</v>
      </c>
      <c r="H43" s="49">
        <v>0.16</v>
      </c>
      <c r="I43" s="46">
        <f>I42*H43</f>
        <v>1040000</v>
      </c>
      <c r="J43" s="49">
        <v>0.16</v>
      </c>
      <c r="K43" s="46">
        <f>K42*J43</f>
        <v>1136304</v>
      </c>
      <c r="L43" s="49">
        <v>0.16</v>
      </c>
      <c r="M43" s="46">
        <f>M42*L43</f>
        <v>811200</v>
      </c>
      <c r="N43" s="49">
        <v>0.16</v>
      </c>
      <c r="O43" s="46">
        <f>O42*N43</f>
        <v>863200</v>
      </c>
      <c r="P43" s="82">
        <v>0.16</v>
      </c>
      <c r="Q43" s="81">
        <f>Q42*P43</f>
        <v>0</v>
      </c>
      <c r="R43" s="82">
        <v>0.16</v>
      </c>
      <c r="S43" s="81">
        <f>S42*R43</f>
        <v>0</v>
      </c>
      <c r="T43" s="82">
        <v>0.16</v>
      </c>
      <c r="U43" s="81">
        <f>U42*T43</f>
        <v>0</v>
      </c>
      <c r="V43" s="82">
        <v>0.16</v>
      </c>
      <c r="W43" s="81">
        <f>W42*V43</f>
        <v>626628.53836251376</v>
      </c>
      <c r="X43" s="49">
        <v>0.16</v>
      </c>
      <c r="Y43" s="46">
        <f>Y42*X43</f>
        <v>667540.998619474</v>
      </c>
      <c r="Z43" s="82">
        <v>0.16</v>
      </c>
      <c r="AA43" s="81">
        <f>AA42*Z43</f>
        <v>593295.4249279201</v>
      </c>
      <c r="AB43" s="50">
        <v>0.16</v>
      </c>
      <c r="AC43" s="74">
        <f>ROUND(AC42*AB43,0)</f>
        <v>658508</v>
      </c>
      <c r="AD43" s="50">
        <v>0.16</v>
      </c>
      <c r="AE43" s="74">
        <f>ROUND(AE42*AD43,0)</f>
        <v>803186</v>
      </c>
      <c r="AF43" s="75">
        <v>0.16</v>
      </c>
      <c r="AG43" s="74">
        <f>ROUND(AG42*AF43,0)</f>
        <v>811200</v>
      </c>
      <c r="AH43" s="75">
        <v>0.16</v>
      </c>
      <c r="AI43" s="74">
        <f>ROUND(AI42*AH43,0)</f>
        <v>767087</v>
      </c>
      <c r="AJ43" s="75">
        <v>0.16</v>
      </c>
      <c r="AK43" s="74">
        <f>ROUND(AK42*AJ43,0)</f>
        <v>784474</v>
      </c>
    </row>
    <row r="44" spans="1:39" x14ac:dyDescent="0.2">
      <c r="A44" s="4"/>
      <c r="B44" s="10" t="s">
        <v>30</v>
      </c>
      <c r="C44" s="10"/>
      <c r="D44" s="10"/>
      <c r="E44" s="10"/>
      <c r="F44" s="45"/>
      <c r="G44" s="46">
        <f>SUM(G42:G43)</f>
        <v>6032000</v>
      </c>
      <c r="H44" s="47"/>
      <c r="I44" s="46">
        <f>SUM(I42:I43)</f>
        <v>7540000</v>
      </c>
      <c r="J44" s="47"/>
      <c r="K44" s="46">
        <f>SUM(K42:K43)</f>
        <v>8238204</v>
      </c>
      <c r="L44" s="47"/>
      <c r="M44" s="46">
        <f>SUM(M42:M43)</f>
        <v>5881200</v>
      </c>
      <c r="N44" s="47"/>
      <c r="O44" s="46">
        <f>SUM(O42:O43)</f>
        <v>6258200</v>
      </c>
      <c r="P44" s="80"/>
      <c r="Q44" s="81">
        <f>SUM(Q42:Q43)</f>
        <v>0</v>
      </c>
      <c r="R44" s="80"/>
      <c r="S44" s="81">
        <f>SUM(S42:S43)</f>
        <v>0</v>
      </c>
      <c r="T44" s="80"/>
      <c r="U44" s="81">
        <f>SUM(U42:U43)</f>
        <v>0</v>
      </c>
      <c r="V44" s="81"/>
      <c r="W44" s="81">
        <f>SUM(W42:W43)</f>
        <v>4543056.9031282254</v>
      </c>
      <c r="X44" s="46"/>
      <c r="Y44" s="46">
        <f>SUM(Y42:Y43)</f>
        <v>4839672.2399911862</v>
      </c>
      <c r="Z44" s="81"/>
      <c r="AA44" s="81">
        <f>SUM(AA42:AA43)</f>
        <v>4301391.8307274207</v>
      </c>
      <c r="AB44" s="48"/>
      <c r="AC44" s="74">
        <f>SUM(AC42:AC43)</f>
        <v>4774180</v>
      </c>
      <c r="AD44" s="48"/>
      <c r="AE44" s="74">
        <f>SUM(AE42:AE43)</f>
        <v>5823097</v>
      </c>
      <c r="AF44" s="74"/>
      <c r="AG44" s="74">
        <f>SUM(AG42:AG43)</f>
        <v>5881200</v>
      </c>
      <c r="AH44" s="76"/>
      <c r="AI44" s="74">
        <f>SUM(AI42:AI43)</f>
        <v>5561383</v>
      </c>
      <c r="AJ44" s="76"/>
      <c r="AK44" s="74">
        <f>SUM(AK42:AK43)</f>
        <v>5687437</v>
      </c>
    </row>
    <row r="45" spans="1:39" x14ac:dyDescent="0.2">
      <c r="G45" s="2"/>
      <c r="AB45" s="73"/>
    </row>
    <row r="46" spans="1:39" x14ac:dyDescent="0.2">
      <c r="B46" s="10"/>
      <c r="Q46" s="2">
        <f>Q30+Q44</f>
        <v>0</v>
      </c>
      <c r="S46" s="2">
        <f>S30+S44</f>
        <v>0</v>
      </c>
      <c r="U46" s="2">
        <f>U30+U44</f>
        <v>0</v>
      </c>
      <c r="W46" s="2">
        <f>W30+W44</f>
        <v>4543056.9031282254</v>
      </c>
      <c r="Y46" s="2">
        <f>Y30+Y44</f>
        <v>4839672.2399911862</v>
      </c>
      <c r="AA46" s="2">
        <f>AA30+AA44</f>
        <v>4301391.8307274207</v>
      </c>
      <c r="AC46" s="2">
        <f>AC30+AC44</f>
        <v>4774180</v>
      </c>
      <c r="AE46" s="2">
        <f>AE30+AE44</f>
        <v>5823097</v>
      </c>
      <c r="AG46" s="2">
        <f>AG30+AG44</f>
        <v>5881200</v>
      </c>
      <c r="AI46" s="2">
        <f>AI30+AI44</f>
        <v>5561383</v>
      </c>
      <c r="AK46" s="2">
        <f>AK30+AK44</f>
        <v>5687437</v>
      </c>
    </row>
    <row r="48" spans="1:39" ht="26.25" x14ac:dyDescent="0.2">
      <c r="A48" s="317" t="str">
        <f>UPPER("OBJETO:Contratar el Mantenimiento de las zonas seguridad y canales del aeropuerto Morela de Puerto Berrio - Antioquia")</f>
        <v>OBJETO:CONTRATAR EL MANTENIMIENTO DE LAS ZONAS SEGURIDAD Y CANALES DEL AEROPUERTO MORELA DE PUERTO BERRIO - ANTIOQUIA</v>
      </c>
      <c r="B48" s="317"/>
      <c r="C48" s="317"/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7"/>
      <c r="AE48" s="317"/>
      <c r="AF48" s="317"/>
      <c r="AG48" s="317"/>
    </row>
    <row r="49" spans="1:37" ht="21" x14ac:dyDescent="0.2">
      <c r="A49" s="318" t="s">
        <v>9</v>
      </c>
      <c r="B49" s="318"/>
      <c r="C49" s="318"/>
      <c r="D49" s="318"/>
      <c r="E49" s="318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  <c r="Q49" s="318"/>
      <c r="R49" s="318"/>
      <c r="S49" s="318"/>
      <c r="T49" s="318"/>
      <c r="U49" s="318"/>
      <c r="V49" s="318"/>
      <c r="W49" s="318"/>
      <c r="X49" s="318"/>
      <c r="Y49" s="318"/>
      <c r="Z49" s="318"/>
      <c r="AA49" s="318"/>
      <c r="AB49" s="318"/>
      <c r="AC49" s="318"/>
      <c r="AD49" s="318"/>
      <c r="AE49" s="318"/>
      <c r="AF49" s="318"/>
      <c r="AG49" s="318"/>
    </row>
    <row r="50" spans="1:37" ht="158.25" customHeight="1" x14ac:dyDescent="0.2">
      <c r="B50" s="12" t="s">
        <v>32</v>
      </c>
      <c r="F50" s="303" t="s">
        <v>40</v>
      </c>
      <c r="G50" s="304"/>
      <c r="H50" s="303" t="s">
        <v>41</v>
      </c>
      <c r="I50" s="304"/>
      <c r="J50" s="305" t="s">
        <v>42</v>
      </c>
      <c r="K50" s="306"/>
      <c r="L50" s="303" t="s">
        <v>43</v>
      </c>
      <c r="M50" s="304"/>
      <c r="N50" s="303" t="s">
        <v>22</v>
      </c>
      <c r="O50" s="304"/>
      <c r="P50" s="307" t="s">
        <v>62</v>
      </c>
      <c r="Q50" s="308"/>
      <c r="R50" s="300" t="s">
        <v>63</v>
      </c>
      <c r="S50" s="301"/>
      <c r="T50" s="309" t="s">
        <v>64</v>
      </c>
      <c r="U50" s="310"/>
      <c r="V50" s="294" t="s">
        <v>65</v>
      </c>
      <c r="W50" s="295"/>
      <c r="X50" s="300" t="s">
        <v>66</v>
      </c>
      <c r="Y50" s="301"/>
      <c r="Z50" s="298" t="s">
        <v>67</v>
      </c>
      <c r="AA50" s="299"/>
      <c r="AB50" s="294" t="s">
        <v>39</v>
      </c>
      <c r="AC50" s="295"/>
      <c r="AD50" s="313" t="s">
        <v>12</v>
      </c>
      <c r="AE50" s="314"/>
      <c r="AF50" s="313" t="s">
        <v>16</v>
      </c>
      <c r="AG50" s="314"/>
      <c r="AH50" s="313" t="s">
        <v>17</v>
      </c>
      <c r="AI50" s="314"/>
      <c r="AJ50" s="296" t="s">
        <v>18</v>
      </c>
      <c r="AK50" s="297"/>
    </row>
    <row r="51" spans="1:37" ht="24" x14ac:dyDescent="0.2">
      <c r="A51" s="56" t="s">
        <v>8</v>
      </c>
      <c r="B51" s="56" t="s">
        <v>7</v>
      </c>
      <c r="C51" s="56" t="s">
        <v>6</v>
      </c>
      <c r="D51" s="56" t="s">
        <v>5</v>
      </c>
      <c r="E51" s="56" t="s">
        <v>3</v>
      </c>
      <c r="F51" s="57" t="s">
        <v>4</v>
      </c>
      <c r="G51" s="56" t="s">
        <v>0</v>
      </c>
      <c r="H51" s="58" t="s">
        <v>4</v>
      </c>
      <c r="I51" s="59" t="s">
        <v>0</v>
      </c>
      <c r="J51" s="60" t="s">
        <v>4</v>
      </c>
      <c r="K51" s="61" t="s">
        <v>0</v>
      </c>
      <c r="L51" s="57" t="s">
        <v>4</v>
      </c>
      <c r="M51" s="56" t="s">
        <v>0</v>
      </c>
      <c r="N51" s="62" t="s">
        <v>4</v>
      </c>
      <c r="O51" s="63" t="s">
        <v>0</v>
      </c>
      <c r="P51" s="64" t="s">
        <v>4</v>
      </c>
      <c r="Q51" s="65" t="s">
        <v>0</v>
      </c>
      <c r="R51" s="66" t="s">
        <v>4</v>
      </c>
      <c r="S51" s="67" t="s">
        <v>0</v>
      </c>
      <c r="T51" s="68" t="s">
        <v>4</v>
      </c>
      <c r="U51" s="69" t="s">
        <v>0</v>
      </c>
      <c r="V51" s="60" t="s">
        <v>4</v>
      </c>
      <c r="W51" s="61" t="s">
        <v>0</v>
      </c>
      <c r="X51" s="66" t="s">
        <v>4</v>
      </c>
      <c r="Y51" s="67" t="s">
        <v>0</v>
      </c>
      <c r="Z51" s="58" t="s">
        <v>4</v>
      </c>
      <c r="AA51" s="59" t="s">
        <v>0</v>
      </c>
      <c r="AB51" s="60" t="s">
        <v>4</v>
      </c>
      <c r="AC51" s="61" t="s">
        <v>0</v>
      </c>
      <c r="AD51" s="57" t="s">
        <v>4</v>
      </c>
      <c r="AE51" s="56" t="s">
        <v>0</v>
      </c>
      <c r="AF51" s="57" t="s">
        <v>4</v>
      </c>
      <c r="AG51" s="56" t="s">
        <v>0</v>
      </c>
      <c r="AH51" s="57" t="s">
        <v>4</v>
      </c>
      <c r="AI51" s="56" t="s">
        <v>0</v>
      </c>
      <c r="AJ51" s="57" t="s">
        <v>4</v>
      </c>
      <c r="AK51" s="56" t="s">
        <v>0</v>
      </c>
    </row>
    <row r="52" spans="1:37" ht="63.75" x14ac:dyDescent="0.2">
      <c r="A52" s="18">
        <v>1</v>
      </c>
      <c r="B52" s="102" t="s">
        <v>13</v>
      </c>
      <c r="C52" s="103" t="s">
        <v>1</v>
      </c>
      <c r="D52" s="51">
        <v>14</v>
      </c>
      <c r="E52" s="103">
        <v>1</v>
      </c>
      <c r="F52" s="20">
        <v>400000</v>
      </c>
      <c r="G52" s="20">
        <f>F52*E52*D52</f>
        <v>5600000</v>
      </c>
      <c r="H52" s="30">
        <v>500000</v>
      </c>
      <c r="I52" s="30">
        <f>D52*E52*H52</f>
        <v>7000000</v>
      </c>
      <c r="J52" s="20">
        <v>546300</v>
      </c>
      <c r="K52" s="23">
        <f>D52*E52*J52</f>
        <v>7648200</v>
      </c>
      <c r="L52" s="36">
        <v>390000</v>
      </c>
      <c r="M52" s="20">
        <f>D52*E52*L52</f>
        <v>5460000</v>
      </c>
      <c r="N52" s="40">
        <v>415000</v>
      </c>
      <c r="O52" s="36">
        <f>D52*E52*N52</f>
        <v>5810000</v>
      </c>
      <c r="P52" s="54">
        <f>300000*1.0317*1.0373*1.0244*1.0194*1.0366*1.0677*1.0575</f>
        <v>392404.59610050236</v>
      </c>
      <c r="Q52" s="54">
        <f>D52*E52*P52</f>
        <v>5493664.3454070333</v>
      </c>
      <c r="R52" s="55">
        <f>256861*1.0373*1.0244*1.0194*1.0366*1.0677*1.0575</f>
        <v>325654.86400753161</v>
      </c>
      <c r="S52" s="55">
        <f>D52*E52*R52</f>
        <v>4559168.0961054424</v>
      </c>
      <c r="T52" s="29">
        <f>326042*1.0244*1.0194*1.0366*1.0677*1.0575</f>
        <v>398500.22490340361</v>
      </c>
      <c r="U52" s="29">
        <f>D52*E52*T52</f>
        <v>5579003.1486476501</v>
      </c>
      <c r="V52" s="24">
        <f>340040*1.0194*1.0366*1.0677*1.0575</f>
        <v>405709.76425131212</v>
      </c>
      <c r="W52" s="24">
        <f>D52*E52*V52</f>
        <v>5679936.6995183695</v>
      </c>
      <c r="X52" s="55">
        <f>265072*1.0366*1.0677*1.0575</f>
        <v>310244.91939546488</v>
      </c>
      <c r="Y52" s="55">
        <f>D52*E52*X52</f>
        <v>4343428.8715365082</v>
      </c>
      <c r="Z52" s="31">
        <f>274070*1.0677*1.0575</f>
        <v>309450.44999250007</v>
      </c>
      <c r="AA52" s="31">
        <f>D52*E52*Z52</f>
        <v>4332306.2998950006</v>
      </c>
      <c r="AB52" s="24">
        <f>321631*1.0575</f>
        <v>340124.78250000003</v>
      </c>
      <c r="AC52" s="24">
        <f>D52*E52*AB52</f>
        <v>4761746.9550000001</v>
      </c>
      <c r="AD52" s="17">
        <f>ROUND((AVERAGE(F52,H52,J52,L52,N52,P52,R52,T52,V52,X52,Z52,AB52)),0)</f>
        <v>394449</v>
      </c>
      <c r="AE52" s="17">
        <f>ROUND((D52*E52*AD52),0)</f>
        <v>5522286</v>
      </c>
      <c r="AF52" s="17">
        <f>ROUND((MEDIAN(F52,H52,J52,L52,N52,P52,R52,T52,V52,X52,Z52,AB52)),0)</f>
        <v>395452</v>
      </c>
      <c r="AG52" s="17">
        <f>ROUND((D52*E52*AF52),0)</f>
        <v>5536328</v>
      </c>
      <c r="AH52" s="17">
        <f>ROUND((HARMEAN(F52,H52,J52,L52,N52,P52,R52,T52,V52,X52,Z52,AB52)),0)</f>
        <v>383479</v>
      </c>
      <c r="AI52" s="17">
        <f>ROUND((D52*E52*AH52),0)</f>
        <v>5368706</v>
      </c>
      <c r="AJ52" s="17">
        <f>ROUND((GEOMEAN(F52,H52,J52,L52,N52,P52,R52,T52,V52,X52,Z52,AB52)),0)</f>
        <v>388795</v>
      </c>
      <c r="AK52" s="17">
        <f>ROUND((D52*E52*AJ52),0)</f>
        <v>5443130</v>
      </c>
    </row>
    <row r="53" spans="1:37" x14ac:dyDescent="0.2">
      <c r="A53" s="21"/>
      <c r="B53" s="53"/>
      <c r="C53" s="52"/>
      <c r="D53" s="51"/>
      <c r="E53" s="52"/>
      <c r="F53" s="20"/>
      <c r="G53" s="20"/>
      <c r="H53" s="30"/>
      <c r="I53" s="30"/>
      <c r="J53" s="23"/>
      <c r="K53" s="23"/>
      <c r="L53" s="20"/>
      <c r="M53" s="20"/>
      <c r="N53" s="36"/>
      <c r="O53" s="36"/>
      <c r="P53" s="54"/>
      <c r="Q53" s="54"/>
      <c r="R53" s="55"/>
      <c r="S53" s="55"/>
      <c r="T53" s="29"/>
      <c r="U53" s="29"/>
      <c r="V53" s="24"/>
      <c r="W53" s="24">
        <f>D53*E53*V53</f>
        <v>0</v>
      </c>
      <c r="X53" s="55"/>
      <c r="Y53" s="55"/>
      <c r="Z53" s="31"/>
      <c r="AA53" s="31"/>
      <c r="AB53" s="24"/>
      <c r="AC53" s="24"/>
      <c r="AD53" s="17"/>
      <c r="AE53" s="17"/>
      <c r="AF53" s="17"/>
      <c r="AG53" s="17"/>
      <c r="AH53" s="17"/>
      <c r="AI53" s="17"/>
      <c r="AJ53" s="17"/>
      <c r="AK53" s="17"/>
    </row>
    <row r="54" spans="1:37" x14ac:dyDescent="0.2">
      <c r="A54" s="4"/>
      <c r="B54" s="3"/>
      <c r="C54" s="3"/>
      <c r="D54" s="5"/>
      <c r="E54" s="3"/>
      <c r="F54" s="6"/>
      <c r="G54" s="6"/>
      <c r="H54" s="32"/>
      <c r="I54" s="32"/>
      <c r="J54" s="25"/>
      <c r="K54" s="25"/>
      <c r="L54" s="6"/>
      <c r="M54" s="6"/>
      <c r="N54" s="36"/>
      <c r="O54" s="36"/>
      <c r="P54" s="54"/>
      <c r="Q54" s="54"/>
      <c r="R54" s="55"/>
      <c r="S54" s="55"/>
      <c r="T54" s="29"/>
      <c r="U54" s="29"/>
      <c r="V54" s="24"/>
      <c r="W54" s="24"/>
      <c r="X54" s="55"/>
      <c r="Y54" s="55"/>
      <c r="Z54" s="31"/>
      <c r="AA54" s="31"/>
      <c r="AB54" s="24"/>
      <c r="AC54" s="24"/>
      <c r="AD54" s="14"/>
      <c r="AE54" s="14"/>
      <c r="AF54" s="14"/>
      <c r="AG54" s="14"/>
      <c r="AH54" s="14"/>
      <c r="AI54" s="14"/>
      <c r="AJ54" s="14"/>
      <c r="AK54" s="14"/>
    </row>
    <row r="55" spans="1:37" x14ac:dyDescent="0.2">
      <c r="A55" s="4"/>
      <c r="B55" s="10" t="s">
        <v>10</v>
      </c>
      <c r="C55" s="10"/>
      <c r="D55" s="10"/>
      <c r="E55" s="10"/>
      <c r="F55" s="10"/>
      <c r="G55" s="5">
        <f>SUM(G52:G52)</f>
        <v>5600000</v>
      </c>
      <c r="H55" s="33"/>
      <c r="I55" s="34">
        <f>SUM(I52:I52)</f>
        <v>7000000</v>
      </c>
      <c r="J55" s="26"/>
      <c r="K55" s="27">
        <f>SUM(K52:K52)</f>
        <v>7648200</v>
      </c>
      <c r="L55" s="3"/>
      <c r="M55" s="5">
        <f>SUM(M52:M52)</f>
        <v>5460000</v>
      </c>
      <c r="N55" s="37"/>
      <c r="O55" s="38">
        <f>SUM(O52:O52)</f>
        <v>5810000</v>
      </c>
      <c r="P55" s="77"/>
      <c r="Q55" s="78">
        <f>SUM(Q52:Q52)</f>
        <v>5493664.3454070333</v>
      </c>
      <c r="R55" s="83"/>
      <c r="S55" s="84">
        <f>SUM(S52:S52)</f>
        <v>4559168.0961054424</v>
      </c>
      <c r="T55" s="88"/>
      <c r="U55" s="89">
        <f>SUM(U52:U52)</f>
        <v>5579003.1486476501</v>
      </c>
      <c r="V55" s="91"/>
      <c r="W55" s="92">
        <f>SUM(W52:W52)</f>
        <v>5679936.6995183695</v>
      </c>
      <c r="X55" s="83"/>
      <c r="Y55" s="84">
        <f>SUM(Y52:Y52)</f>
        <v>4343428.8715365082</v>
      </c>
      <c r="Z55" s="94"/>
      <c r="AA55" s="95">
        <f>SUM(AA52:AA52)</f>
        <v>4332306.2998950006</v>
      </c>
      <c r="AB55" s="91"/>
      <c r="AC55" s="92">
        <f>SUM(AC52:AC52)</f>
        <v>4761746.9550000001</v>
      </c>
      <c r="AD55" s="15"/>
      <c r="AE55" s="13">
        <f>ROUND(SUM(AE52:AE52),0)</f>
        <v>5522286</v>
      </c>
      <c r="AF55" s="15"/>
      <c r="AG55" s="13">
        <f>ROUND(SUM(AG52:AG52),0)</f>
        <v>5536328</v>
      </c>
      <c r="AH55" s="15"/>
      <c r="AI55" s="13">
        <f>ROUND(SUM(AI52:AI52),0)</f>
        <v>5368706</v>
      </c>
      <c r="AJ55" s="15"/>
      <c r="AK55" s="13">
        <f>ROUND(SUM(AK52:AK52),0)</f>
        <v>5443130</v>
      </c>
    </row>
    <row r="56" spans="1:37" x14ac:dyDescent="0.2">
      <c r="A56" s="4"/>
      <c r="B56" s="10" t="s">
        <v>11</v>
      </c>
      <c r="C56" s="10"/>
      <c r="D56" s="10"/>
      <c r="E56" s="11">
        <v>0.16</v>
      </c>
      <c r="F56" s="10"/>
      <c r="G56" s="5">
        <f>G55*E56</f>
        <v>896000</v>
      </c>
      <c r="H56" s="35">
        <v>0.16</v>
      </c>
      <c r="I56" s="34">
        <f>I55*H56</f>
        <v>1120000</v>
      </c>
      <c r="J56" s="28">
        <v>0.16</v>
      </c>
      <c r="K56" s="27">
        <f>K55*J56</f>
        <v>1223712</v>
      </c>
      <c r="L56" s="7">
        <v>0.16</v>
      </c>
      <c r="M56" s="5">
        <f>M55*L56</f>
        <v>873600</v>
      </c>
      <c r="N56" s="39">
        <v>0.16</v>
      </c>
      <c r="O56" s="38">
        <f>O55*N56</f>
        <v>929600</v>
      </c>
      <c r="P56" s="79">
        <v>0.16</v>
      </c>
      <c r="Q56" s="78">
        <f>Q55*P56</f>
        <v>878986.29526512534</v>
      </c>
      <c r="R56" s="85">
        <v>0.16</v>
      </c>
      <c r="S56" s="84">
        <f>S55*R56</f>
        <v>729466.89537687076</v>
      </c>
      <c r="T56" s="90">
        <v>0.16</v>
      </c>
      <c r="U56" s="89">
        <f>U55*T56</f>
        <v>892640.50378362404</v>
      </c>
      <c r="V56" s="93">
        <v>0.16</v>
      </c>
      <c r="W56" s="92">
        <f>W55*V56</f>
        <v>908789.87192293908</v>
      </c>
      <c r="X56" s="85">
        <v>0.16</v>
      </c>
      <c r="Y56" s="84">
        <f>Y55*X56</f>
        <v>694948.61944584129</v>
      </c>
      <c r="Z56" s="96">
        <v>0.16</v>
      </c>
      <c r="AA56" s="95">
        <f>AA55*Z56</f>
        <v>693169.00798320014</v>
      </c>
      <c r="AB56" s="93">
        <v>0.16</v>
      </c>
      <c r="AC56" s="92">
        <f>AC55*AB56</f>
        <v>761879.51280000003</v>
      </c>
      <c r="AD56" s="16">
        <v>0.16</v>
      </c>
      <c r="AE56" s="13">
        <f>ROUND(AE55*AD56,0)</f>
        <v>883566</v>
      </c>
      <c r="AF56" s="16">
        <v>0.16</v>
      </c>
      <c r="AG56" s="13">
        <f>ROUND(AG55*AF56,0)</f>
        <v>885812</v>
      </c>
      <c r="AH56" s="16">
        <v>0.16</v>
      </c>
      <c r="AI56" s="13">
        <f>ROUND(AI55*AH56,0)</f>
        <v>858993</v>
      </c>
      <c r="AJ56" s="16">
        <v>0.16</v>
      </c>
      <c r="AK56" s="13">
        <f>ROUND(AK55*AJ56,0)</f>
        <v>870901</v>
      </c>
    </row>
    <row r="57" spans="1:37" x14ac:dyDescent="0.2">
      <c r="A57" s="4"/>
      <c r="B57" s="10" t="s">
        <v>31</v>
      </c>
      <c r="C57" s="10"/>
      <c r="D57" s="10"/>
      <c r="E57" s="10"/>
      <c r="F57" s="10"/>
      <c r="G57" s="5">
        <f>SUM(G55:G56)</f>
        <v>6496000</v>
      </c>
      <c r="H57" s="33"/>
      <c r="I57" s="34">
        <f>SUM(I55:I56)</f>
        <v>8120000</v>
      </c>
      <c r="J57" s="26"/>
      <c r="K57" s="27">
        <f>SUM(K55:K56)</f>
        <v>8871912</v>
      </c>
      <c r="L57" s="3"/>
      <c r="M57" s="5">
        <f>SUM(M55:M56)</f>
        <v>6333600</v>
      </c>
      <c r="N57" s="37"/>
      <c r="O57" s="38">
        <f>SUM(O55:O56)</f>
        <v>6739600</v>
      </c>
      <c r="P57" s="77"/>
      <c r="Q57" s="78">
        <f>SUM(Q55:Q56)</f>
        <v>6372650.6406721584</v>
      </c>
      <c r="R57" s="86"/>
      <c r="S57" s="87">
        <f>SUM(S55:S56)</f>
        <v>5288634.9914823128</v>
      </c>
      <c r="T57" s="88"/>
      <c r="U57" s="89">
        <f>SUM(U55:U56)</f>
        <v>6471643.6524312738</v>
      </c>
      <c r="V57" s="92"/>
      <c r="W57" s="92">
        <f>SUM(W55:W56)</f>
        <v>6588726.5714413086</v>
      </c>
      <c r="X57" s="84"/>
      <c r="Y57" s="84">
        <f>SUM(Y55:Y56)</f>
        <v>5038377.49098235</v>
      </c>
      <c r="Z57" s="94"/>
      <c r="AA57" s="95">
        <f>SUM(AA55:AA56)</f>
        <v>5025475.3078782009</v>
      </c>
      <c r="AB57" s="91"/>
      <c r="AC57" s="92">
        <f>SUM(AC55:AC56)</f>
        <v>5523626.4677999998</v>
      </c>
      <c r="AD57" s="15"/>
      <c r="AE57" s="13">
        <f>SUM(AE55:AE56)</f>
        <v>6405852</v>
      </c>
      <c r="AF57" s="15"/>
      <c r="AG57" s="13">
        <f>SUM(AG55:AG56)</f>
        <v>6422140</v>
      </c>
      <c r="AH57" s="15"/>
      <c r="AI57" s="99">
        <f>SUM(AI55:AI56)</f>
        <v>6227699</v>
      </c>
      <c r="AJ57" s="15"/>
      <c r="AK57" s="13">
        <f>SUM(AK55:AK56)</f>
        <v>6314031</v>
      </c>
    </row>
    <row r="59" spans="1:37" ht="26.25" x14ac:dyDescent="0.2">
      <c r="A59" s="317" t="str">
        <f>UPPER("OBJETO: Contratar el mantenimiento de las zonas de seguridad y canales del aeropuerto de Gustavo Rojas Pinilla de Cimitarra - Santander")</f>
        <v>OBJETO: CONTRATAR EL MANTENIMIENTO DE LAS ZONAS DE SEGURIDAD Y CANALES DEL AEROPUERTO DE GUSTAVO ROJAS PINILLA DE CIMITARRA - SANTANDER</v>
      </c>
      <c r="B59" s="317"/>
      <c r="C59" s="317"/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</row>
    <row r="60" spans="1:37" ht="21" x14ac:dyDescent="0.2">
      <c r="A60" s="318" t="s">
        <v>9</v>
      </c>
      <c r="B60" s="318"/>
      <c r="C60" s="318"/>
      <c r="D60" s="318"/>
      <c r="E60" s="318"/>
      <c r="F60" s="318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101"/>
      <c r="AE60" s="101"/>
    </row>
    <row r="61" spans="1:37" ht="172.5" customHeight="1" x14ac:dyDescent="0.2">
      <c r="B61" s="12" t="s">
        <v>32</v>
      </c>
      <c r="F61" s="303" t="s">
        <v>40</v>
      </c>
      <c r="G61" s="304"/>
      <c r="H61" s="303" t="s">
        <v>41</v>
      </c>
      <c r="I61" s="304"/>
      <c r="J61" s="305" t="s">
        <v>42</v>
      </c>
      <c r="K61" s="306"/>
      <c r="L61" s="303" t="s">
        <v>43</v>
      </c>
      <c r="M61" s="304"/>
      <c r="N61" s="303" t="s">
        <v>22</v>
      </c>
      <c r="O61" s="304"/>
      <c r="P61" s="311" t="s">
        <v>68</v>
      </c>
      <c r="Q61" s="312"/>
      <c r="R61" s="290" t="s">
        <v>69</v>
      </c>
      <c r="S61" s="291"/>
      <c r="T61" s="286" t="s">
        <v>70</v>
      </c>
      <c r="U61" s="287"/>
      <c r="V61" s="288" t="s">
        <v>71</v>
      </c>
      <c r="W61" s="289"/>
      <c r="X61" s="290" t="s">
        <v>72</v>
      </c>
      <c r="Y61" s="291"/>
      <c r="Z61" s="292" t="s">
        <v>67</v>
      </c>
      <c r="AA61" s="293"/>
      <c r="AB61" s="294" t="s">
        <v>39</v>
      </c>
      <c r="AC61" s="295"/>
      <c r="AD61" s="285" t="s">
        <v>12</v>
      </c>
      <c r="AE61" s="285"/>
      <c r="AF61" s="285" t="s">
        <v>16</v>
      </c>
      <c r="AG61" s="285"/>
      <c r="AH61" s="285" t="s">
        <v>19</v>
      </c>
      <c r="AI61" s="285"/>
      <c r="AJ61" s="285" t="s">
        <v>20</v>
      </c>
      <c r="AK61" s="285"/>
    </row>
    <row r="62" spans="1:37" ht="24" x14ac:dyDescent="0.2">
      <c r="A62" s="56" t="s">
        <v>8</v>
      </c>
      <c r="B62" s="56" t="s">
        <v>7</v>
      </c>
      <c r="C62" s="56" t="s">
        <v>6</v>
      </c>
      <c r="D62" s="56" t="s">
        <v>5</v>
      </c>
      <c r="E62" s="72" t="s">
        <v>3</v>
      </c>
      <c r="F62" s="57" t="s">
        <v>4</v>
      </c>
      <c r="G62" s="56" t="s">
        <v>0</v>
      </c>
      <c r="H62" s="58" t="s">
        <v>4</v>
      </c>
      <c r="I62" s="59" t="s">
        <v>0</v>
      </c>
      <c r="J62" s="60" t="s">
        <v>4</v>
      </c>
      <c r="K62" s="61" t="s">
        <v>0</v>
      </c>
      <c r="L62" s="57" t="s">
        <v>4</v>
      </c>
      <c r="M62" s="56" t="s">
        <v>0</v>
      </c>
      <c r="N62" s="62" t="s">
        <v>4</v>
      </c>
      <c r="O62" s="63" t="s">
        <v>0</v>
      </c>
      <c r="P62" s="64" t="s">
        <v>4</v>
      </c>
      <c r="Q62" s="65" t="s">
        <v>0</v>
      </c>
      <c r="R62" s="66" t="s">
        <v>4</v>
      </c>
      <c r="S62" s="67" t="s">
        <v>0</v>
      </c>
      <c r="T62" s="68" t="s">
        <v>4</v>
      </c>
      <c r="U62" s="69" t="s">
        <v>0</v>
      </c>
      <c r="V62" s="60" t="s">
        <v>4</v>
      </c>
      <c r="W62" s="61" t="s">
        <v>0</v>
      </c>
      <c r="X62" s="66" t="s">
        <v>4</v>
      </c>
      <c r="Y62" s="67" t="s">
        <v>0</v>
      </c>
      <c r="Z62" s="58" t="s">
        <v>4</v>
      </c>
      <c r="AA62" s="59" t="s">
        <v>0</v>
      </c>
      <c r="AB62" s="60" t="s">
        <v>4</v>
      </c>
      <c r="AC62" s="61" t="s">
        <v>0</v>
      </c>
      <c r="AD62" s="57" t="s">
        <v>4</v>
      </c>
      <c r="AE62" s="56" t="s">
        <v>0</v>
      </c>
      <c r="AF62" s="57" t="s">
        <v>4</v>
      </c>
      <c r="AG62" s="56" t="s">
        <v>0</v>
      </c>
      <c r="AH62" s="57" t="s">
        <v>4</v>
      </c>
      <c r="AI62" s="56" t="s">
        <v>0</v>
      </c>
      <c r="AJ62" s="57" t="s">
        <v>4</v>
      </c>
      <c r="AK62" s="56" t="s">
        <v>0</v>
      </c>
    </row>
    <row r="63" spans="1:37" ht="63.75" x14ac:dyDescent="0.2">
      <c r="A63" s="113">
        <v>5</v>
      </c>
      <c r="B63" s="114" t="s">
        <v>13</v>
      </c>
      <c r="C63" s="115" t="s">
        <v>1</v>
      </c>
      <c r="D63" s="116">
        <v>24.85</v>
      </c>
      <c r="E63" s="42">
        <v>1</v>
      </c>
      <c r="F63" s="20">
        <v>400000</v>
      </c>
      <c r="G63" s="20">
        <f>F63*E63*D63</f>
        <v>9940000</v>
      </c>
      <c r="H63" s="30">
        <v>500000</v>
      </c>
      <c r="I63" s="30">
        <f>D63*E63*H63</f>
        <v>12425000</v>
      </c>
      <c r="J63" s="20">
        <v>485000</v>
      </c>
      <c r="K63" s="23">
        <f>D63*E63*J63</f>
        <v>12052250</v>
      </c>
      <c r="L63" s="36">
        <v>390000</v>
      </c>
      <c r="M63" s="20">
        <f>D63*E63*L63</f>
        <v>9691500</v>
      </c>
      <c r="N63" s="40">
        <v>415000</v>
      </c>
      <c r="O63" s="36">
        <f>D63*E63*N63</f>
        <v>10312750</v>
      </c>
      <c r="P63" s="54">
        <f>301327*1.0317*1.0373*1.0244*1.0194*1.0366*1.0677*1.0575</f>
        <v>394140.33243058686</v>
      </c>
      <c r="Q63" s="54">
        <f>D63*E63*P63</f>
        <v>9794387.2609000839</v>
      </c>
      <c r="R63" s="55">
        <f>287884*1.0373*1.0244*1.0194*1.0366*1.0677*1.0575</f>
        <v>364986.6070362734</v>
      </c>
      <c r="S63" s="55">
        <f>D63*E63*R63</f>
        <v>9069917.184851395</v>
      </c>
      <c r="T63" s="29">
        <f>231829*1.0244*1.0194*1.0366*1.0677*1.0575</f>
        <v>283349.71764107433</v>
      </c>
      <c r="U63" s="29">
        <f>D63*E63*T63</f>
        <v>7041240.4833806977</v>
      </c>
      <c r="V63" s="24">
        <f>239143*1.0194*1.0366*1.0677*1.0575</f>
        <v>285327.16784011159</v>
      </c>
      <c r="W63" s="24">
        <f>D63*E63*V63</f>
        <v>7090380.1208267733</v>
      </c>
      <c r="X63" s="55">
        <f>250078*1.0366*1.0677*1.0575</f>
        <v>292695.67873098276</v>
      </c>
      <c r="Y63" s="55">
        <f>D63*E63*X63</f>
        <v>7273487.6164649222</v>
      </c>
      <c r="Z63" s="31">
        <f>261096*1.0677*1.0575</f>
        <v>294801.60065400007</v>
      </c>
      <c r="AA63" s="31">
        <f>D63*E63*Z63</f>
        <v>7325819.7762519019</v>
      </c>
      <c r="AB63" s="24">
        <f>300226*1.0575</f>
        <v>317488.99500000005</v>
      </c>
      <c r="AC63" s="24">
        <f>ROUND((D63*E63*AB63),0)</f>
        <v>7889602</v>
      </c>
      <c r="AD63" s="17">
        <f>ROUND((AVERAGE(F63,H63,J63,L63,N63,P63,R63,T63,V63,X63,Z63,AB63)),0)</f>
        <v>368566</v>
      </c>
      <c r="AE63" s="17">
        <f>ROUND((D63*E63*AD63),0)</f>
        <v>9158865</v>
      </c>
      <c r="AF63" s="17">
        <f>ROUND((MEDIAN(F63,H63,J63,L63,N63,P63,R63,T63,V63,X63,Z63,AB63)),0)</f>
        <v>377493</v>
      </c>
      <c r="AG63" s="17">
        <f>ROUND((D63*E63*AF63),0)</f>
        <v>9380701</v>
      </c>
      <c r="AH63" s="17">
        <f>ROUND((HARMEAN(F63,H63,J63,L63,N63,P63,R63,T63,V63,X63,Z63,AB63)),0)</f>
        <v>354978</v>
      </c>
      <c r="AI63" s="17">
        <f>ROUND((D63*E63*AH63),0)</f>
        <v>8821203</v>
      </c>
      <c r="AJ63" s="17">
        <f>ROUND((GEOMEAN(F63,H63,J63,L63,N63,P63,R63,T63,V63,X63,Z63,AB63)),0)</f>
        <v>361629</v>
      </c>
      <c r="AK63" s="17">
        <f>ROUND((D63*E63*AJ63),0)</f>
        <v>8986481</v>
      </c>
    </row>
    <row r="64" spans="1:37" x14ac:dyDescent="0.2">
      <c r="A64" s="4"/>
      <c r="B64" s="70"/>
      <c r="C64" s="42"/>
      <c r="D64" s="71"/>
      <c r="E64" s="3"/>
      <c r="F64" s="20"/>
      <c r="G64" s="20"/>
      <c r="H64" s="30"/>
      <c r="I64" s="30"/>
      <c r="J64" s="23"/>
      <c r="K64" s="23"/>
      <c r="L64" s="20"/>
      <c r="M64" s="20"/>
      <c r="N64" s="36"/>
      <c r="O64" s="36"/>
      <c r="P64" s="54"/>
      <c r="Q64" s="54"/>
      <c r="R64" s="55"/>
      <c r="S64" s="55"/>
      <c r="T64" s="29"/>
      <c r="U64" s="29"/>
      <c r="V64" s="24"/>
      <c r="W64" s="24"/>
      <c r="X64" s="24"/>
      <c r="Y64" s="24"/>
      <c r="Z64" s="24"/>
      <c r="AA64" s="24"/>
      <c r="AB64" s="44"/>
      <c r="AC64" s="44"/>
      <c r="AD64" s="44"/>
      <c r="AE64" s="44"/>
      <c r="AF64" s="17"/>
      <c r="AG64" s="44"/>
      <c r="AH64" s="44"/>
      <c r="AI64" s="44"/>
      <c r="AJ64" s="44"/>
      <c r="AK64" s="44"/>
    </row>
    <row r="65" spans="1:39" x14ac:dyDescent="0.2">
      <c r="A65" s="4"/>
      <c r="B65" s="10" t="s">
        <v>10</v>
      </c>
      <c r="C65" s="10"/>
      <c r="D65" s="10"/>
      <c r="E65" s="10"/>
      <c r="F65" s="45"/>
      <c r="G65" s="46">
        <f>SUM(G63:G63)</f>
        <v>9940000</v>
      </c>
      <c r="H65" s="47"/>
      <c r="I65" s="46">
        <f>SUM(I63:I63)</f>
        <v>12425000</v>
      </c>
      <c r="J65" s="47"/>
      <c r="K65" s="46">
        <f>SUM(K63:K63)</f>
        <v>12052250</v>
      </c>
      <c r="L65" s="47"/>
      <c r="M65" s="46">
        <f>SUM(M63:M63)</f>
        <v>9691500</v>
      </c>
      <c r="N65" s="47"/>
      <c r="O65" s="46">
        <f>SUM(O63:O63)</f>
        <v>10312750</v>
      </c>
      <c r="P65" s="80"/>
      <c r="Q65" s="81">
        <f>SUM(Q63:Q63)</f>
        <v>9794387.2609000839</v>
      </c>
      <c r="R65" s="80"/>
      <c r="S65" s="81">
        <f>SUM(S63:S63)</f>
        <v>9069917.184851395</v>
      </c>
      <c r="T65" s="80"/>
      <c r="U65" s="81">
        <f>SUM(U63:U63)</f>
        <v>7041240.4833806977</v>
      </c>
      <c r="V65" s="80"/>
      <c r="W65" s="81">
        <f>SUM(W63:W63)</f>
        <v>7090380.1208267733</v>
      </c>
      <c r="X65" s="47"/>
      <c r="Y65" s="46">
        <f>SUM(Y63:Y63)</f>
        <v>7273487.6164649222</v>
      </c>
      <c r="Z65" s="80"/>
      <c r="AA65" s="81">
        <f>SUM(AA63:AA63)</f>
        <v>7325819.7762519019</v>
      </c>
      <c r="AB65" s="48"/>
      <c r="AC65" s="74">
        <f>SUM(AC63:AC63)</f>
        <v>7889602</v>
      </c>
      <c r="AD65" s="48"/>
      <c r="AE65" s="74">
        <f>SUM(AE63:AE63)</f>
        <v>9158865</v>
      </c>
      <c r="AF65" s="76"/>
      <c r="AG65" s="74">
        <f>SUM(AG63:AG63)</f>
        <v>9380701</v>
      </c>
      <c r="AH65" s="76"/>
      <c r="AI65" s="74">
        <f>SUM(AI63:AI63)</f>
        <v>8821203</v>
      </c>
      <c r="AJ65" s="76"/>
      <c r="AK65" s="74">
        <f>SUM(AK63:AK63)</f>
        <v>8986481</v>
      </c>
    </row>
    <row r="66" spans="1:39" x14ac:dyDescent="0.2">
      <c r="A66" s="4"/>
      <c r="B66" s="10" t="s">
        <v>11</v>
      </c>
      <c r="C66" s="10"/>
      <c r="D66" s="10"/>
      <c r="E66" s="11"/>
      <c r="F66" s="11">
        <v>0.16</v>
      </c>
      <c r="G66" s="46">
        <f>G65*F66</f>
        <v>1590400</v>
      </c>
      <c r="H66" s="49">
        <v>0.16</v>
      </c>
      <c r="I66" s="46">
        <f>I65*H66</f>
        <v>1988000</v>
      </c>
      <c r="J66" s="49">
        <v>0.16</v>
      </c>
      <c r="K66" s="46">
        <f>K65*J66</f>
        <v>1928360</v>
      </c>
      <c r="L66" s="49">
        <v>0.16</v>
      </c>
      <c r="M66" s="46">
        <f>M65*L66</f>
        <v>1550640</v>
      </c>
      <c r="N66" s="49">
        <v>0.16</v>
      </c>
      <c r="O66" s="46">
        <f>O65*N66</f>
        <v>1650040</v>
      </c>
      <c r="P66" s="82">
        <v>0.16</v>
      </c>
      <c r="Q66" s="81">
        <f>Q65*P66</f>
        <v>1567101.9617440135</v>
      </c>
      <c r="R66" s="82">
        <v>0.16</v>
      </c>
      <c r="S66" s="81">
        <f>S65*R66</f>
        <v>1451186.7495762233</v>
      </c>
      <c r="T66" s="82">
        <v>0.16</v>
      </c>
      <c r="U66" s="81">
        <f>U65*T66</f>
        <v>1126598.4773409117</v>
      </c>
      <c r="V66" s="82">
        <v>0.16</v>
      </c>
      <c r="W66" s="81">
        <f>W65*V66</f>
        <v>1134460.8193322837</v>
      </c>
      <c r="X66" s="49">
        <v>0.16</v>
      </c>
      <c r="Y66" s="46">
        <f>Y65*X66</f>
        <v>1163758.0186343875</v>
      </c>
      <c r="Z66" s="82">
        <v>0.16</v>
      </c>
      <c r="AA66" s="81">
        <f>AA65*Z66</f>
        <v>1172131.1642003043</v>
      </c>
      <c r="AB66" s="50">
        <v>0.16</v>
      </c>
      <c r="AC66" s="74">
        <f>ROUND(AC65*AB66,0)</f>
        <v>1262336</v>
      </c>
      <c r="AD66" s="50">
        <v>0.16</v>
      </c>
      <c r="AE66" s="74">
        <f>ROUND(AE65*AD66,0)</f>
        <v>1465418</v>
      </c>
      <c r="AF66" s="75">
        <v>0.16</v>
      </c>
      <c r="AG66" s="74">
        <f>ROUND(AG65*AF66,0)</f>
        <v>1500912</v>
      </c>
      <c r="AH66" s="75">
        <v>0.16</v>
      </c>
      <c r="AI66" s="74">
        <f>ROUND(AI65*AH66,0)</f>
        <v>1411392</v>
      </c>
      <c r="AJ66" s="75">
        <v>0.16</v>
      </c>
      <c r="AK66" s="74">
        <f>ROUND(AK65*AJ66,0)</f>
        <v>1437837</v>
      </c>
    </row>
    <row r="67" spans="1:39" x14ac:dyDescent="0.2">
      <c r="A67" s="4"/>
      <c r="B67" s="10" t="s">
        <v>30</v>
      </c>
      <c r="C67" s="10"/>
      <c r="D67" s="10"/>
      <c r="E67" s="10"/>
      <c r="F67" s="45"/>
      <c r="G67" s="46">
        <f>SUM(G65:G66)</f>
        <v>11530400</v>
      </c>
      <c r="H67" s="47"/>
      <c r="I67" s="46">
        <f>SUM(I65:I66)</f>
        <v>14413000</v>
      </c>
      <c r="J67" s="47"/>
      <c r="K67" s="46">
        <f>SUM(K65:K66)</f>
        <v>13980610</v>
      </c>
      <c r="L67" s="47"/>
      <c r="M67" s="46">
        <f>SUM(M65:M66)</f>
        <v>11242140</v>
      </c>
      <c r="N67" s="47"/>
      <c r="O67" s="46">
        <f>SUM(O65:O66)</f>
        <v>11962790</v>
      </c>
      <c r="P67" s="80"/>
      <c r="Q67" s="81">
        <f>SUM(Q65:Q66)</f>
        <v>11361489.222644098</v>
      </c>
      <c r="R67" s="80"/>
      <c r="S67" s="81">
        <f>SUM(S65:S66)</f>
        <v>10521103.934427619</v>
      </c>
      <c r="T67" s="80"/>
      <c r="U67" s="81">
        <f>SUM(U65:U66)</f>
        <v>8167838.9607216092</v>
      </c>
      <c r="V67" s="81"/>
      <c r="W67" s="81">
        <f>SUM(W65:W66)</f>
        <v>8224840.9401590573</v>
      </c>
      <c r="X67" s="46"/>
      <c r="Y67" s="46">
        <f>SUM(Y65:Y66)</f>
        <v>8437245.6350993104</v>
      </c>
      <c r="Z67" s="81"/>
      <c r="AA67" s="81">
        <f>SUM(AA65:AA66)</f>
        <v>8497950.9404522069</v>
      </c>
      <c r="AB67" s="48"/>
      <c r="AC67" s="74">
        <f>SUM(AC65:AC66)</f>
        <v>9151938</v>
      </c>
      <c r="AD67" s="48"/>
      <c r="AE67" s="74">
        <f>SUM(AE65:AE66)</f>
        <v>10624283</v>
      </c>
      <c r="AF67" s="74"/>
      <c r="AG67" s="74">
        <f>SUM(AG65:AG66)</f>
        <v>10881613</v>
      </c>
      <c r="AH67" s="76"/>
      <c r="AI67" s="74">
        <f>SUM(AI65:AI66)</f>
        <v>10232595</v>
      </c>
      <c r="AJ67" s="76"/>
      <c r="AK67" s="74">
        <f>SUM(AK65:AK66)</f>
        <v>10424318</v>
      </c>
    </row>
    <row r="70" spans="1:39" ht="26.25" x14ac:dyDescent="0.2">
      <c r="A70" s="317" t="str">
        <f>UPPER("OBJETO:Mantenimiento de las zonas seguridad y canales del aeropuerto Mandinga de Condoto - Chocó")</f>
        <v>OBJETO:MANTENIMIENTO DE LAS ZONAS SEGURIDAD Y CANALES DEL AEROPUERTO MANDINGA DE CONDOTO - CHOCÓ</v>
      </c>
      <c r="B70" s="317"/>
      <c r="C70" s="317"/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317"/>
      <c r="AF70" s="317"/>
      <c r="AG70" s="317"/>
    </row>
    <row r="71" spans="1:39" ht="21" x14ac:dyDescent="0.2">
      <c r="A71" s="318" t="s">
        <v>9</v>
      </c>
      <c r="B71" s="318"/>
      <c r="C71" s="318"/>
      <c r="D71" s="318"/>
      <c r="E71" s="318"/>
      <c r="F71" s="318"/>
      <c r="G71" s="318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8"/>
      <c r="S71" s="318"/>
      <c r="T71" s="318"/>
      <c r="U71" s="318"/>
      <c r="V71" s="318"/>
      <c r="W71" s="318"/>
      <c r="X71" s="318"/>
      <c r="Y71" s="318"/>
      <c r="Z71" s="318"/>
      <c r="AA71" s="318"/>
      <c r="AB71" s="318"/>
      <c r="AC71" s="318"/>
      <c r="AD71" s="318"/>
      <c r="AE71" s="318"/>
      <c r="AF71" s="318"/>
      <c r="AG71" s="318"/>
    </row>
    <row r="72" spans="1:39" ht="142.5" customHeight="1" x14ac:dyDescent="0.2">
      <c r="B72" s="12" t="s">
        <v>51</v>
      </c>
      <c r="F72" s="303" t="s">
        <v>40</v>
      </c>
      <c r="G72" s="304"/>
      <c r="H72" s="303" t="s">
        <v>41</v>
      </c>
      <c r="I72" s="304"/>
      <c r="J72" s="305" t="s">
        <v>42</v>
      </c>
      <c r="K72" s="306"/>
      <c r="L72" s="303" t="s">
        <v>43</v>
      </c>
      <c r="M72" s="304"/>
      <c r="N72" s="303" t="s">
        <v>22</v>
      </c>
      <c r="O72" s="304"/>
      <c r="P72" s="307" t="s">
        <v>73</v>
      </c>
      <c r="Q72" s="308"/>
      <c r="R72" s="300" t="s">
        <v>74</v>
      </c>
      <c r="S72" s="301"/>
      <c r="T72" s="309" t="s">
        <v>75</v>
      </c>
      <c r="U72" s="310"/>
      <c r="V72" s="294" t="s">
        <v>76</v>
      </c>
      <c r="W72" s="295"/>
      <c r="X72" s="298"/>
      <c r="Y72" s="299"/>
      <c r="Z72" s="300" t="s">
        <v>77</v>
      </c>
      <c r="AA72" s="301"/>
      <c r="AB72" s="298" t="s">
        <v>78</v>
      </c>
      <c r="AC72" s="299"/>
      <c r="AD72" s="294" t="s">
        <v>79</v>
      </c>
      <c r="AE72" s="295"/>
      <c r="AF72" s="296" t="s">
        <v>12</v>
      </c>
      <c r="AG72" s="297"/>
      <c r="AH72" s="296" t="s">
        <v>16</v>
      </c>
      <c r="AI72" s="297"/>
      <c r="AJ72" s="296" t="s">
        <v>17</v>
      </c>
      <c r="AK72" s="297"/>
      <c r="AL72" s="296" t="s">
        <v>18</v>
      </c>
      <c r="AM72" s="297"/>
    </row>
    <row r="73" spans="1:39" ht="24" x14ac:dyDescent="0.2">
      <c r="A73" s="56" t="s">
        <v>8</v>
      </c>
      <c r="B73" s="56" t="s">
        <v>7</v>
      </c>
      <c r="C73" s="56" t="s">
        <v>6</v>
      </c>
      <c r="D73" s="56" t="s">
        <v>5</v>
      </c>
      <c r="E73" s="56" t="s">
        <v>3</v>
      </c>
      <c r="F73" s="57" t="s">
        <v>4</v>
      </c>
      <c r="G73" s="56" t="s">
        <v>0</v>
      </c>
      <c r="H73" s="58" t="s">
        <v>4</v>
      </c>
      <c r="I73" s="59" t="s">
        <v>0</v>
      </c>
      <c r="J73" s="60" t="s">
        <v>4</v>
      </c>
      <c r="K73" s="61" t="s">
        <v>0</v>
      </c>
      <c r="L73" s="57" t="s">
        <v>4</v>
      </c>
      <c r="M73" s="56" t="s">
        <v>0</v>
      </c>
      <c r="N73" s="62" t="s">
        <v>4</v>
      </c>
      <c r="O73" s="63" t="s">
        <v>0</v>
      </c>
      <c r="P73" s="64" t="s">
        <v>4</v>
      </c>
      <c r="Q73" s="65" t="s">
        <v>0</v>
      </c>
      <c r="R73" s="66" t="s">
        <v>4</v>
      </c>
      <c r="S73" s="67" t="s">
        <v>0</v>
      </c>
      <c r="T73" s="68" t="s">
        <v>4</v>
      </c>
      <c r="U73" s="69" t="s">
        <v>0</v>
      </c>
      <c r="V73" s="60" t="s">
        <v>4</v>
      </c>
      <c r="W73" s="61" t="s">
        <v>0</v>
      </c>
      <c r="X73" s="58" t="s">
        <v>4</v>
      </c>
      <c r="Y73" s="59" t="s">
        <v>0</v>
      </c>
      <c r="Z73" s="66" t="s">
        <v>4</v>
      </c>
      <c r="AA73" s="67" t="s">
        <v>0</v>
      </c>
      <c r="AB73" s="58" t="s">
        <v>4</v>
      </c>
      <c r="AC73" s="59" t="s">
        <v>0</v>
      </c>
      <c r="AD73" s="60" t="s">
        <v>4</v>
      </c>
      <c r="AE73" s="61" t="s">
        <v>0</v>
      </c>
      <c r="AF73" s="57" t="s">
        <v>4</v>
      </c>
      <c r="AG73" s="56" t="s">
        <v>0</v>
      </c>
      <c r="AH73" s="57" t="s">
        <v>4</v>
      </c>
      <c r="AI73" s="56" t="s">
        <v>0</v>
      </c>
      <c r="AJ73" s="57" t="s">
        <v>4</v>
      </c>
      <c r="AK73" s="56" t="s">
        <v>0</v>
      </c>
      <c r="AL73" s="57" t="s">
        <v>4</v>
      </c>
      <c r="AM73" s="56" t="s">
        <v>0</v>
      </c>
    </row>
    <row r="74" spans="1:39" ht="60" x14ac:dyDescent="0.2">
      <c r="A74" s="18">
        <v>1</v>
      </c>
      <c r="B74" s="121" t="s">
        <v>13</v>
      </c>
      <c r="C74" s="42" t="s">
        <v>1</v>
      </c>
      <c r="D74" s="112">
        <v>32</v>
      </c>
      <c r="E74" s="42">
        <v>1</v>
      </c>
      <c r="F74" s="20">
        <v>400000</v>
      </c>
      <c r="G74" s="20">
        <f>F74*E74*D74</f>
        <v>12800000</v>
      </c>
      <c r="H74" s="30">
        <v>500000</v>
      </c>
      <c r="I74" s="30">
        <f>D74*E74*H74</f>
        <v>16000000</v>
      </c>
      <c r="J74" s="20">
        <v>546300</v>
      </c>
      <c r="K74" s="23">
        <f>D74*E74*J74</f>
        <v>17481600</v>
      </c>
      <c r="L74" s="36">
        <v>390000</v>
      </c>
      <c r="M74" s="20">
        <f>D74*E74*L74</f>
        <v>12480000</v>
      </c>
      <c r="N74" s="40">
        <v>415000</v>
      </c>
      <c r="O74" s="36">
        <f>D74*E74*N74</f>
        <v>13280000</v>
      </c>
      <c r="P74" s="54">
        <f>323438*1.0317*1.0373*1.0244*1.0194*1.0366*1.0677*1.0575</f>
        <v>423061.8591785141</v>
      </c>
      <c r="Q74" s="54">
        <f>D74*E74*P74</f>
        <v>13537979.493712451</v>
      </c>
      <c r="R74" s="55">
        <f>250000*1.0373*1.0244*1.0194*1.0366*1.0677*1.0575</f>
        <v>316956.31490137824</v>
      </c>
      <c r="S74" s="97">
        <f>D74*E74*R74</f>
        <v>10142602.076844104</v>
      </c>
      <c r="T74" s="29">
        <f>293937*1.0244*1.0194*1.0366*1.0677*1.0575</f>
        <v>359260.34255535103</v>
      </c>
      <c r="U74" s="98">
        <f>D74*E74*T74</f>
        <v>11496330.961771233</v>
      </c>
      <c r="V74" s="107">
        <f>363335*1.0194*1.0366*1.0677*1.0575</f>
        <v>433503.57956196478</v>
      </c>
      <c r="W74" s="23">
        <f>D74*E74*V74</f>
        <v>13872114.545982873</v>
      </c>
      <c r="X74" s="30"/>
      <c r="Y74" s="30">
        <f>D74*E74*X74</f>
        <v>0</v>
      </c>
      <c r="Z74" s="55">
        <f>268008*1.0366*1.0677*1.0575</f>
        <v>313681.26530655724</v>
      </c>
      <c r="AA74" s="97">
        <f>D74*E74*Z74</f>
        <v>10037800.489809832</v>
      </c>
      <c r="AB74" s="31">
        <f>270408*1.0677*1.0575</f>
        <v>305315.71234200004</v>
      </c>
      <c r="AC74" s="30">
        <f>D74*E74*AB74</f>
        <v>9770102.7949440014</v>
      </c>
      <c r="AD74" s="24">
        <f>322396*1.0575</f>
        <v>340933.77</v>
      </c>
      <c r="AE74" s="23">
        <f>D74*E74*AD74</f>
        <v>10909880.640000001</v>
      </c>
      <c r="AF74" s="17">
        <f>ROUND((AVERAGE(F74,H74,J74,L74,N74,P74,R74,T74,V74,Z74,AB74,AD74)),0)</f>
        <v>395334</v>
      </c>
      <c r="AG74" s="17">
        <f>ROUND((D74*E74*AF74),0)</f>
        <v>12650688</v>
      </c>
      <c r="AH74" s="17">
        <f>ROUND((MEDIAN(H74,F74,J74,L74,N74,P74,R74,T74,V74,Z74,AB74,AD74)),0)</f>
        <v>395000</v>
      </c>
      <c r="AI74" s="17">
        <f>ROUND((D74*E74*AH74),0)</f>
        <v>12640000</v>
      </c>
      <c r="AJ74" s="17">
        <f>ROUND((HARMEAN(F74,H74,J74,L74,N74,P74,R74,T74,V74,Z74,AB74,AD74)),0)</f>
        <v>383269</v>
      </c>
      <c r="AK74" s="17">
        <f>ROUND((D74*E74*AJ74),0)</f>
        <v>12264608</v>
      </c>
      <c r="AL74" s="17">
        <f>ROUND((GEOMEAN(F74,H74,J74,L74,N74,P74,R74,T74,V74,Z74,AB74,AD74)),0)</f>
        <v>389141</v>
      </c>
      <c r="AM74" s="17">
        <f>ROUND((D74*E74*AL74),0)</f>
        <v>12452512</v>
      </c>
    </row>
    <row r="75" spans="1:39" x14ac:dyDescent="0.2">
      <c r="A75" s="21"/>
      <c r="B75" s="53"/>
      <c r="C75" s="52"/>
      <c r="D75" s="51"/>
      <c r="E75" s="52"/>
      <c r="F75" s="20"/>
      <c r="G75" s="20"/>
      <c r="H75" s="30"/>
      <c r="I75" s="30"/>
      <c r="J75" s="23"/>
      <c r="K75" s="23"/>
      <c r="L75" s="20"/>
      <c r="M75" s="20"/>
      <c r="N75" s="36"/>
      <c r="O75" s="36"/>
      <c r="P75" s="54"/>
      <c r="Q75" s="54"/>
      <c r="R75" s="55"/>
      <c r="S75" s="55"/>
      <c r="T75" s="29"/>
      <c r="U75" s="29"/>
      <c r="V75" s="24"/>
      <c r="W75" s="24">
        <f>D75*E75*V75</f>
        <v>0</v>
      </c>
      <c r="X75" s="31"/>
      <c r="Y75" s="31"/>
      <c r="Z75" s="55"/>
      <c r="AA75" s="55"/>
      <c r="AB75" s="31"/>
      <c r="AC75" s="31"/>
      <c r="AD75" s="24"/>
      <c r="AE75" s="24"/>
      <c r="AF75" s="17"/>
      <c r="AG75" s="17"/>
      <c r="AH75" s="17"/>
      <c r="AI75" s="17"/>
      <c r="AJ75" s="17"/>
      <c r="AK75" s="17"/>
      <c r="AL75" s="17"/>
      <c r="AM75" s="17"/>
    </row>
    <row r="76" spans="1:39" x14ac:dyDescent="0.2">
      <c r="A76" s="4"/>
      <c r="B76" s="3"/>
      <c r="C76" s="3"/>
      <c r="D76" s="5"/>
      <c r="E76" s="3"/>
      <c r="F76" s="6"/>
      <c r="G76" s="6"/>
      <c r="H76" s="32"/>
      <c r="I76" s="32"/>
      <c r="J76" s="25"/>
      <c r="K76" s="25"/>
      <c r="L76" s="6"/>
      <c r="M76" s="6"/>
      <c r="N76" s="36"/>
      <c r="O76" s="36"/>
      <c r="P76" s="54"/>
      <c r="Q76" s="54"/>
      <c r="R76" s="55"/>
      <c r="S76" s="55"/>
      <c r="T76" s="29"/>
      <c r="U76" s="29"/>
      <c r="V76" s="24"/>
      <c r="W76" s="24"/>
      <c r="X76" s="31"/>
      <c r="Y76" s="31"/>
      <c r="Z76" s="55"/>
      <c r="AA76" s="55"/>
      <c r="AB76" s="31"/>
      <c r="AC76" s="31"/>
      <c r="AD76" s="24"/>
      <c r="AE76" s="24"/>
      <c r="AF76" s="14"/>
      <c r="AG76" s="14"/>
      <c r="AH76" s="14"/>
      <c r="AI76" s="14"/>
      <c r="AJ76" s="14"/>
      <c r="AK76" s="14"/>
      <c r="AL76" s="14"/>
      <c r="AM76" s="14"/>
    </row>
    <row r="77" spans="1:39" x14ac:dyDescent="0.2">
      <c r="A77" s="4"/>
      <c r="B77" s="10" t="s">
        <v>10</v>
      </c>
      <c r="C77" s="10"/>
      <c r="D77" s="10"/>
      <c r="E77" s="10"/>
      <c r="F77" s="10"/>
      <c r="G77" s="5">
        <f>SUM(G74:G74)</f>
        <v>12800000</v>
      </c>
      <c r="H77" s="33"/>
      <c r="I77" s="34">
        <f>SUM(I74:I74)</f>
        <v>16000000</v>
      </c>
      <c r="J77" s="26"/>
      <c r="K77" s="27">
        <f>SUM(K74:K74)</f>
        <v>17481600</v>
      </c>
      <c r="L77" s="3"/>
      <c r="M77" s="5">
        <f>SUM(M74:M74)</f>
        <v>12480000</v>
      </c>
      <c r="N77" s="37"/>
      <c r="O77" s="38">
        <f>SUM(O74:O74)</f>
        <v>13280000</v>
      </c>
      <c r="P77" s="77"/>
      <c r="Q77" s="78">
        <f>SUM(Q74:Q74)</f>
        <v>13537979.493712451</v>
      </c>
      <c r="R77" s="83"/>
      <c r="S77" s="84">
        <f>SUM(S74:S74)</f>
        <v>10142602.076844104</v>
      </c>
      <c r="T77" s="88"/>
      <c r="U77" s="89">
        <f>SUM(U74:U74)</f>
        <v>11496330.961771233</v>
      </c>
      <c r="V77" s="91"/>
      <c r="W77" s="92">
        <f>SUM(W74:W74)</f>
        <v>13872114.545982873</v>
      </c>
      <c r="X77" s="94"/>
      <c r="Y77" s="95">
        <f>SUM(Y74:Y74)</f>
        <v>0</v>
      </c>
      <c r="Z77" s="83"/>
      <c r="AA77" s="84">
        <f>SUM(AA74:AA74)</f>
        <v>10037800.489809832</v>
      </c>
      <c r="AB77" s="94"/>
      <c r="AC77" s="95">
        <f>SUM(AC74:AC74)</f>
        <v>9770102.7949440014</v>
      </c>
      <c r="AD77" s="91"/>
      <c r="AE77" s="92">
        <f>SUM(AE74:AE74)</f>
        <v>10909880.640000001</v>
      </c>
      <c r="AF77" s="15"/>
      <c r="AG77" s="13">
        <f>ROUND(SUM(AG74:AG74),0)</f>
        <v>12650688</v>
      </c>
      <c r="AH77" s="15"/>
      <c r="AI77" s="13">
        <f>ROUND(SUM(AI74:AI74),0)</f>
        <v>12640000</v>
      </c>
      <c r="AJ77" s="15"/>
      <c r="AK77" s="13">
        <f>ROUND(SUM(AK74:AK74),0)</f>
        <v>12264608</v>
      </c>
      <c r="AL77" s="15"/>
      <c r="AM77" s="13">
        <f>ROUND(SUM(AM74:AM74),0)</f>
        <v>12452512</v>
      </c>
    </row>
    <row r="78" spans="1:39" x14ac:dyDescent="0.2">
      <c r="A78" s="4"/>
      <c r="B78" s="10" t="s">
        <v>11</v>
      </c>
      <c r="C78" s="10"/>
      <c r="D78" s="10"/>
      <c r="E78" s="11">
        <v>0.16</v>
      </c>
      <c r="F78" s="10"/>
      <c r="G78" s="5">
        <f>G77*E78</f>
        <v>2048000</v>
      </c>
      <c r="H78" s="35">
        <v>0.16</v>
      </c>
      <c r="I78" s="34">
        <f>I77*H78</f>
        <v>2560000</v>
      </c>
      <c r="J78" s="28">
        <v>0.16</v>
      </c>
      <c r="K78" s="27">
        <f>K77*J78</f>
        <v>2797056</v>
      </c>
      <c r="L78" s="7">
        <v>0.16</v>
      </c>
      <c r="M78" s="5">
        <f>M77*L78</f>
        <v>1996800</v>
      </c>
      <c r="N78" s="39">
        <v>0.16</v>
      </c>
      <c r="O78" s="38">
        <f>O77*N78</f>
        <v>2124800</v>
      </c>
      <c r="P78" s="79">
        <v>0.16</v>
      </c>
      <c r="Q78" s="78">
        <f>Q77*P78</f>
        <v>2166076.7189939921</v>
      </c>
      <c r="R78" s="85">
        <v>0.16</v>
      </c>
      <c r="S78" s="84">
        <f>S77*R78</f>
        <v>1622816.3322950567</v>
      </c>
      <c r="T78" s="90">
        <v>0.16</v>
      </c>
      <c r="U78" s="89">
        <f>U77*T78</f>
        <v>1839412.9538833974</v>
      </c>
      <c r="V78" s="93">
        <v>0.16</v>
      </c>
      <c r="W78" s="92">
        <f>W77*V78</f>
        <v>2219538.3273572596</v>
      </c>
      <c r="X78" s="96">
        <v>0.16</v>
      </c>
      <c r="Y78" s="95">
        <f>Y77*X78</f>
        <v>0</v>
      </c>
      <c r="Z78" s="85">
        <v>0.16</v>
      </c>
      <c r="AA78" s="84">
        <f>AA77*Z78</f>
        <v>1606048.078369573</v>
      </c>
      <c r="AB78" s="96">
        <v>0.16</v>
      </c>
      <c r="AC78" s="95">
        <f>AC77*AB78</f>
        <v>1563216.4471910403</v>
      </c>
      <c r="AD78" s="93">
        <v>0.16</v>
      </c>
      <c r="AE78" s="92">
        <f>AE77*AD78</f>
        <v>1745580.9024</v>
      </c>
      <c r="AF78" s="16">
        <v>0.16</v>
      </c>
      <c r="AG78" s="13">
        <f>ROUND(AG77*AF78,0)</f>
        <v>2024110</v>
      </c>
      <c r="AH78" s="16">
        <v>0.16</v>
      </c>
      <c r="AI78" s="13">
        <f>ROUND(AI77*AH78,0)</f>
        <v>2022400</v>
      </c>
      <c r="AJ78" s="16">
        <v>0.16</v>
      </c>
      <c r="AK78" s="99">
        <f>ROUND(AK77*AJ78,0)</f>
        <v>1962337</v>
      </c>
      <c r="AL78" s="16">
        <v>0.16</v>
      </c>
      <c r="AM78" s="13">
        <f>ROUND(AM77*AL78,0)</f>
        <v>1992402</v>
      </c>
    </row>
    <row r="79" spans="1:39" x14ac:dyDescent="0.2">
      <c r="A79" s="4"/>
      <c r="B79" s="10" t="s">
        <v>31</v>
      </c>
      <c r="C79" s="10"/>
      <c r="D79" s="10"/>
      <c r="E79" s="10"/>
      <c r="F79" s="10"/>
      <c r="G79" s="5">
        <f>SUM(G77:G78)</f>
        <v>14848000</v>
      </c>
      <c r="H79" s="33"/>
      <c r="I79" s="34">
        <f>SUM(I77:I78)</f>
        <v>18560000</v>
      </c>
      <c r="J79" s="26"/>
      <c r="K79" s="27">
        <f>SUM(K77:K78)</f>
        <v>20278656</v>
      </c>
      <c r="L79" s="3"/>
      <c r="M79" s="5">
        <f>SUM(M77:M78)</f>
        <v>14476800</v>
      </c>
      <c r="N79" s="37"/>
      <c r="O79" s="38">
        <f>SUM(O77:O78)</f>
        <v>15404800</v>
      </c>
      <c r="P79" s="77"/>
      <c r="Q79" s="78">
        <f>SUM(Q77:Q78)</f>
        <v>15704056.212706443</v>
      </c>
      <c r="R79" s="86"/>
      <c r="S79" s="87">
        <f>SUM(S77:S78)</f>
        <v>11765418.40913916</v>
      </c>
      <c r="T79" s="88"/>
      <c r="U79" s="89">
        <f>SUM(U77:U78)</f>
        <v>13335743.915654629</v>
      </c>
      <c r="V79" s="92"/>
      <c r="W79" s="92">
        <f>SUM(W77:W78)</f>
        <v>16091652.873340134</v>
      </c>
      <c r="X79" s="94"/>
      <c r="Y79" s="95">
        <f>SUM(Y77:Y78)</f>
        <v>0</v>
      </c>
      <c r="Z79" s="84"/>
      <c r="AA79" s="84">
        <f>SUM(AA77:AA78)</f>
        <v>11643848.568179404</v>
      </c>
      <c r="AB79" s="94"/>
      <c r="AC79" s="95">
        <f>SUM(AC77:AC78)</f>
        <v>11333319.242135042</v>
      </c>
      <c r="AD79" s="91"/>
      <c r="AE79" s="92">
        <f>SUM(AE77:AE78)</f>
        <v>12655461.542400001</v>
      </c>
      <c r="AF79" s="15"/>
      <c r="AG79" s="13">
        <f>SUM(AG77:AG78)</f>
        <v>14674798</v>
      </c>
      <c r="AH79" s="15"/>
      <c r="AI79" s="13">
        <f>SUM(AI77:AI78)</f>
        <v>14662400</v>
      </c>
      <c r="AJ79" s="15"/>
      <c r="AK79" s="99">
        <f>SUM(AK77:AK78)</f>
        <v>14226945</v>
      </c>
      <c r="AL79" s="15"/>
      <c r="AM79" s="13">
        <f>SUM(AM77:AM78)</f>
        <v>14444914</v>
      </c>
    </row>
    <row r="82" spans="1:39" ht="26.25" x14ac:dyDescent="0.2">
      <c r="A82" s="317" t="str">
        <f>UPPER("OBJETO:CONTRATAR EL MANTENIMIENTO DE ZONAS DE SEGURIDAD Y CANALES DEL AEROPUERTO JOSE MARIA CORDOVA DE RIONEGRO")</f>
        <v>OBJETO:CONTRATAR EL MANTENIMIENTO DE ZONAS DE SEGURIDAD Y CANALES DEL AEROPUERTO JOSE MARIA CORDOVA DE RIONEGRO</v>
      </c>
      <c r="B82" s="317"/>
      <c r="C82" s="317"/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7"/>
      <c r="R82" s="317"/>
      <c r="S82" s="317"/>
      <c r="T82" s="317"/>
      <c r="U82" s="317"/>
      <c r="V82" s="317"/>
      <c r="W82" s="317"/>
      <c r="X82" s="317"/>
      <c r="Y82" s="317"/>
      <c r="Z82" s="317"/>
      <c r="AA82" s="317"/>
      <c r="AB82" s="317"/>
      <c r="AC82" s="317"/>
      <c r="AD82" s="100"/>
      <c r="AE82" s="100"/>
    </row>
    <row r="83" spans="1:39" ht="21" x14ac:dyDescent="0.2">
      <c r="A83" s="318" t="s">
        <v>9</v>
      </c>
      <c r="B83" s="318"/>
      <c r="C83" s="318"/>
      <c r="D83" s="318"/>
      <c r="E83" s="318"/>
      <c r="F83" s="318"/>
      <c r="G83" s="318"/>
      <c r="H83" s="318"/>
      <c r="I83" s="318"/>
      <c r="J83" s="318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101"/>
      <c r="AE83" s="101"/>
    </row>
    <row r="84" spans="1:39" ht="126" customHeight="1" x14ac:dyDescent="0.2">
      <c r="B84" s="12" t="s">
        <v>51</v>
      </c>
      <c r="F84" s="303" t="s">
        <v>40</v>
      </c>
      <c r="G84" s="304"/>
      <c r="H84" s="303" t="s">
        <v>41</v>
      </c>
      <c r="I84" s="304"/>
      <c r="J84" s="305" t="s">
        <v>42</v>
      </c>
      <c r="K84" s="306"/>
      <c r="L84" s="303" t="s">
        <v>43</v>
      </c>
      <c r="M84" s="304"/>
      <c r="N84" s="303" t="s">
        <v>22</v>
      </c>
      <c r="O84" s="304"/>
      <c r="P84" s="311"/>
      <c r="Q84" s="312"/>
      <c r="R84" s="290"/>
      <c r="S84" s="291"/>
      <c r="T84" s="286"/>
      <c r="U84" s="287"/>
      <c r="V84" s="288"/>
      <c r="W84" s="289"/>
      <c r="X84" s="290" t="s">
        <v>82</v>
      </c>
      <c r="Y84" s="291"/>
      <c r="Z84" s="292" t="s">
        <v>78</v>
      </c>
      <c r="AA84" s="293"/>
      <c r="AB84" s="294" t="s">
        <v>79</v>
      </c>
      <c r="AC84" s="295"/>
      <c r="AD84" s="285" t="s">
        <v>12</v>
      </c>
      <c r="AE84" s="285"/>
      <c r="AF84" s="285" t="s">
        <v>16</v>
      </c>
      <c r="AG84" s="285"/>
      <c r="AH84" s="285" t="s">
        <v>19</v>
      </c>
      <c r="AI84" s="285"/>
      <c r="AJ84" s="285" t="s">
        <v>20</v>
      </c>
      <c r="AK84" s="285"/>
    </row>
    <row r="85" spans="1:39" ht="24" x14ac:dyDescent="0.2">
      <c r="A85" s="56" t="s">
        <v>8</v>
      </c>
      <c r="B85" s="56" t="s">
        <v>7</v>
      </c>
      <c r="C85" s="56" t="s">
        <v>6</v>
      </c>
      <c r="D85" s="56" t="s">
        <v>5</v>
      </c>
      <c r="E85" s="72" t="s">
        <v>3</v>
      </c>
      <c r="F85" s="57" t="s">
        <v>4</v>
      </c>
      <c r="G85" s="56" t="s">
        <v>0</v>
      </c>
      <c r="H85" s="58" t="s">
        <v>4</v>
      </c>
      <c r="I85" s="59" t="s">
        <v>0</v>
      </c>
      <c r="J85" s="60" t="s">
        <v>4</v>
      </c>
      <c r="K85" s="61" t="s">
        <v>0</v>
      </c>
      <c r="L85" s="57" t="s">
        <v>4</v>
      </c>
      <c r="M85" s="56" t="s">
        <v>0</v>
      </c>
      <c r="N85" s="62" t="s">
        <v>4</v>
      </c>
      <c r="O85" s="63" t="s">
        <v>0</v>
      </c>
      <c r="P85" s="64" t="s">
        <v>4</v>
      </c>
      <c r="Q85" s="65" t="s">
        <v>0</v>
      </c>
      <c r="R85" s="66" t="s">
        <v>4</v>
      </c>
      <c r="S85" s="67" t="s">
        <v>0</v>
      </c>
      <c r="T85" s="68" t="s">
        <v>4</v>
      </c>
      <c r="U85" s="69" t="s">
        <v>0</v>
      </c>
      <c r="V85" s="60" t="s">
        <v>4</v>
      </c>
      <c r="W85" s="61" t="s">
        <v>0</v>
      </c>
      <c r="X85" s="66" t="s">
        <v>4</v>
      </c>
      <c r="Y85" s="67" t="s">
        <v>0</v>
      </c>
      <c r="Z85" s="58" t="s">
        <v>4</v>
      </c>
      <c r="AA85" s="59" t="s">
        <v>0</v>
      </c>
      <c r="AB85" s="60" t="s">
        <v>4</v>
      </c>
      <c r="AC85" s="61" t="s">
        <v>0</v>
      </c>
      <c r="AD85" s="57" t="s">
        <v>4</v>
      </c>
      <c r="AE85" s="56" t="s">
        <v>0</v>
      </c>
      <c r="AF85" s="57" t="s">
        <v>4</v>
      </c>
      <c r="AG85" s="56" t="s">
        <v>0</v>
      </c>
      <c r="AH85" s="57" t="s">
        <v>4</v>
      </c>
      <c r="AI85" s="56" t="s">
        <v>0</v>
      </c>
      <c r="AJ85" s="57" t="s">
        <v>4</v>
      </c>
      <c r="AK85" s="56" t="s">
        <v>0</v>
      </c>
    </row>
    <row r="86" spans="1:39" ht="84" x14ac:dyDescent="0.2">
      <c r="A86" s="117">
        <v>8</v>
      </c>
      <c r="B86" s="121" t="s">
        <v>83</v>
      </c>
      <c r="C86" s="19" t="s">
        <v>1</v>
      </c>
      <c r="D86" s="41">
        <f>(20000+35000+1000*5*2)/10000</f>
        <v>6.5</v>
      </c>
      <c r="E86" s="42">
        <v>1</v>
      </c>
      <c r="F86" s="20">
        <v>400000</v>
      </c>
      <c r="G86" s="20">
        <f>F86*E86*D86</f>
        <v>2600000</v>
      </c>
      <c r="H86" s="30">
        <v>500000</v>
      </c>
      <c r="I86" s="30">
        <f>D86*E86*H86</f>
        <v>3250000</v>
      </c>
      <c r="J86" s="23">
        <v>546300</v>
      </c>
      <c r="K86" s="23">
        <f>D86*E86*J86</f>
        <v>3550950</v>
      </c>
      <c r="L86" s="36">
        <v>390000</v>
      </c>
      <c r="M86" s="36">
        <f>D86*E86*L86</f>
        <v>2535000</v>
      </c>
      <c r="N86" s="40">
        <v>415000</v>
      </c>
      <c r="O86" s="36">
        <f>D86*E86*N86</f>
        <v>2697500</v>
      </c>
      <c r="P86" s="54"/>
      <c r="Q86" s="54">
        <f>D86*E86*P86</f>
        <v>0</v>
      </c>
      <c r="R86" s="55"/>
      <c r="S86" s="55">
        <f>D86*E86*R86</f>
        <v>0</v>
      </c>
      <c r="T86" s="29"/>
      <c r="U86" s="29">
        <f>D86*E86*T86</f>
        <v>0</v>
      </c>
      <c r="V86" s="24"/>
      <c r="W86" s="24">
        <f>D86*E86*V86</f>
        <v>0</v>
      </c>
      <c r="X86" s="55">
        <f>252094*1.0366*1.0677*1.0575</f>
        <v>295055.24050099717</v>
      </c>
      <c r="Y86" s="55">
        <f>D86*E86*X86</f>
        <v>1917859.0632564817</v>
      </c>
      <c r="Z86" s="31">
        <f>257302*1.0677*1.0575</f>
        <v>290517.82276050007</v>
      </c>
      <c r="AA86" s="31">
        <f>D86*E86*Z86</f>
        <v>1888365.8479432506</v>
      </c>
      <c r="AB86" s="31">
        <f>304560*1.0575</f>
        <v>322072.2</v>
      </c>
      <c r="AC86" s="31">
        <f>ROUND((D86*E86*AB86),0)</f>
        <v>2093469</v>
      </c>
      <c r="AD86" s="17">
        <f>ROUND((AVERAGE(F86,H86,J86,L86,N86,X86,Z86,AB86)),0)</f>
        <v>394868</v>
      </c>
      <c r="AE86" s="17">
        <f>ROUND((D86*E86*AD86),0)</f>
        <v>2566642</v>
      </c>
      <c r="AF86" s="17">
        <f>ROUND((MEDIAN(F86,H86,J86,L86,N86,X86,Z86,AB86)),0)</f>
        <v>395000</v>
      </c>
      <c r="AG86" s="17">
        <f>ROUND((D86*E86*AF86),0)</f>
        <v>2567500</v>
      </c>
      <c r="AH86" s="17">
        <f>ROUND((HARMEAN(F86,H86,J86,L86,N86,X86,Z86,AB86)),0)</f>
        <v>376640</v>
      </c>
      <c r="AI86" s="17">
        <f>ROUND((D86*E86*AH86),0)</f>
        <v>2448160</v>
      </c>
      <c r="AJ86" s="17">
        <f>ROUND((GEOMEAN(F86,H86,J86,L86,N86,X86,Z86,AB86)),0)</f>
        <v>385545</v>
      </c>
      <c r="AK86" s="17">
        <f>ROUND((D86*E86*AJ86),0)</f>
        <v>2506043</v>
      </c>
    </row>
    <row r="87" spans="1:39" x14ac:dyDescent="0.2">
      <c r="A87" s="4"/>
      <c r="B87" s="70"/>
      <c r="C87" s="42"/>
      <c r="D87" s="71"/>
      <c r="E87" s="3"/>
      <c r="F87" s="20"/>
      <c r="G87" s="20"/>
      <c r="H87" s="30"/>
      <c r="I87" s="30"/>
      <c r="J87" s="23"/>
      <c r="K87" s="23"/>
      <c r="L87" s="20"/>
      <c r="M87" s="20"/>
      <c r="N87" s="36"/>
      <c r="O87" s="36"/>
      <c r="P87" s="54"/>
      <c r="Q87" s="54"/>
      <c r="R87" s="55"/>
      <c r="S87" s="55"/>
      <c r="T87" s="29"/>
      <c r="U87" s="29"/>
      <c r="V87" s="24"/>
      <c r="W87" s="24"/>
      <c r="X87" s="24"/>
      <c r="Y87" s="24"/>
      <c r="Z87" s="24"/>
      <c r="AA87" s="24"/>
      <c r="AB87" s="44"/>
      <c r="AC87" s="44"/>
      <c r="AD87" s="44"/>
      <c r="AE87" s="44"/>
      <c r="AF87" s="17"/>
      <c r="AG87" s="44"/>
      <c r="AH87" s="44"/>
      <c r="AI87" s="44"/>
      <c r="AJ87" s="44"/>
      <c r="AK87" s="44"/>
    </row>
    <row r="88" spans="1:39" x14ac:dyDescent="0.2">
      <c r="A88" s="4"/>
      <c r="B88" s="10" t="s">
        <v>10</v>
      </c>
      <c r="C88" s="10"/>
      <c r="D88" s="10"/>
      <c r="E88" s="10"/>
      <c r="F88" s="45"/>
      <c r="G88" s="46">
        <f>SUM(G86:G86)</f>
        <v>2600000</v>
      </c>
      <c r="H88" s="47"/>
      <c r="I88" s="46">
        <f>SUM(I86:I86)</f>
        <v>3250000</v>
      </c>
      <c r="J88" s="47"/>
      <c r="K88" s="46">
        <f>SUM(K86:K86)</f>
        <v>3550950</v>
      </c>
      <c r="L88" s="47"/>
      <c r="M88" s="46">
        <f>SUM(M86:M86)</f>
        <v>2535000</v>
      </c>
      <c r="N88" s="47"/>
      <c r="O88" s="46">
        <f>SUM(O86:O86)</f>
        <v>2697500</v>
      </c>
      <c r="P88" s="80"/>
      <c r="Q88" s="81">
        <f>SUM(Q86:Q86)</f>
        <v>0</v>
      </c>
      <c r="R88" s="80"/>
      <c r="S88" s="81">
        <f>SUM(S86:S86)</f>
        <v>0</v>
      </c>
      <c r="T88" s="80"/>
      <c r="U88" s="81">
        <f>SUM(U86:U86)</f>
        <v>0</v>
      </c>
      <c r="V88" s="80"/>
      <c r="W88" s="81">
        <f>SUM(W86:W86)</f>
        <v>0</v>
      </c>
      <c r="X88" s="47"/>
      <c r="Y88" s="46">
        <f>SUM(Y86:Y86)</f>
        <v>1917859.0632564817</v>
      </c>
      <c r="Z88" s="80"/>
      <c r="AA88" s="81">
        <f>SUM(AA86:AA86)</f>
        <v>1888365.8479432506</v>
      </c>
      <c r="AB88" s="48"/>
      <c r="AC88" s="74">
        <f>SUM(AC86:AC86)</f>
        <v>2093469</v>
      </c>
      <c r="AD88" s="48"/>
      <c r="AE88" s="74">
        <f>SUM(AE86:AE86)</f>
        <v>2566642</v>
      </c>
      <c r="AF88" s="76"/>
      <c r="AG88" s="74">
        <f>SUM(AG86:AG86)</f>
        <v>2567500</v>
      </c>
      <c r="AH88" s="76"/>
      <c r="AI88" s="74">
        <f>SUM(AI86:AI86)</f>
        <v>2448160</v>
      </c>
      <c r="AJ88" s="76"/>
      <c r="AK88" s="74">
        <f>SUM(AK86:AK86)</f>
        <v>2506043</v>
      </c>
    </row>
    <row r="89" spans="1:39" x14ac:dyDescent="0.2">
      <c r="A89" s="4"/>
      <c r="B89" s="10" t="s">
        <v>11</v>
      </c>
      <c r="C89" s="10"/>
      <c r="D89" s="10"/>
      <c r="E89" s="11"/>
      <c r="F89" s="11">
        <v>0.16</v>
      </c>
      <c r="G89" s="46">
        <f>G88*F89</f>
        <v>416000</v>
      </c>
      <c r="H89" s="49">
        <v>0.16</v>
      </c>
      <c r="I89" s="46">
        <f>I88*H89</f>
        <v>520000</v>
      </c>
      <c r="J89" s="49">
        <v>0.16</v>
      </c>
      <c r="K89" s="46">
        <f>K88*J89</f>
        <v>568152</v>
      </c>
      <c r="L89" s="49">
        <v>0.16</v>
      </c>
      <c r="M89" s="46">
        <f>M88*L89</f>
        <v>405600</v>
      </c>
      <c r="N89" s="49">
        <v>0.16</v>
      </c>
      <c r="O89" s="46">
        <f>O88*N89</f>
        <v>431600</v>
      </c>
      <c r="P89" s="82">
        <v>0.16</v>
      </c>
      <c r="Q89" s="81">
        <f>Q88*P89</f>
        <v>0</v>
      </c>
      <c r="R89" s="82">
        <v>0.16</v>
      </c>
      <c r="S89" s="81">
        <f>S88*R89</f>
        <v>0</v>
      </c>
      <c r="T89" s="82">
        <v>0.16</v>
      </c>
      <c r="U89" s="81">
        <f>U88*T89</f>
        <v>0</v>
      </c>
      <c r="V89" s="82">
        <v>0.16</v>
      </c>
      <c r="W89" s="81">
        <f>W88*V89</f>
        <v>0</v>
      </c>
      <c r="X89" s="49">
        <v>0.16</v>
      </c>
      <c r="Y89" s="46">
        <f>Y88*X89</f>
        <v>306857.45012103708</v>
      </c>
      <c r="Z89" s="82">
        <v>0.16</v>
      </c>
      <c r="AA89" s="81">
        <f>AA88*Z89</f>
        <v>302138.5356709201</v>
      </c>
      <c r="AB89" s="50">
        <v>0.16</v>
      </c>
      <c r="AC89" s="74">
        <f>ROUND(AC88*AB89,0)</f>
        <v>334955</v>
      </c>
      <c r="AD89" s="50">
        <v>0.16</v>
      </c>
      <c r="AE89" s="74">
        <f>ROUND(AE88*AD89,0)</f>
        <v>410663</v>
      </c>
      <c r="AF89" s="75">
        <v>0.16</v>
      </c>
      <c r="AG89" s="74">
        <f>ROUND(AG88*AF89,0)</f>
        <v>410800</v>
      </c>
      <c r="AH89" s="75">
        <v>0.16</v>
      </c>
      <c r="AI89" s="74">
        <f>ROUND(AI88*AH89,0)</f>
        <v>391706</v>
      </c>
      <c r="AJ89" s="75">
        <v>0.16</v>
      </c>
      <c r="AK89" s="74">
        <f>ROUND(AK88*AJ89,0)</f>
        <v>400967</v>
      </c>
    </row>
    <row r="90" spans="1:39" x14ac:dyDescent="0.2">
      <c r="A90" s="4"/>
      <c r="B90" s="10" t="s">
        <v>30</v>
      </c>
      <c r="C90" s="10"/>
      <c r="D90" s="10"/>
      <c r="E90" s="10"/>
      <c r="F90" s="45"/>
      <c r="G90" s="46">
        <f>SUM(G88:G89)</f>
        <v>3016000</v>
      </c>
      <c r="H90" s="47"/>
      <c r="I90" s="46">
        <f>SUM(I88:I89)</f>
        <v>3770000</v>
      </c>
      <c r="J90" s="47"/>
      <c r="K90" s="46">
        <f>SUM(K88:K89)</f>
        <v>4119102</v>
      </c>
      <c r="L90" s="47"/>
      <c r="M90" s="46">
        <f>SUM(M88:M89)</f>
        <v>2940600</v>
      </c>
      <c r="N90" s="47"/>
      <c r="O90" s="46">
        <f>SUM(O88:O89)</f>
        <v>3129100</v>
      </c>
      <c r="P90" s="80"/>
      <c r="Q90" s="81">
        <f>SUM(Q88:Q89)</f>
        <v>0</v>
      </c>
      <c r="R90" s="80"/>
      <c r="S90" s="81">
        <f>SUM(S88:S89)</f>
        <v>0</v>
      </c>
      <c r="T90" s="80"/>
      <c r="U90" s="81">
        <f>SUM(U88:U89)</f>
        <v>0</v>
      </c>
      <c r="V90" s="81"/>
      <c r="W90" s="81">
        <f>SUM(W88:W89)</f>
        <v>0</v>
      </c>
      <c r="X90" s="46"/>
      <c r="Y90" s="46">
        <f>SUM(Y88:Y89)</f>
        <v>2224716.5133775189</v>
      </c>
      <c r="Z90" s="81"/>
      <c r="AA90" s="81">
        <f>SUM(AA88:AA89)</f>
        <v>2190504.3836141708</v>
      </c>
      <c r="AB90" s="48"/>
      <c r="AC90" s="74">
        <f>SUM(AC88:AC89)</f>
        <v>2428424</v>
      </c>
      <c r="AD90" s="48"/>
      <c r="AE90" s="74">
        <f>SUM(AE88:AE89)</f>
        <v>2977305</v>
      </c>
      <c r="AF90" s="74"/>
      <c r="AG90" s="74">
        <f>SUM(AG88:AG89)</f>
        <v>2978300</v>
      </c>
      <c r="AH90" s="76"/>
      <c r="AI90" s="74">
        <f>SUM(AI88:AI89)</f>
        <v>2839866</v>
      </c>
      <c r="AJ90" s="76"/>
      <c r="AK90" s="74">
        <f>SUM(AK88:AK89)</f>
        <v>2907010</v>
      </c>
    </row>
    <row r="93" spans="1:39" ht="26.25" x14ac:dyDescent="0.2">
      <c r="A93" s="317" t="str">
        <f>UPPER("OBJETO:Contratar el Mantenimiento de las zonas seguridad y canales del aeropuerto Reyes Murillo de Nuqui - Chocó")</f>
        <v>OBJETO:CONTRATAR EL MANTENIMIENTO DE LAS ZONAS SEGURIDAD Y CANALES DEL AEROPUERTO REYES MURILLO DE NUQUI - CHOCÓ</v>
      </c>
      <c r="B93" s="317"/>
      <c r="C93" s="317"/>
      <c r="D93" s="317"/>
      <c r="E93" s="317"/>
      <c r="F93" s="317"/>
      <c r="G93" s="317"/>
      <c r="H93" s="317"/>
      <c r="I93" s="317"/>
      <c r="J93" s="317"/>
      <c r="K93" s="317"/>
      <c r="L93" s="317"/>
      <c r="M93" s="317"/>
      <c r="N93" s="317"/>
      <c r="O93" s="317"/>
      <c r="P93" s="317"/>
      <c r="Q93" s="317"/>
      <c r="R93" s="317"/>
      <c r="S93" s="317"/>
      <c r="T93" s="317"/>
      <c r="U93" s="317"/>
      <c r="V93" s="317"/>
      <c r="W93" s="317"/>
      <c r="X93" s="317"/>
      <c r="Y93" s="317"/>
      <c r="Z93" s="317"/>
      <c r="AA93" s="317"/>
      <c r="AB93" s="317"/>
      <c r="AC93" s="317"/>
      <c r="AD93" s="317"/>
      <c r="AE93" s="317"/>
      <c r="AF93" s="317"/>
      <c r="AG93" s="317"/>
    </row>
    <row r="94" spans="1:39" ht="21" x14ac:dyDescent="0.2">
      <c r="A94" s="318" t="s">
        <v>9</v>
      </c>
      <c r="B94" s="318"/>
      <c r="C94" s="318"/>
      <c r="D94" s="318"/>
      <c r="E94" s="318"/>
      <c r="F94" s="318"/>
      <c r="G94" s="318"/>
      <c r="H94" s="318"/>
      <c r="I94" s="318"/>
      <c r="J94" s="318"/>
      <c r="K94" s="318"/>
      <c r="L94" s="318"/>
      <c r="M94" s="318"/>
      <c r="N94" s="318"/>
      <c r="O94" s="318"/>
      <c r="P94" s="318"/>
      <c r="Q94" s="318"/>
      <c r="R94" s="318"/>
      <c r="S94" s="318"/>
      <c r="T94" s="318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318"/>
      <c r="AG94" s="318"/>
    </row>
    <row r="95" spans="1:39" ht="128.25" customHeight="1" x14ac:dyDescent="0.2">
      <c r="B95" s="12" t="s">
        <v>87</v>
      </c>
      <c r="F95" s="303" t="s">
        <v>40</v>
      </c>
      <c r="G95" s="304"/>
      <c r="H95" s="303" t="s">
        <v>41</v>
      </c>
      <c r="I95" s="304"/>
      <c r="J95" s="305" t="s">
        <v>42</v>
      </c>
      <c r="K95" s="306"/>
      <c r="L95" s="303" t="s">
        <v>43</v>
      </c>
      <c r="M95" s="304"/>
      <c r="N95" s="303" t="s">
        <v>22</v>
      </c>
      <c r="O95" s="304"/>
      <c r="P95" s="307" t="s">
        <v>88</v>
      </c>
      <c r="Q95" s="308"/>
      <c r="R95" s="300" t="s">
        <v>89</v>
      </c>
      <c r="S95" s="301"/>
      <c r="T95" s="309" t="s">
        <v>90</v>
      </c>
      <c r="U95" s="310"/>
      <c r="V95" s="294" t="s">
        <v>49</v>
      </c>
      <c r="W95" s="295"/>
      <c r="X95" s="298" t="s">
        <v>91</v>
      </c>
      <c r="Y95" s="299"/>
      <c r="Z95" s="300" t="s">
        <v>92</v>
      </c>
      <c r="AA95" s="301"/>
      <c r="AB95" s="298" t="s">
        <v>93</v>
      </c>
      <c r="AC95" s="299"/>
      <c r="AD95" s="294" t="s">
        <v>94</v>
      </c>
      <c r="AE95" s="295"/>
      <c r="AF95" s="296" t="s">
        <v>12</v>
      </c>
      <c r="AG95" s="297"/>
      <c r="AH95" s="296" t="s">
        <v>16</v>
      </c>
      <c r="AI95" s="297"/>
      <c r="AJ95" s="296" t="s">
        <v>17</v>
      </c>
      <c r="AK95" s="297"/>
      <c r="AL95" s="296" t="s">
        <v>18</v>
      </c>
      <c r="AM95" s="297"/>
    </row>
    <row r="96" spans="1:39" ht="24" x14ac:dyDescent="0.2">
      <c r="A96" s="56" t="s">
        <v>8</v>
      </c>
      <c r="B96" s="56" t="s">
        <v>7</v>
      </c>
      <c r="C96" s="56" t="s">
        <v>6</v>
      </c>
      <c r="D96" s="56" t="s">
        <v>5</v>
      </c>
      <c r="E96" s="56" t="s">
        <v>3</v>
      </c>
      <c r="F96" s="57" t="s">
        <v>4</v>
      </c>
      <c r="G96" s="56" t="s">
        <v>0</v>
      </c>
      <c r="H96" s="58" t="s">
        <v>4</v>
      </c>
      <c r="I96" s="59" t="s">
        <v>0</v>
      </c>
      <c r="J96" s="60" t="s">
        <v>4</v>
      </c>
      <c r="K96" s="61" t="s">
        <v>0</v>
      </c>
      <c r="L96" s="57" t="s">
        <v>4</v>
      </c>
      <c r="M96" s="56" t="s">
        <v>0</v>
      </c>
      <c r="N96" s="62" t="s">
        <v>4</v>
      </c>
      <c r="O96" s="63" t="s">
        <v>0</v>
      </c>
      <c r="P96" s="64" t="s">
        <v>4</v>
      </c>
      <c r="Q96" s="65" t="s">
        <v>0</v>
      </c>
      <c r="R96" s="66" t="s">
        <v>4</v>
      </c>
      <c r="S96" s="67" t="s">
        <v>0</v>
      </c>
      <c r="T96" s="68" t="s">
        <v>4</v>
      </c>
      <c r="U96" s="69" t="s">
        <v>0</v>
      </c>
      <c r="V96" s="60" t="s">
        <v>4</v>
      </c>
      <c r="W96" s="61" t="s">
        <v>0</v>
      </c>
      <c r="X96" s="58" t="s">
        <v>4</v>
      </c>
      <c r="Y96" s="59" t="s">
        <v>0</v>
      </c>
      <c r="Z96" s="66" t="s">
        <v>4</v>
      </c>
      <c r="AA96" s="67" t="s">
        <v>0</v>
      </c>
      <c r="AB96" s="58" t="s">
        <v>4</v>
      </c>
      <c r="AC96" s="59" t="s">
        <v>0</v>
      </c>
      <c r="AD96" s="60" t="s">
        <v>4</v>
      </c>
      <c r="AE96" s="61" t="s">
        <v>0</v>
      </c>
      <c r="AF96" s="57" t="s">
        <v>4</v>
      </c>
      <c r="AG96" s="56" t="s">
        <v>0</v>
      </c>
      <c r="AH96" s="57" t="s">
        <v>4</v>
      </c>
      <c r="AI96" s="56" t="s">
        <v>0</v>
      </c>
      <c r="AJ96" s="57" t="s">
        <v>4</v>
      </c>
      <c r="AK96" s="56" t="s">
        <v>0</v>
      </c>
      <c r="AL96" s="57" t="s">
        <v>4</v>
      </c>
      <c r="AM96" s="56" t="s">
        <v>0</v>
      </c>
    </row>
    <row r="97" spans="1:39" ht="63.75" x14ac:dyDescent="0.2">
      <c r="A97" s="124">
        <v>1</v>
      </c>
      <c r="B97" s="102" t="s">
        <v>13</v>
      </c>
      <c r="C97" s="125" t="s">
        <v>1</v>
      </c>
      <c r="D97" s="126">
        <v>16</v>
      </c>
      <c r="E97" s="125">
        <v>1</v>
      </c>
      <c r="F97" s="20">
        <v>400000</v>
      </c>
      <c r="G97" s="20">
        <f>D97*E97*F97</f>
        <v>6400000</v>
      </c>
      <c r="H97" s="30">
        <v>500000</v>
      </c>
      <c r="I97" s="30">
        <f>D97*E97*H97</f>
        <v>8000000</v>
      </c>
      <c r="J97" s="20">
        <v>546300</v>
      </c>
      <c r="K97" s="23">
        <f>D97*E97*J97</f>
        <v>8740800</v>
      </c>
      <c r="L97" s="36">
        <v>390000</v>
      </c>
      <c r="M97" s="20">
        <f>D97*E97*L97</f>
        <v>6240000</v>
      </c>
      <c r="N97" s="40">
        <v>415000</v>
      </c>
      <c r="O97" s="36">
        <f>D97*E97*N97</f>
        <v>6640000</v>
      </c>
      <c r="P97" s="54">
        <f>301700*1.0317*1.0373*1.0244*1.0194*1.0366*1.0677*1.0575</f>
        <v>394628.22214507172</v>
      </c>
      <c r="Q97" s="54">
        <f>D97*E97*P97</f>
        <v>6314051.5543211475</v>
      </c>
      <c r="R97" s="55">
        <f>345000*1.0373*1.0244*1.0194*1.0366*1.0677*1.0575</f>
        <v>437399.71456390194</v>
      </c>
      <c r="S97" s="97">
        <f>D97*E97*R97</f>
        <v>6998395.4330224311</v>
      </c>
      <c r="T97" s="29">
        <f>227519*1.0244*1.0194*1.0366*1.0677*1.0575</f>
        <v>278081.88107604993</v>
      </c>
      <c r="U97" s="98">
        <f>D97*E97*T97</f>
        <v>4449310.0972167989</v>
      </c>
      <c r="V97" s="24">
        <f>312176*1.0194*1.0366*1.0677*1.0575</f>
        <v>372464.56700658047</v>
      </c>
      <c r="W97" s="23">
        <f>D97*E97*V97</f>
        <v>5959433.0721052876</v>
      </c>
      <c r="X97" s="31">
        <f>347143*1.0194*1.0366*1.0677*1.0575</f>
        <v>414184.52150186227</v>
      </c>
      <c r="Y97" s="30">
        <f>D97*E97*X97</f>
        <v>6626952.3440297963</v>
      </c>
      <c r="Z97" s="55">
        <f>297591*1.0366*1.0677*1.0575</f>
        <v>348305.72752993816</v>
      </c>
      <c r="AA97" s="97">
        <f>D97*E97*Z97</f>
        <v>5572891.6404790105</v>
      </c>
      <c r="AB97" s="31">
        <f>280294*1.0677*1.0575</f>
        <v>316477.92326850008</v>
      </c>
      <c r="AC97" s="30">
        <f>D97*E97*AB97</f>
        <v>5063646.7722960012</v>
      </c>
      <c r="AD97" s="24">
        <f>354880*1.0575</f>
        <v>375285.60000000003</v>
      </c>
      <c r="AE97" s="23">
        <f>D97*E97*AD97</f>
        <v>6004569.6000000006</v>
      </c>
      <c r="AF97" s="17">
        <f>ROUND((AVERAGE(F97,H97,J97,L97,N97,P97,X97,R97,T97,V97,Z97,AB97,AD97)),0)</f>
        <v>399087</v>
      </c>
      <c r="AG97" s="17">
        <f>ROUND((D97*E97*AF97),0)</f>
        <v>6385392</v>
      </c>
      <c r="AH97" s="17">
        <f>ROUND((MEDIAN(H97,F97,J97,L97,N97,P97,R97,T97,V97,X97,Z97,AB97,AD97)),0)</f>
        <v>394628</v>
      </c>
      <c r="AI97" s="17">
        <f>ROUND((D97*E97*AH97),0)</f>
        <v>6314048</v>
      </c>
      <c r="AJ97" s="17">
        <f>ROUND((HARMEAN(F97,H97,J97,L97,N97,P97,R97,T97,V97,X97,Z97,AB97,AD97)),0)</f>
        <v>387883</v>
      </c>
      <c r="AK97" s="17">
        <f>ROUND((D97*E97*AJ97),0)</f>
        <v>6206128</v>
      </c>
      <c r="AL97" s="17">
        <f>ROUND((GEOMEAN(F97,H97,J97,L97,N97,P97,R97,T97,V97,X97,Z97,AB97,AD97)),0)</f>
        <v>393464</v>
      </c>
      <c r="AM97" s="17">
        <f>ROUND((D97*E97*AL97),0)</f>
        <v>6295424</v>
      </c>
    </row>
    <row r="98" spans="1:39" x14ac:dyDescent="0.2">
      <c r="A98" s="4"/>
      <c r="B98" s="3"/>
      <c r="C98" s="3"/>
      <c r="D98" s="5"/>
      <c r="E98" s="3"/>
      <c r="F98" s="6"/>
      <c r="G98" s="6"/>
      <c r="H98" s="32"/>
      <c r="I98" s="32"/>
      <c r="J98" s="25"/>
      <c r="K98" s="25"/>
      <c r="L98" s="6"/>
      <c r="M98" s="6"/>
      <c r="N98" s="36"/>
      <c r="O98" s="36"/>
      <c r="P98" s="54"/>
      <c r="Q98" s="54"/>
      <c r="R98" s="55"/>
      <c r="S98" s="55"/>
      <c r="T98" s="29"/>
      <c r="U98" s="29"/>
      <c r="V98" s="24"/>
      <c r="W98" s="24"/>
      <c r="X98" s="31"/>
      <c r="Y98" s="31"/>
      <c r="Z98" s="55"/>
      <c r="AA98" s="55"/>
      <c r="AB98" s="31"/>
      <c r="AC98" s="31"/>
      <c r="AD98" s="24"/>
      <c r="AE98" s="24"/>
      <c r="AF98" s="14"/>
      <c r="AG98" s="14"/>
      <c r="AH98" s="14"/>
      <c r="AI98" s="14"/>
      <c r="AJ98" s="14"/>
      <c r="AK98" s="14"/>
      <c r="AL98" s="14"/>
      <c r="AM98" s="14"/>
    </row>
    <row r="99" spans="1:39" x14ac:dyDescent="0.2">
      <c r="A99" s="4"/>
      <c r="B99" s="10" t="s">
        <v>10</v>
      </c>
      <c r="C99" s="10"/>
      <c r="D99" s="10"/>
      <c r="E99" s="10"/>
      <c r="F99" s="10"/>
      <c r="G99" s="5">
        <f>SUM(G97:G97)</f>
        <v>6400000</v>
      </c>
      <c r="H99" s="33"/>
      <c r="I99" s="34">
        <f>SUM(I97:I97)</f>
        <v>8000000</v>
      </c>
      <c r="J99" s="26"/>
      <c r="K99" s="27">
        <f>SUM(K97:K97)</f>
        <v>8740800</v>
      </c>
      <c r="L99" s="3"/>
      <c r="M99" s="5">
        <f>SUM(M97:M97)</f>
        <v>6240000</v>
      </c>
      <c r="N99" s="37"/>
      <c r="O99" s="38">
        <f>SUM(O97:O97)</f>
        <v>6640000</v>
      </c>
      <c r="P99" s="77"/>
      <c r="Q99" s="78">
        <f>SUM(Q97:Q97)</f>
        <v>6314051.5543211475</v>
      </c>
      <c r="R99" s="83"/>
      <c r="S99" s="84">
        <f>SUM(S97:S97)</f>
        <v>6998395.4330224311</v>
      </c>
      <c r="T99" s="88"/>
      <c r="U99" s="89">
        <f>SUM(U97:U97)</f>
        <v>4449310.0972167989</v>
      </c>
      <c r="V99" s="91"/>
      <c r="W99" s="92">
        <f>SUM(W97:W97)</f>
        <v>5959433.0721052876</v>
      </c>
      <c r="X99" s="94"/>
      <c r="Y99" s="95">
        <f>SUM(Y97:Y97)</f>
        <v>6626952.3440297963</v>
      </c>
      <c r="Z99" s="83"/>
      <c r="AA99" s="84">
        <f>SUM(AA97:AA97)</f>
        <v>5572891.6404790105</v>
      </c>
      <c r="AB99" s="94"/>
      <c r="AC99" s="95">
        <f>SUM(AC97:AC97)</f>
        <v>5063646.7722960012</v>
      </c>
      <c r="AD99" s="91"/>
      <c r="AE99" s="92">
        <f>SUM(AE97:AE97)</f>
        <v>6004569.6000000006</v>
      </c>
      <c r="AF99" s="15"/>
      <c r="AG99" s="13">
        <f>ROUND(SUM(AG97:AG97),0)</f>
        <v>6385392</v>
      </c>
      <c r="AH99" s="15"/>
      <c r="AI99" s="13">
        <f>ROUND(SUM(AI97:AI97),0)</f>
        <v>6314048</v>
      </c>
      <c r="AJ99" s="15"/>
      <c r="AK99" s="13">
        <f>ROUND(SUM(AK97:AK97),0)</f>
        <v>6206128</v>
      </c>
      <c r="AL99" s="15"/>
      <c r="AM99" s="13">
        <f>ROUND(SUM(AM97:AM97),0)</f>
        <v>6295424</v>
      </c>
    </row>
    <row r="100" spans="1:39" x14ac:dyDescent="0.2">
      <c r="A100" s="4"/>
      <c r="B100" s="10" t="s">
        <v>11</v>
      </c>
      <c r="C100" s="10"/>
      <c r="D100" s="10"/>
      <c r="E100" s="11">
        <v>0.16</v>
      </c>
      <c r="F100" s="10"/>
      <c r="G100" s="5">
        <f>G99*E100</f>
        <v>1024000</v>
      </c>
      <c r="H100" s="35">
        <v>0.16</v>
      </c>
      <c r="I100" s="34">
        <f>I99*H100</f>
        <v>1280000</v>
      </c>
      <c r="J100" s="28">
        <v>0.16</v>
      </c>
      <c r="K100" s="27">
        <f>K99*J100</f>
        <v>1398528</v>
      </c>
      <c r="L100" s="7">
        <v>0.16</v>
      </c>
      <c r="M100" s="5">
        <f>M99*L100</f>
        <v>998400</v>
      </c>
      <c r="N100" s="39">
        <v>0.16</v>
      </c>
      <c r="O100" s="38">
        <f>O99*N100</f>
        <v>1062400</v>
      </c>
      <c r="P100" s="79">
        <v>0.16</v>
      </c>
      <c r="Q100" s="78">
        <f>Q99*P100</f>
        <v>1010248.2486913836</v>
      </c>
      <c r="R100" s="85">
        <v>0.16</v>
      </c>
      <c r="S100" s="84">
        <f>S99*R100</f>
        <v>1119743.269283589</v>
      </c>
      <c r="T100" s="90">
        <v>0.16</v>
      </c>
      <c r="U100" s="89">
        <f>U99*T100</f>
        <v>711889.6155546878</v>
      </c>
      <c r="V100" s="93">
        <v>0.16</v>
      </c>
      <c r="W100" s="92">
        <f>W99*V100</f>
        <v>953509.29153684608</v>
      </c>
      <c r="X100" s="96">
        <v>0.16</v>
      </c>
      <c r="Y100" s="95">
        <f>Y99*X100</f>
        <v>1060312.3750447675</v>
      </c>
      <c r="Z100" s="85">
        <v>0.16</v>
      </c>
      <c r="AA100" s="84">
        <f>AA99*Z100</f>
        <v>891662.66247664171</v>
      </c>
      <c r="AB100" s="96">
        <v>0.16</v>
      </c>
      <c r="AC100" s="95">
        <f>AC99*AB100</f>
        <v>810183.48356736021</v>
      </c>
      <c r="AD100" s="93">
        <v>0.16</v>
      </c>
      <c r="AE100" s="92">
        <f>AE99*AD100</f>
        <v>960731.13600000006</v>
      </c>
      <c r="AF100" s="16">
        <v>0.16</v>
      </c>
      <c r="AG100" s="13">
        <f>ROUND(AG99*AF100,0)</f>
        <v>1021663</v>
      </c>
      <c r="AH100" s="16">
        <v>0.16</v>
      </c>
      <c r="AI100" s="13">
        <f>ROUND(AI99*AH100,0)</f>
        <v>1010248</v>
      </c>
      <c r="AJ100" s="16">
        <v>0.16</v>
      </c>
      <c r="AK100" s="13">
        <f>ROUND(AK99*AJ100,0)</f>
        <v>992980</v>
      </c>
      <c r="AL100" s="16">
        <v>0.16</v>
      </c>
      <c r="AM100" s="13">
        <f>ROUND(AM99*AL100,0)</f>
        <v>1007268</v>
      </c>
    </row>
    <row r="101" spans="1:39" x14ac:dyDescent="0.2">
      <c r="A101" s="4"/>
      <c r="B101" s="10" t="s">
        <v>31</v>
      </c>
      <c r="C101" s="10"/>
      <c r="D101" s="10"/>
      <c r="E101" s="10"/>
      <c r="F101" s="10"/>
      <c r="G101" s="5">
        <f>SUM(G99:G100)</f>
        <v>7424000</v>
      </c>
      <c r="H101" s="33"/>
      <c r="I101" s="34">
        <f>SUM(I99:I100)</f>
        <v>9280000</v>
      </c>
      <c r="J101" s="26"/>
      <c r="K101" s="27">
        <f>SUM(K99:K100)</f>
        <v>10139328</v>
      </c>
      <c r="L101" s="3"/>
      <c r="M101" s="5">
        <f>SUM(M99:M100)</f>
        <v>7238400</v>
      </c>
      <c r="N101" s="37"/>
      <c r="O101" s="38">
        <f>SUM(O99:O100)</f>
        <v>7702400</v>
      </c>
      <c r="P101" s="77"/>
      <c r="Q101" s="78">
        <f>SUM(Q99:Q100)</f>
        <v>7324299.8030125313</v>
      </c>
      <c r="R101" s="86"/>
      <c r="S101" s="87">
        <f>SUM(S99:S100)</f>
        <v>8118138.7023060201</v>
      </c>
      <c r="T101" s="88"/>
      <c r="U101" s="89">
        <f>SUM(U99:U100)</f>
        <v>5161199.7127714865</v>
      </c>
      <c r="V101" s="92"/>
      <c r="W101" s="92">
        <f>SUM(W99:W100)</f>
        <v>6912942.3636421338</v>
      </c>
      <c r="X101" s="94"/>
      <c r="Y101" s="95">
        <f>SUM(Y99:Y100)</f>
        <v>7687264.7190745641</v>
      </c>
      <c r="Z101" s="84"/>
      <c r="AA101" s="84">
        <f>SUM(AA99:AA100)</f>
        <v>6464554.3029556526</v>
      </c>
      <c r="AB101" s="94"/>
      <c r="AC101" s="95">
        <f>SUM(AC99:AC100)</f>
        <v>5873830.2558633611</v>
      </c>
      <c r="AD101" s="91"/>
      <c r="AE101" s="92">
        <f>SUM(AE99:AE100)</f>
        <v>6965300.7360000005</v>
      </c>
      <c r="AF101" s="15"/>
      <c r="AG101" s="13">
        <f>SUM(AG99:AG100)</f>
        <v>7407055</v>
      </c>
      <c r="AH101" s="15"/>
      <c r="AI101" s="13">
        <f>SUM(AI99:AI100)</f>
        <v>7324296</v>
      </c>
      <c r="AJ101" s="15"/>
      <c r="AK101" s="13">
        <f>SUM(AK99:AK100)</f>
        <v>7199108</v>
      </c>
      <c r="AL101" s="15"/>
      <c r="AM101" s="13">
        <f>SUM(AM99:AM100)</f>
        <v>7302692</v>
      </c>
    </row>
    <row r="104" spans="1:39" ht="26.25" x14ac:dyDescent="0.2">
      <c r="A104" s="317" t="str">
        <f>UPPER("OBJETO:CONTRATAR EL MANTENIMIENTO DE ZONAS DE SEGURIDAD Y CANALES DEL AEROPUERTO ALI PIEDRAHITA DE URRAO - ANTIOQUIA")</f>
        <v>OBJETO:CONTRATAR EL MANTENIMIENTO DE ZONAS DE SEGURIDAD Y CANALES DEL AEROPUERTO ALI PIEDRAHITA DE URRAO - ANTIOQUIA</v>
      </c>
      <c r="B104" s="317"/>
      <c r="C104" s="317"/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7"/>
      <c r="S104" s="317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7"/>
      <c r="AD104" s="100"/>
      <c r="AE104" s="100"/>
    </row>
    <row r="105" spans="1:39" ht="21" x14ac:dyDescent="0.2">
      <c r="A105" s="318" t="s">
        <v>9</v>
      </c>
      <c r="B105" s="318"/>
      <c r="C105" s="318"/>
      <c r="D105" s="318"/>
      <c r="E105" s="318"/>
      <c r="F105" s="318"/>
      <c r="G105" s="318"/>
      <c r="H105" s="318"/>
      <c r="I105" s="318"/>
      <c r="J105" s="318"/>
      <c r="K105" s="318"/>
      <c r="L105" s="318"/>
      <c r="M105" s="318"/>
      <c r="N105" s="318"/>
      <c r="O105" s="318"/>
      <c r="P105" s="318"/>
      <c r="Q105" s="318"/>
      <c r="R105" s="318"/>
      <c r="S105" s="318"/>
      <c r="T105" s="318"/>
      <c r="U105" s="318"/>
      <c r="V105" s="318"/>
      <c r="W105" s="318"/>
      <c r="X105" s="318"/>
      <c r="Y105" s="318"/>
      <c r="Z105" s="318"/>
      <c r="AA105" s="318"/>
      <c r="AB105" s="318"/>
      <c r="AC105" s="318"/>
      <c r="AD105" s="101"/>
      <c r="AE105" s="101"/>
    </row>
    <row r="106" spans="1:39" ht="126.75" customHeight="1" x14ac:dyDescent="0.2">
      <c r="B106" s="12" t="s">
        <v>87</v>
      </c>
      <c r="F106" s="303" t="s">
        <v>40</v>
      </c>
      <c r="G106" s="304"/>
      <c r="H106" s="303" t="s">
        <v>41</v>
      </c>
      <c r="I106" s="304"/>
      <c r="J106" s="305" t="s">
        <v>42</v>
      </c>
      <c r="K106" s="306"/>
      <c r="L106" s="303" t="s">
        <v>43</v>
      </c>
      <c r="M106" s="304"/>
      <c r="N106" s="303" t="s">
        <v>22</v>
      </c>
      <c r="O106" s="304"/>
      <c r="P106" s="311" t="s">
        <v>96</v>
      </c>
      <c r="Q106" s="312"/>
      <c r="R106" s="290" t="s">
        <v>97</v>
      </c>
      <c r="S106" s="291"/>
      <c r="T106" s="286" t="s">
        <v>98</v>
      </c>
      <c r="U106" s="287"/>
      <c r="V106" s="288" t="s">
        <v>99</v>
      </c>
      <c r="W106" s="289"/>
      <c r="X106" s="290" t="s">
        <v>100</v>
      </c>
      <c r="Y106" s="291"/>
      <c r="Z106" s="292" t="s">
        <v>101</v>
      </c>
      <c r="AA106" s="293"/>
      <c r="AB106" s="294" t="s">
        <v>102</v>
      </c>
      <c r="AC106" s="295"/>
      <c r="AD106" s="309" t="s">
        <v>94</v>
      </c>
      <c r="AE106" s="310"/>
      <c r="AF106" s="313" t="s">
        <v>12</v>
      </c>
      <c r="AG106" s="314"/>
      <c r="AH106" s="313" t="s">
        <v>16</v>
      </c>
      <c r="AI106" s="314"/>
      <c r="AJ106" s="313" t="s">
        <v>19</v>
      </c>
      <c r="AK106" s="314"/>
      <c r="AL106" s="313" t="s">
        <v>20</v>
      </c>
      <c r="AM106" s="314"/>
    </row>
    <row r="107" spans="1:39" ht="24" x14ac:dyDescent="0.2">
      <c r="A107" s="56" t="s">
        <v>8</v>
      </c>
      <c r="B107" s="56" t="s">
        <v>7</v>
      </c>
      <c r="C107" s="56" t="s">
        <v>6</v>
      </c>
      <c r="D107" s="56" t="s">
        <v>5</v>
      </c>
      <c r="E107" s="72" t="s">
        <v>3</v>
      </c>
      <c r="F107" s="57" t="s">
        <v>4</v>
      </c>
      <c r="G107" s="56" t="s">
        <v>0</v>
      </c>
      <c r="H107" s="58" t="s">
        <v>4</v>
      </c>
      <c r="I107" s="59" t="s">
        <v>0</v>
      </c>
      <c r="J107" s="60" t="s">
        <v>4</v>
      </c>
      <c r="K107" s="61" t="s">
        <v>0</v>
      </c>
      <c r="L107" s="57" t="s">
        <v>4</v>
      </c>
      <c r="M107" s="56" t="s">
        <v>0</v>
      </c>
      <c r="N107" s="62" t="s">
        <v>4</v>
      </c>
      <c r="O107" s="63" t="s">
        <v>0</v>
      </c>
      <c r="P107" s="64" t="s">
        <v>4</v>
      </c>
      <c r="Q107" s="65" t="s">
        <v>0</v>
      </c>
      <c r="R107" s="66" t="s">
        <v>4</v>
      </c>
      <c r="S107" s="67" t="s">
        <v>0</v>
      </c>
      <c r="T107" s="68" t="s">
        <v>4</v>
      </c>
      <c r="U107" s="69" t="s">
        <v>0</v>
      </c>
      <c r="V107" s="60" t="s">
        <v>4</v>
      </c>
      <c r="W107" s="61" t="s">
        <v>0</v>
      </c>
      <c r="X107" s="66" t="s">
        <v>4</v>
      </c>
      <c r="Y107" s="67" t="s">
        <v>0</v>
      </c>
      <c r="Z107" s="58" t="s">
        <v>4</v>
      </c>
      <c r="AA107" s="59" t="s">
        <v>0</v>
      </c>
      <c r="AB107" s="60" t="s">
        <v>4</v>
      </c>
      <c r="AC107" s="61" t="s">
        <v>0</v>
      </c>
      <c r="AD107" s="68" t="s">
        <v>4</v>
      </c>
      <c r="AE107" s="69" t="s">
        <v>0</v>
      </c>
      <c r="AF107" s="57" t="s">
        <v>4</v>
      </c>
      <c r="AG107" s="56" t="s">
        <v>0</v>
      </c>
      <c r="AH107" s="57" t="s">
        <v>4</v>
      </c>
      <c r="AI107" s="56" t="s">
        <v>0</v>
      </c>
      <c r="AJ107" s="57" t="s">
        <v>4</v>
      </c>
      <c r="AK107" s="56" t="s">
        <v>0</v>
      </c>
      <c r="AL107" s="57" t="s">
        <v>4</v>
      </c>
      <c r="AM107" s="56" t="s">
        <v>0</v>
      </c>
    </row>
    <row r="108" spans="1:39" ht="63.75" x14ac:dyDescent="0.2">
      <c r="A108" s="130">
        <v>7</v>
      </c>
      <c r="B108" s="102" t="s">
        <v>13</v>
      </c>
      <c r="C108" s="125" t="s">
        <v>1</v>
      </c>
      <c r="D108" s="131">
        <v>23</v>
      </c>
      <c r="E108" s="125">
        <v>1</v>
      </c>
      <c r="F108" s="20">
        <v>400000</v>
      </c>
      <c r="G108" s="20">
        <f>D108*E108*F108</f>
        <v>9200000</v>
      </c>
      <c r="H108" s="20">
        <v>500000</v>
      </c>
      <c r="I108" s="20">
        <f>D108*E108*H108</f>
        <v>11500000</v>
      </c>
      <c r="J108" s="20">
        <v>546300</v>
      </c>
      <c r="K108" s="20">
        <f>D108*E108*J108</f>
        <v>12564900</v>
      </c>
      <c r="L108" s="20">
        <v>390000</v>
      </c>
      <c r="M108" s="20">
        <f>D108*E108*L108</f>
        <v>8970000</v>
      </c>
      <c r="N108" s="20">
        <v>415000</v>
      </c>
      <c r="O108" s="20">
        <f>D108*E108*N108</f>
        <v>9545000</v>
      </c>
      <c r="P108" s="54">
        <f>302887*1.0317*1.0373*1.0244*1.0194*1.0366*1.0677*1.0575</f>
        <v>396180.83633030939</v>
      </c>
      <c r="Q108" s="54">
        <f>D108*E108*P108</f>
        <v>9112159.2355971169</v>
      </c>
      <c r="R108" s="55">
        <f>299551*1.0373*1.0244*1.0194*1.0366*1.0677*1.0575</f>
        <v>379778.32434009091</v>
      </c>
      <c r="S108" s="97">
        <f>D108*E108*R108</f>
        <v>8734901.4598220903</v>
      </c>
      <c r="T108" s="29">
        <f>250000*1.0244*1.0194*1.0366*1.0677*1.0575</f>
        <v>305558.96548865148</v>
      </c>
      <c r="U108" s="98">
        <f>D108*E108*T108</f>
        <v>7027856.2062389841</v>
      </c>
      <c r="V108" s="24">
        <f>234744*1.0194*1.0366*1.0677*1.0575</f>
        <v>280078.61692568526</v>
      </c>
      <c r="W108" s="23">
        <f>D108*E108*V108</f>
        <v>6441808.189290761</v>
      </c>
      <c r="X108" s="55">
        <f>251486*1.0194*1.0366*1.0677*1.0575</f>
        <v>300053.89299054671</v>
      </c>
      <c r="Y108" s="97">
        <f>D108*E108*X108</f>
        <v>6901239.5387825742</v>
      </c>
      <c r="Z108" s="31">
        <f>251449*1.0366*1.0677*1.0575</f>
        <v>294300.32118469791</v>
      </c>
      <c r="AA108" s="30">
        <f>D108*E108*Z108</f>
        <v>6768907.3872480523</v>
      </c>
      <c r="AB108" s="24">
        <f>265726*1.0677*1.0575</f>
        <v>300029.30008650006</v>
      </c>
      <c r="AC108" s="23">
        <f>D108*E108*AB108</f>
        <v>6900673.9019895019</v>
      </c>
      <c r="AD108" s="29">
        <f>303889*1.0575</f>
        <v>321362.61750000005</v>
      </c>
      <c r="AE108" s="98">
        <f>ROUND((D108*E108*AD108),0)</f>
        <v>7391340</v>
      </c>
      <c r="AF108" s="17">
        <f>ROUND((AVERAGE(F108,H108,J108,L108,N108,P108,R108,T108,V108,X108,Z108,AB108,AD108)),0)</f>
        <v>371434</v>
      </c>
      <c r="AG108" s="17">
        <f>ROUND((D108*E108*AF108),0)</f>
        <v>8542982</v>
      </c>
      <c r="AH108" s="17">
        <f>ROUND((MEDIAN(F108,H108,J108,L108,N108,P108,R108,T108,V108,X108,Z108,AB108,AD108)),0)</f>
        <v>379778</v>
      </c>
      <c r="AI108" s="17">
        <f>ROUND((D108*E108*AH108),0)</f>
        <v>8734894</v>
      </c>
      <c r="AJ108" s="17">
        <f>ROUND((HARMEAN(F108,H108,J108,L108,N108,P108,R108,T108,V108,X108,Z108,AB108,AD108)),0)</f>
        <v>356360</v>
      </c>
      <c r="AK108" s="17">
        <f>ROUND((D108*E108*AJ108),0)</f>
        <v>8196280</v>
      </c>
      <c r="AL108" s="17">
        <f>ROUND((GEOMEAN(F108,H108,J108,L108,N108,P108,R108,T108,V108,X108,Z108,AB108,AD108)),0)</f>
        <v>363562</v>
      </c>
      <c r="AM108" s="17">
        <f>ROUND((D108*E108*AL108),0)</f>
        <v>8361926</v>
      </c>
    </row>
    <row r="109" spans="1:39" x14ac:dyDescent="0.2">
      <c r="A109" s="4"/>
      <c r="B109" s="70"/>
      <c r="C109" s="42"/>
      <c r="D109" s="71"/>
      <c r="E109" s="3"/>
      <c r="F109" s="20"/>
      <c r="G109" s="20"/>
      <c r="H109" s="30"/>
      <c r="I109" s="30"/>
      <c r="J109" s="23"/>
      <c r="K109" s="23"/>
      <c r="L109" s="20"/>
      <c r="M109" s="20"/>
      <c r="N109" s="36"/>
      <c r="O109" s="36"/>
      <c r="P109" s="54"/>
      <c r="Q109" s="54"/>
      <c r="R109" s="55"/>
      <c r="S109" s="55"/>
      <c r="T109" s="29"/>
      <c r="U109" s="29"/>
      <c r="V109" s="24"/>
      <c r="W109" s="24"/>
      <c r="X109" s="24"/>
      <c r="Y109" s="24"/>
      <c r="Z109" s="24"/>
      <c r="AA109" s="24"/>
      <c r="AB109" s="44"/>
      <c r="AC109" s="44"/>
      <c r="AD109" s="44"/>
      <c r="AE109" s="44"/>
      <c r="AF109" s="44"/>
      <c r="AG109" s="44"/>
      <c r="AH109" s="17"/>
      <c r="AI109" s="44"/>
      <c r="AJ109" s="44"/>
      <c r="AK109" s="44"/>
      <c r="AL109" s="44"/>
      <c r="AM109" s="44"/>
    </row>
    <row r="110" spans="1:39" x14ac:dyDescent="0.2">
      <c r="A110" s="4"/>
      <c r="B110" s="10" t="s">
        <v>10</v>
      </c>
      <c r="C110" s="10"/>
      <c r="D110" s="10"/>
      <c r="E110" s="10"/>
      <c r="F110" s="45"/>
      <c r="G110" s="46">
        <f>SUM(G108:G108)</f>
        <v>9200000</v>
      </c>
      <c r="H110" s="47"/>
      <c r="I110" s="46">
        <f>SUM(I108:I108)</f>
        <v>11500000</v>
      </c>
      <c r="J110" s="47"/>
      <c r="K110" s="46">
        <f>SUM(K108:K108)</f>
        <v>12564900</v>
      </c>
      <c r="L110" s="47"/>
      <c r="M110" s="46">
        <f>SUM(M108:M108)</f>
        <v>8970000</v>
      </c>
      <c r="N110" s="47"/>
      <c r="O110" s="46">
        <f>SUM(O108:O108)</f>
        <v>9545000</v>
      </c>
      <c r="P110" s="80"/>
      <c r="Q110" s="81">
        <f>SUM(Q108:Q108)</f>
        <v>9112159.2355971169</v>
      </c>
      <c r="R110" s="80"/>
      <c r="S110" s="81">
        <f>SUM(S108:S108)</f>
        <v>8734901.4598220903</v>
      </c>
      <c r="T110" s="80"/>
      <c r="U110" s="81">
        <f>SUM(U108:U108)</f>
        <v>7027856.2062389841</v>
      </c>
      <c r="V110" s="80"/>
      <c r="W110" s="81">
        <f>SUM(W108:W108)</f>
        <v>6441808.189290761</v>
      </c>
      <c r="X110" s="47"/>
      <c r="Y110" s="46">
        <f>SUM(Y108:Y108)</f>
        <v>6901239.5387825742</v>
      </c>
      <c r="Z110" s="80"/>
      <c r="AA110" s="81">
        <f>SUM(AA108:AA108)</f>
        <v>6768907.3872480523</v>
      </c>
      <c r="AB110" s="48"/>
      <c r="AC110" s="74">
        <f>SUM(AC108:AC108)</f>
        <v>6900673.9019895019</v>
      </c>
      <c r="AD110" s="48"/>
      <c r="AE110" s="74">
        <f>SUM(AE108:AE108)</f>
        <v>7391340</v>
      </c>
      <c r="AF110" s="48"/>
      <c r="AG110" s="74">
        <f>SUM(AG108:AG108)</f>
        <v>8542982</v>
      </c>
      <c r="AH110" s="76"/>
      <c r="AI110" s="74">
        <f>SUM(AI108:AI108)</f>
        <v>8734894</v>
      </c>
      <c r="AJ110" s="76"/>
      <c r="AK110" s="74">
        <f>SUM(AK108:AK108)</f>
        <v>8196280</v>
      </c>
      <c r="AL110" s="76"/>
      <c r="AM110" s="74">
        <f>SUM(AM108:AM108)</f>
        <v>8361926</v>
      </c>
    </row>
    <row r="111" spans="1:39" x14ac:dyDescent="0.2">
      <c r="A111" s="4"/>
      <c r="B111" s="10" t="s">
        <v>11</v>
      </c>
      <c r="C111" s="10"/>
      <c r="D111" s="10"/>
      <c r="E111" s="11"/>
      <c r="F111" s="11">
        <v>0.16</v>
      </c>
      <c r="G111" s="46">
        <f>G110*F111</f>
        <v>1472000</v>
      </c>
      <c r="H111" s="49">
        <v>0.16</v>
      </c>
      <c r="I111" s="46">
        <f>I110*H111</f>
        <v>1840000</v>
      </c>
      <c r="J111" s="49">
        <v>0.16</v>
      </c>
      <c r="K111" s="46">
        <f>K110*J111</f>
        <v>2010384</v>
      </c>
      <c r="L111" s="49">
        <v>0.16</v>
      </c>
      <c r="M111" s="46">
        <f>M110*L111</f>
        <v>1435200</v>
      </c>
      <c r="N111" s="49">
        <v>0.16</v>
      </c>
      <c r="O111" s="46">
        <f>O110*N111</f>
        <v>1527200</v>
      </c>
      <c r="P111" s="82">
        <v>0.16</v>
      </c>
      <c r="Q111" s="81">
        <f>Q110*P111</f>
        <v>1457945.4776955387</v>
      </c>
      <c r="R111" s="82">
        <v>0.16</v>
      </c>
      <c r="S111" s="81">
        <f>S110*R111</f>
        <v>1397584.2335715345</v>
      </c>
      <c r="T111" s="82">
        <v>0.16</v>
      </c>
      <c r="U111" s="81">
        <f>U110*T111</f>
        <v>1124456.9929982375</v>
      </c>
      <c r="V111" s="82">
        <v>0.16</v>
      </c>
      <c r="W111" s="81">
        <f>W110*V111</f>
        <v>1030689.3102865218</v>
      </c>
      <c r="X111" s="49">
        <v>0.16</v>
      </c>
      <c r="Y111" s="46">
        <f>Y110*X111</f>
        <v>1104198.3262052119</v>
      </c>
      <c r="Z111" s="82">
        <v>0.16</v>
      </c>
      <c r="AA111" s="81">
        <f>AA110*Z111</f>
        <v>1083025.1819596884</v>
      </c>
      <c r="AB111" s="50">
        <v>0.16</v>
      </c>
      <c r="AC111" s="74">
        <f>ROUND(AC110*AB111,0)</f>
        <v>1104108</v>
      </c>
      <c r="AD111" s="50">
        <v>0.16</v>
      </c>
      <c r="AE111" s="74">
        <f>ROUND(AE110*AD111,0)</f>
        <v>1182614</v>
      </c>
      <c r="AF111" s="50">
        <v>0.16</v>
      </c>
      <c r="AG111" s="74">
        <f>ROUND(AG110*AF111,0)</f>
        <v>1366877</v>
      </c>
      <c r="AH111" s="75">
        <v>0.16</v>
      </c>
      <c r="AI111" s="74">
        <f>ROUND(AI110*AH111,0)</f>
        <v>1397583</v>
      </c>
      <c r="AJ111" s="75">
        <v>0.16</v>
      </c>
      <c r="AK111" s="74">
        <f>ROUND(AK110*AJ111,0)</f>
        <v>1311405</v>
      </c>
      <c r="AL111" s="75">
        <v>0.16</v>
      </c>
      <c r="AM111" s="74">
        <f>ROUND(AM110*AL111,0)</f>
        <v>1337908</v>
      </c>
    </row>
    <row r="112" spans="1:39" x14ac:dyDescent="0.2">
      <c r="A112" s="4"/>
      <c r="B112" s="10" t="s">
        <v>30</v>
      </c>
      <c r="C112" s="10"/>
      <c r="D112" s="10"/>
      <c r="E112" s="10"/>
      <c r="F112" s="45"/>
      <c r="G112" s="46">
        <f>SUM(G110:G111)</f>
        <v>10672000</v>
      </c>
      <c r="H112" s="47"/>
      <c r="I112" s="46">
        <f>SUM(I110:I111)</f>
        <v>13340000</v>
      </c>
      <c r="J112" s="47"/>
      <c r="K112" s="46">
        <f>SUM(K110:K111)</f>
        <v>14575284</v>
      </c>
      <c r="L112" s="47"/>
      <c r="M112" s="46">
        <f>SUM(M110:M111)</f>
        <v>10405200</v>
      </c>
      <c r="N112" s="47"/>
      <c r="O112" s="46">
        <f>SUM(O110:O111)</f>
        <v>11072200</v>
      </c>
      <c r="P112" s="80"/>
      <c r="Q112" s="81">
        <f>SUM(Q110:Q111)</f>
        <v>10570104.713292655</v>
      </c>
      <c r="R112" s="80"/>
      <c r="S112" s="81">
        <f>SUM(S110:S111)</f>
        <v>10132485.693393625</v>
      </c>
      <c r="T112" s="80"/>
      <c r="U112" s="81">
        <f>SUM(U110:U111)</f>
        <v>8152313.1992372219</v>
      </c>
      <c r="V112" s="81"/>
      <c r="W112" s="81">
        <f>SUM(W110:W111)</f>
        <v>7472497.4995772829</v>
      </c>
      <c r="X112" s="46"/>
      <c r="Y112" s="46">
        <f>SUM(Y110:Y111)</f>
        <v>8005437.8649877859</v>
      </c>
      <c r="Z112" s="81"/>
      <c r="AA112" s="81">
        <f>SUM(AA110:AA111)</f>
        <v>7851932.5692077409</v>
      </c>
      <c r="AB112" s="48"/>
      <c r="AC112" s="74">
        <f>SUM(AC110:AC111)</f>
        <v>8004781.9019895019</v>
      </c>
      <c r="AD112" s="48"/>
      <c r="AE112" s="74">
        <f>SUM(AE110:AE111)</f>
        <v>8573954</v>
      </c>
      <c r="AF112" s="48"/>
      <c r="AG112" s="74">
        <f>SUM(AG110:AG111)</f>
        <v>9909859</v>
      </c>
      <c r="AH112" s="74"/>
      <c r="AI112" s="74">
        <f>SUM(AI110:AI111)</f>
        <v>10132477</v>
      </c>
      <c r="AJ112" s="76"/>
      <c r="AK112" s="74">
        <f>SUM(AK110:AK111)</f>
        <v>9507685</v>
      </c>
      <c r="AL112" s="76"/>
      <c r="AM112" s="74">
        <f>SUM(AM110:AM111)</f>
        <v>9699834</v>
      </c>
    </row>
    <row r="117" spans="2:39" ht="28.5" x14ac:dyDescent="0.2">
      <c r="B117" s="133" t="s">
        <v>0</v>
      </c>
      <c r="AG117" s="2">
        <f>AG112+AG101+AE90+AG79+AE67+AE57+AE44+AG33+AE19+AG10</f>
        <v>88919040</v>
      </c>
      <c r="AI117" s="2">
        <f>AI112+AI101+AG90+AI79+AG67+AG57+AG44+AI33+AG19+AI10</f>
        <v>87547140</v>
      </c>
      <c r="AK117" s="2">
        <f>AK112+AK101+AI90+AK79+AI67+AI57+AI44+AK33+AI19+AK10</f>
        <v>85455646</v>
      </c>
      <c r="AM117" s="2">
        <f>AM112+AM101+AK90+AM79+AK67+AK57+AK44+AM33+AK19+AM10</f>
        <v>87020977</v>
      </c>
    </row>
    <row r="121" spans="2:39" x14ac:dyDescent="0.2">
      <c r="AJ121" s="73"/>
    </row>
  </sheetData>
  <mergeCells count="186">
    <mergeCell ref="AJ106:AK106"/>
    <mergeCell ref="AL106:AM106"/>
    <mergeCell ref="X106:Y106"/>
    <mergeCell ref="Z106:AA106"/>
    <mergeCell ref="AB106:AC106"/>
    <mergeCell ref="AD106:AE106"/>
    <mergeCell ref="AF106:AG106"/>
    <mergeCell ref="AH106:AI106"/>
    <mergeCell ref="A105:AC105"/>
    <mergeCell ref="F106:G106"/>
    <mergeCell ref="H106:I106"/>
    <mergeCell ref="J106:K106"/>
    <mergeCell ref="L106:M106"/>
    <mergeCell ref="N106:O106"/>
    <mergeCell ref="P106:Q106"/>
    <mergeCell ref="R106:S106"/>
    <mergeCell ref="T106:U106"/>
    <mergeCell ref="V106:W106"/>
    <mergeCell ref="AH95:AI95"/>
    <mergeCell ref="AJ95:AK95"/>
    <mergeCell ref="AL95:AM95"/>
    <mergeCell ref="A104:AC104"/>
    <mergeCell ref="R95:S95"/>
    <mergeCell ref="T95:U95"/>
    <mergeCell ref="V95:W95"/>
    <mergeCell ref="X95:Y95"/>
    <mergeCell ref="N95:O95"/>
    <mergeCell ref="P95:Q95"/>
    <mergeCell ref="F95:G95"/>
    <mergeCell ref="H95:I95"/>
    <mergeCell ref="J95:K95"/>
    <mergeCell ref="L95:M95"/>
    <mergeCell ref="AD95:AE95"/>
    <mergeCell ref="AF95:AG95"/>
    <mergeCell ref="Z95:AA95"/>
    <mergeCell ref="AB95:AC95"/>
    <mergeCell ref="A93:AG93"/>
    <mergeCell ref="A94:AG94"/>
    <mergeCell ref="AD84:AE84"/>
    <mergeCell ref="AF84:AG84"/>
    <mergeCell ref="J84:K84"/>
    <mergeCell ref="L84:M84"/>
    <mergeCell ref="N84:O84"/>
    <mergeCell ref="P84:Q84"/>
    <mergeCell ref="R84:S84"/>
    <mergeCell ref="T84:U84"/>
    <mergeCell ref="V84:W84"/>
    <mergeCell ref="X84:Y84"/>
    <mergeCell ref="Z84:AA84"/>
    <mergeCell ref="AB84:AC84"/>
    <mergeCell ref="A82:AC82"/>
    <mergeCell ref="A83:AC83"/>
    <mergeCell ref="F84:G84"/>
    <mergeCell ref="H84:I84"/>
    <mergeCell ref="AH84:AI84"/>
    <mergeCell ref="AJ72:AK72"/>
    <mergeCell ref="AL72:AM72"/>
    <mergeCell ref="P72:Q72"/>
    <mergeCell ref="R72:S72"/>
    <mergeCell ref="T72:U72"/>
    <mergeCell ref="V72:W72"/>
    <mergeCell ref="X72:Y72"/>
    <mergeCell ref="Z72:AA72"/>
    <mergeCell ref="AB72:AC72"/>
    <mergeCell ref="AD72:AE72"/>
    <mergeCell ref="AF72:AG72"/>
    <mergeCell ref="AH72:AI72"/>
    <mergeCell ref="AJ84:AK84"/>
    <mergeCell ref="A70:AG70"/>
    <mergeCell ref="A71:AG71"/>
    <mergeCell ref="F72:G72"/>
    <mergeCell ref="H72:I72"/>
    <mergeCell ref="J72:K72"/>
    <mergeCell ref="L72:M72"/>
    <mergeCell ref="N72:O72"/>
    <mergeCell ref="T61:U61"/>
    <mergeCell ref="V61:W61"/>
    <mergeCell ref="X61:Y61"/>
    <mergeCell ref="Z61:AA61"/>
    <mergeCell ref="P61:Q61"/>
    <mergeCell ref="R61:S61"/>
    <mergeCell ref="AB61:AC61"/>
    <mergeCell ref="AD61:AE61"/>
    <mergeCell ref="AF61:AG61"/>
    <mergeCell ref="AH61:AI61"/>
    <mergeCell ref="AJ61:AK61"/>
    <mergeCell ref="F50:G50"/>
    <mergeCell ref="H50:I50"/>
    <mergeCell ref="J50:K50"/>
    <mergeCell ref="L50:M50"/>
    <mergeCell ref="N50:O50"/>
    <mergeCell ref="P50:Q50"/>
    <mergeCell ref="R50:S50"/>
    <mergeCell ref="A59:AE59"/>
    <mergeCell ref="A60:AC60"/>
    <mergeCell ref="F61:G61"/>
    <mergeCell ref="H61:I61"/>
    <mergeCell ref="J61:K61"/>
    <mergeCell ref="L61:M61"/>
    <mergeCell ref="N61:O61"/>
    <mergeCell ref="X50:Y50"/>
    <mergeCell ref="Z50:AA50"/>
    <mergeCell ref="AB50:AC50"/>
    <mergeCell ref="AD50:AE50"/>
    <mergeCell ref="T50:U50"/>
    <mergeCell ref="V50:W50"/>
    <mergeCell ref="AJ50:AK50"/>
    <mergeCell ref="AF50:AG50"/>
    <mergeCell ref="AH50:AI50"/>
    <mergeCell ref="A37:AC37"/>
    <mergeCell ref="F38:G38"/>
    <mergeCell ref="H38:I38"/>
    <mergeCell ref="J38:K38"/>
    <mergeCell ref="AB38:AC38"/>
    <mergeCell ref="AD38:AE38"/>
    <mergeCell ref="X38:Y38"/>
    <mergeCell ref="Z38:AA38"/>
    <mergeCell ref="A48:AG48"/>
    <mergeCell ref="P38:Q38"/>
    <mergeCell ref="R38:S38"/>
    <mergeCell ref="T38:U38"/>
    <mergeCell ref="V38:W38"/>
    <mergeCell ref="L38:M38"/>
    <mergeCell ref="N38:O38"/>
    <mergeCell ref="A49:AG49"/>
    <mergeCell ref="AF38:AG38"/>
    <mergeCell ref="AH38:AI38"/>
    <mergeCell ref="AL26:AM26"/>
    <mergeCell ref="A36:AC36"/>
    <mergeCell ref="AD26:AE26"/>
    <mergeCell ref="AF26:AG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J38:AK38"/>
    <mergeCell ref="A24:AG24"/>
    <mergeCell ref="A25:AG25"/>
    <mergeCell ref="F26:G26"/>
    <mergeCell ref="H26:I26"/>
    <mergeCell ref="AJ26:AK26"/>
    <mergeCell ref="AF22:AG22"/>
    <mergeCell ref="P13:Q13"/>
    <mergeCell ref="R13:S13"/>
    <mergeCell ref="T13:U13"/>
    <mergeCell ref="V13:W13"/>
    <mergeCell ref="X13:Y13"/>
    <mergeCell ref="Z13:AA13"/>
    <mergeCell ref="AD13:AE13"/>
    <mergeCell ref="AF13:AG13"/>
    <mergeCell ref="AH26:AI26"/>
    <mergeCell ref="AJ3:AK3"/>
    <mergeCell ref="AL3:AM3"/>
    <mergeCell ref="A11:AC11"/>
    <mergeCell ref="A12:AC12"/>
    <mergeCell ref="F13:G13"/>
    <mergeCell ref="H13:I13"/>
    <mergeCell ref="J13:K13"/>
    <mergeCell ref="L13:M13"/>
    <mergeCell ref="N13:O13"/>
    <mergeCell ref="V3:W3"/>
    <mergeCell ref="X3:Y3"/>
    <mergeCell ref="Z3:AA3"/>
    <mergeCell ref="AB3:AC3"/>
    <mergeCell ref="R3:S3"/>
    <mergeCell ref="T3:U3"/>
    <mergeCell ref="AB13:AC13"/>
    <mergeCell ref="AD3:AE3"/>
    <mergeCell ref="AF3:AG3"/>
    <mergeCell ref="AJ13:AK13"/>
    <mergeCell ref="AH13:AI13"/>
    <mergeCell ref="A1:AG1"/>
    <mergeCell ref="A2:AG2"/>
    <mergeCell ref="F3:G3"/>
    <mergeCell ref="H3:I3"/>
    <mergeCell ref="J3:K3"/>
    <mergeCell ref="L3:M3"/>
    <mergeCell ref="N3:O3"/>
    <mergeCell ref="P3:Q3"/>
    <mergeCell ref="AH3:AI3"/>
  </mergeCells>
  <pageMargins left="0.11811023622047245" right="0.11811023622047245" top="0.23622047244094491" bottom="0.23622047244094491" header="0.15748031496062992" footer="0.15748031496062992"/>
  <pageSetup scale="27" fitToHeight="0" orientation="landscape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3"/>
  </sheetPr>
  <dimension ref="A1:M33"/>
  <sheetViews>
    <sheetView showGridLines="0" zoomScale="60" zoomScaleNormal="60" workbookViewId="0">
      <selection activeCell="F22" sqref="F22"/>
    </sheetView>
  </sheetViews>
  <sheetFormatPr baseColWidth="10" defaultColWidth="11.42578125" defaultRowHeight="15" x14ac:dyDescent="0.2"/>
  <cols>
    <col min="1" max="1" width="8.7109375" style="8" customWidth="1"/>
    <col min="2" max="2" width="49.42578125" style="1" customWidth="1"/>
    <col min="3" max="3" width="4.85546875" style="1" customWidth="1"/>
    <col min="4" max="4" width="14.42578125" style="1" customWidth="1"/>
    <col min="5" max="5" width="5.42578125" style="1" customWidth="1"/>
    <col min="6" max="6" width="11.7109375" style="1" customWidth="1"/>
    <col min="7" max="7" width="18.42578125" style="1" customWidth="1"/>
    <col min="8" max="8" width="11.7109375" style="1" customWidth="1"/>
    <col min="9" max="9" width="18.42578125" style="1" customWidth="1"/>
    <col min="10" max="10" width="13.42578125" style="1" customWidth="1"/>
    <col min="11" max="11" width="18.42578125" style="1" customWidth="1"/>
    <col min="12" max="12" width="11.42578125" style="1" customWidth="1"/>
    <col min="13" max="13" width="18.42578125" style="1" customWidth="1"/>
    <col min="14" max="16384" width="11.42578125" style="1"/>
  </cols>
  <sheetData>
    <row r="1" spans="1:13" ht="70.5" customHeight="1" x14ac:dyDescent="0.2">
      <c r="A1" s="317" t="s">
        <v>108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13" ht="23.25" customHeight="1" x14ac:dyDescent="0.2">
      <c r="A2" s="318" t="s">
        <v>9</v>
      </c>
      <c r="B2" s="318"/>
      <c r="C2" s="318"/>
      <c r="D2" s="318"/>
      <c r="E2" s="318"/>
      <c r="F2" s="318"/>
      <c r="G2" s="318"/>
      <c r="H2" s="318"/>
      <c r="I2" s="318"/>
    </row>
    <row r="3" spans="1:13" ht="166.5" customHeight="1" x14ac:dyDescent="0.2">
      <c r="B3" s="12" t="s">
        <v>109</v>
      </c>
      <c r="F3" s="313" t="s">
        <v>12</v>
      </c>
      <c r="G3" s="314"/>
      <c r="H3" s="313" t="s">
        <v>16</v>
      </c>
      <c r="I3" s="314"/>
      <c r="J3" s="313" t="s">
        <v>17</v>
      </c>
      <c r="K3" s="314"/>
      <c r="L3" s="296" t="s">
        <v>18</v>
      </c>
      <c r="M3" s="297"/>
    </row>
    <row r="4" spans="1:13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7" t="s">
        <v>4</v>
      </c>
      <c r="I4" s="56" t="s">
        <v>0</v>
      </c>
      <c r="J4" s="57" t="s">
        <v>4</v>
      </c>
      <c r="K4" s="56" t="s">
        <v>0</v>
      </c>
      <c r="L4" s="57" t="s">
        <v>4</v>
      </c>
      <c r="M4" s="56" t="s">
        <v>0</v>
      </c>
    </row>
    <row r="5" spans="1:13" ht="36.75" customHeight="1" x14ac:dyDescent="0.2">
      <c r="A5" s="139"/>
      <c r="B5" s="136" t="s">
        <v>103</v>
      </c>
      <c r="C5" s="134"/>
      <c r="D5" s="134"/>
      <c r="E5" s="134"/>
      <c r="F5" s="135"/>
      <c r="G5" s="134"/>
      <c r="H5" s="135"/>
      <c r="I5" s="134"/>
      <c r="J5" s="135"/>
      <c r="K5" s="134"/>
      <c r="L5" s="135"/>
      <c r="M5" s="134"/>
    </row>
    <row r="6" spans="1:13" ht="66" customHeight="1" x14ac:dyDescent="0.2">
      <c r="A6" s="18">
        <v>1</v>
      </c>
      <c r="B6" s="102" t="s">
        <v>13</v>
      </c>
      <c r="C6" s="103" t="s">
        <v>1</v>
      </c>
      <c r="D6" s="51">
        <v>17</v>
      </c>
      <c r="E6" s="103">
        <v>1</v>
      </c>
      <c r="F6" s="17">
        <f>'Estudiodemercado Roceria'!AF5</f>
        <v>374261</v>
      </c>
      <c r="G6" s="17">
        <f>ROUND((D6*E6*F6),0)</f>
        <v>6362437</v>
      </c>
      <c r="H6" s="17">
        <f>'Estudiodemercado Roceria'!AH5</f>
        <v>391259</v>
      </c>
      <c r="I6" s="17">
        <f>ROUND((D6*E6*H6),0)</f>
        <v>6651403</v>
      </c>
      <c r="J6" s="17">
        <f>'Estudiodemercado Roceria'!AJ5</f>
        <v>356120</v>
      </c>
      <c r="K6" s="17">
        <f>ROUND((D6*E6*J6),0)</f>
        <v>6054040</v>
      </c>
      <c r="L6" s="17">
        <f>'Estudiodemercado Roceria'!AL5</f>
        <v>364945</v>
      </c>
      <c r="M6" s="17">
        <f>ROUND((D6*E6*L6),0)</f>
        <v>6204065</v>
      </c>
    </row>
    <row r="7" spans="1:13" ht="15" customHeight="1" x14ac:dyDescent="0.2">
      <c r="A7" s="21"/>
      <c r="B7" s="136" t="s">
        <v>104</v>
      </c>
      <c r="C7" s="52"/>
      <c r="D7" s="51"/>
      <c r="E7" s="52"/>
      <c r="F7" s="17"/>
      <c r="G7" s="17">
        <f t="shared" ref="G7:G25" si="0">ROUND((D7*E7*F7),0)</f>
        <v>0</v>
      </c>
      <c r="H7" s="17"/>
      <c r="I7" s="17">
        <f t="shared" ref="I7:I25" si="1">ROUND((D7*E7*H7),0)</f>
        <v>0</v>
      </c>
      <c r="J7" s="17"/>
      <c r="K7" s="17">
        <f t="shared" ref="K7:K24" si="2">ROUND((D7*E7*J7),0)</f>
        <v>0</v>
      </c>
      <c r="L7" s="17"/>
      <c r="M7" s="17">
        <f t="shared" ref="M7:M24" si="3">ROUND((D7*E7*L7),0)</f>
        <v>0</v>
      </c>
    </row>
    <row r="8" spans="1:13" ht="87.75" customHeight="1" x14ac:dyDescent="0.2">
      <c r="A8" s="42">
        <v>2</v>
      </c>
      <c r="B8" s="22" t="s">
        <v>21</v>
      </c>
      <c r="C8" s="19" t="s">
        <v>1</v>
      </c>
      <c r="D8" s="41">
        <v>20.6</v>
      </c>
      <c r="E8" s="42">
        <v>1</v>
      </c>
      <c r="F8" s="17">
        <f>'Estudiodemercado Roceria'!AD15</f>
        <v>395503</v>
      </c>
      <c r="G8" s="17">
        <f t="shared" si="0"/>
        <v>8147362</v>
      </c>
      <c r="H8" s="17">
        <f>'Estudiodemercado Roceria'!AF15</f>
        <v>392837</v>
      </c>
      <c r="I8" s="17">
        <f t="shared" si="1"/>
        <v>8092442</v>
      </c>
      <c r="J8" s="17">
        <f>'Estudiodemercado Roceria'!AH15</f>
        <v>385052</v>
      </c>
      <c r="K8" s="17">
        <f t="shared" si="2"/>
        <v>7932071</v>
      </c>
      <c r="L8" s="17">
        <f>'Estudiodemercado Roceria'!AJ15</f>
        <v>390111</v>
      </c>
      <c r="M8" s="17">
        <f t="shared" si="3"/>
        <v>8036287</v>
      </c>
    </row>
    <row r="9" spans="1:13" x14ac:dyDescent="0.2">
      <c r="A9" s="137"/>
      <c r="B9" s="136" t="str">
        <f>UPPER("aeropuerto Berastegui de Cienaga de Oro - Cordoba")</f>
        <v>AEROPUERTO BERASTEGUI DE CIENAGA DE ORO - CORDOBA</v>
      </c>
      <c r="C9" s="42"/>
      <c r="D9" s="71"/>
      <c r="E9" s="3"/>
      <c r="F9" s="44"/>
      <c r="G9" s="17">
        <f t="shared" si="0"/>
        <v>0</v>
      </c>
      <c r="H9" s="17"/>
      <c r="I9" s="17">
        <f t="shared" si="1"/>
        <v>0</v>
      </c>
      <c r="J9" s="44"/>
      <c r="K9" s="17">
        <f t="shared" si="2"/>
        <v>0</v>
      </c>
      <c r="L9" s="44"/>
      <c r="M9" s="17">
        <f t="shared" si="3"/>
        <v>0</v>
      </c>
    </row>
    <row r="10" spans="1:13" ht="63.75" x14ac:dyDescent="0.2">
      <c r="A10" s="137">
        <v>3</v>
      </c>
      <c r="B10" s="22" t="s">
        <v>13</v>
      </c>
      <c r="C10" s="106" t="s">
        <v>1</v>
      </c>
      <c r="D10" s="51">
        <v>33.25</v>
      </c>
      <c r="E10" s="103">
        <v>1</v>
      </c>
      <c r="F10" s="17">
        <f>'Estudiodemercado Roceria'!AF28</f>
        <v>369858</v>
      </c>
      <c r="G10" s="17">
        <f t="shared" si="0"/>
        <v>12297779</v>
      </c>
      <c r="H10" s="17">
        <f>'Estudiodemercado Roceria'!AH28</f>
        <v>315319</v>
      </c>
      <c r="I10" s="17">
        <f t="shared" si="1"/>
        <v>10484357</v>
      </c>
      <c r="J10" s="17">
        <f>'Estudiodemercado Roceria'!AJ28</f>
        <v>348366</v>
      </c>
      <c r="K10" s="17">
        <f t="shared" si="2"/>
        <v>11583170</v>
      </c>
      <c r="L10" s="17">
        <f>'Estudiodemercado Roceria'!AL28</f>
        <v>355767</v>
      </c>
      <c r="M10" s="17">
        <f t="shared" si="3"/>
        <v>11829253</v>
      </c>
    </row>
    <row r="11" spans="1:13" x14ac:dyDescent="0.2">
      <c r="A11" s="21"/>
      <c r="B11" s="136" t="str">
        <f>UPPER("aeropuerto El Pindo de Montelibano - Cordoba")</f>
        <v>AEROPUERTO EL PINDO DE MONTELIBANO - CORDOBA</v>
      </c>
      <c r="C11" s="52"/>
      <c r="D11" s="51"/>
      <c r="E11" s="52"/>
      <c r="F11" s="17"/>
      <c r="G11" s="17">
        <f t="shared" si="0"/>
        <v>0</v>
      </c>
      <c r="H11" s="17"/>
      <c r="I11" s="17">
        <f t="shared" si="1"/>
        <v>0</v>
      </c>
      <c r="J11" s="17"/>
      <c r="K11" s="17">
        <f t="shared" si="2"/>
        <v>0</v>
      </c>
      <c r="L11" s="17"/>
      <c r="M11" s="17">
        <f t="shared" si="3"/>
        <v>0</v>
      </c>
    </row>
    <row r="12" spans="1:13" ht="63.75" x14ac:dyDescent="0.2">
      <c r="A12" s="18">
        <v>4</v>
      </c>
      <c r="B12" s="22" t="s">
        <v>13</v>
      </c>
      <c r="C12" s="42" t="s">
        <v>1</v>
      </c>
      <c r="D12" s="112">
        <v>13</v>
      </c>
      <c r="E12" s="42">
        <v>1</v>
      </c>
      <c r="F12" s="17">
        <f>'Estudiodemercado Roceria'!AD40</f>
        <v>386147</v>
      </c>
      <c r="G12" s="17">
        <f t="shared" si="0"/>
        <v>5019911</v>
      </c>
      <c r="H12" s="17">
        <f>'Estudiodemercado Roceria'!AF40</f>
        <v>390000</v>
      </c>
      <c r="I12" s="17">
        <f t="shared" si="1"/>
        <v>5070000</v>
      </c>
      <c r="J12" s="17">
        <f>'Estudiodemercado Roceria'!AH40</f>
        <v>368792</v>
      </c>
      <c r="K12" s="17">
        <f t="shared" si="2"/>
        <v>4794296</v>
      </c>
      <c r="L12" s="17">
        <f>'Estudiodemercado Roceria'!AJ40</f>
        <v>377151</v>
      </c>
      <c r="M12" s="17">
        <f t="shared" si="3"/>
        <v>4902963</v>
      </c>
    </row>
    <row r="13" spans="1:13" x14ac:dyDescent="0.2">
      <c r="A13" s="137"/>
      <c r="B13" s="136" t="str">
        <f>UPPER("aeropuerto Morela de Puerto Berrio - Antioquia")</f>
        <v>AEROPUERTO MORELA DE PUERTO BERRIO - ANTIOQUIA</v>
      </c>
      <c r="C13" s="42"/>
      <c r="D13" s="71"/>
      <c r="E13" s="3"/>
      <c r="F13" s="44"/>
      <c r="G13" s="17">
        <f t="shared" si="0"/>
        <v>0</v>
      </c>
      <c r="H13" s="17"/>
      <c r="I13" s="17">
        <f t="shared" si="1"/>
        <v>0</v>
      </c>
      <c r="J13" s="44"/>
      <c r="K13" s="17">
        <f t="shared" si="2"/>
        <v>0</v>
      </c>
      <c r="L13" s="44"/>
      <c r="M13" s="17">
        <f t="shared" si="3"/>
        <v>0</v>
      </c>
    </row>
    <row r="14" spans="1:13" ht="63.75" x14ac:dyDescent="0.2">
      <c r="A14" s="18">
        <v>5</v>
      </c>
      <c r="B14" s="102" t="s">
        <v>13</v>
      </c>
      <c r="C14" s="103" t="s">
        <v>1</v>
      </c>
      <c r="D14" s="51">
        <v>14</v>
      </c>
      <c r="E14" s="103">
        <v>1</v>
      </c>
      <c r="F14" s="17">
        <f>'Estudiodemercado Roceria'!AD52</f>
        <v>394449</v>
      </c>
      <c r="G14" s="17">
        <f t="shared" si="0"/>
        <v>5522286</v>
      </c>
      <c r="H14" s="17">
        <f>'Estudiodemercado Roceria'!AF52</f>
        <v>395452</v>
      </c>
      <c r="I14" s="17">
        <f t="shared" si="1"/>
        <v>5536328</v>
      </c>
      <c r="J14" s="17">
        <f>'Estudiodemercado Roceria'!AH52</f>
        <v>383479</v>
      </c>
      <c r="K14" s="17">
        <f t="shared" si="2"/>
        <v>5368706</v>
      </c>
      <c r="L14" s="17">
        <f>'Estudiodemercado Roceria'!AJ52</f>
        <v>388795</v>
      </c>
      <c r="M14" s="17">
        <f t="shared" si="3"/>
        <v>5443130</v>
      </c>
    </row>
    <row r="15" spans="1:13" x14ac:dyDescent="0.2">
      <c r="A15" s="21"/>
      <c r="B15" s="136" t="str">
        <f>UPPER("aeropuerto de Gustavo Rojas Pinilla de Cimitarra - Santander")</f>
        <v>AEROPUERTO DE GUSTAVO ROJAS PINILLA DE CIMITARRA - SANTANDER</v>
      </c>
      <c r="C15" s="52"/>
      <c r="D15" s="51"/>
      <c r="E15" s="52"/>
      <c r="F15" s="17"/>
      <c r="G15" s="17">
        <f t="shared" si="0"/>
        <v>0</v>
      </c>
      <c r="H15" s="17"/>
      <c r="I15" s="17">
        <f t="shared" si="1"/>
        <v>0</v>
      </c>
      <c r="J15" s="17"/>
      <c r="K15" s="17">
        <f t="shared" si="2"/>
        <v>0</v>
      </c>
      <c r="L15" s="17"/>
      <c r="M15" s="17">
        <f t="shared" si="3"/>
        <v>0</v>
      </c>
    </row>
    <row r="16" spans="1:13" ht="63.75" x14ac:dyDescent="0.2">
      <c r="A16" s="138">
        <v>6</v>
      </c>
      <c r="B16" s="114" t="s">
        <v>13</v>
      </c>
      <c r="C16" s="115" t="s">
        <v>1</v>
      </c>
      <c r="D16" s="116">
        <v>24.85</v>
      </c>
      <c r="E16" s="42">
        <v>1</v>
      </c>
      <c r="F16" s="17">
        <f>'Estudiodemercado Roceria'!AD63</f>
        <v>368566</v>
      </c>
      <c r="G16" s="17">
        <f t="shared" si="0"/>
        <v>9158865</v>
      </c>
      <c r="H16" s="17">
        <f>'Estudiodemercado Roceria'!AF63</f>
        <v>377493</v>
      </c>
      <c r="I16" s="17">
        <f t="shared" si="1"/>
        <v>9380701</v>
      </c>
      <c r="J16" s="17">
        <f>'Estudiodemercado Roceria'!AH63</f>
        <v>354978</v>
      </c>
      <c r="K16" s="17">
        <f t="shared" si="2"/>
        <v>8821203</v>
      </c>
      <c r="L16" s="17">
        <f>'Estudiodemercado Roceria'!AJ63</f>
        <v>361629</v>
      </c>
      <c r="M16" s="17">
        <f t="shared" si="3"/>
        <v>8986481</v>
      </c>
    </row>
    <row r="17" spans="1:13" x14ac:dyDescent="0.2">
      <c r="A17" s="137"/>
      <c r="B17" s="136" t="str">
        <f>UPPER("aeropuerto Mandinga de Condoto - Chocó")</f>
        <v>AEROPUERTO MANDINGA DE CONDOTO - CHOCÓ</v>
      </c>
      <c r="C17" s="42"/>
      <c r="D17" s="71"/>
      <c r="E17" s="3"/>
      <c r="F17" s="44"/>
      <c r="G17" s="17">
        <f t="shared" si="0"/>
        <v>0</v>
      </c>
      <c r="H17" s="17"/>
      <c r="I17" s="17">
        <f t="shared" si="1"/>
        <v>0</v>
      </c>
      <c r="J17" s="44"/>
      <c r="K17" s="17">
        <f t="shared" si="2"/>
        <v>0</v>
      </c>
      <c r="L17" s="44"/>
      <c r="M17" s="17">
        <f t="shared" si="3"/>
        <v>0</v>
      </c>
    </row>
    <row r="18" spans="1:13" ht="60" x14ac:dyDescent="0.2">
      <c r="A18" s="18">
        <v>7</v>
      </c>
      <c r="B18" s="121" t="s">
        <v>13</v>
      </c>
      <c r="C18" s="42" t="s">
        <v>1</v>
      </c>
      <c r="D18" s="112">
        <v>32</v>
      </c>
      <c r="E18" s="42">
        <v>1</v>
      </c>
      <c r="F18" s="17">
        <f>'Estudiodemercado Roceria'!AF74</f>
        <v>395334</v>
      </c>
      <c r="G18" s="17">
        <f t="shared" si="0"/>
        <v>12650688</v>
      </c>
      <c r="H18" s="17">
        <f>'Estudiodemercado Roceria'!AH74</f>
        <v>395000</v>
      </c>
      <c r="I18" s="17">
        <f t="shared" si="1"/>
        <v>12640000</v>
      </c>
      <c r="J18" s="17">
        <f>'Estudiodemercado Roceria'!AJ74</f>
        <v>383269</v>
      </c>
      <c r="K18" s="17">
        <f t="shared" si="2"/>
        <v>12264608</v>
      </c>
      <c r="L18" s="17">
        <f>'Estudiodemercado Roceria'!AL74</f>
        <v>389141</v>
      </c>
      <c r="M18" s="17">
        <f t="shared" si="3"/>
        <v>12452512</v>
      </c>
    </row>
    <row r="19" spans="1:13" x14ac:dyDescent="0.2">
      <c r="A19" s="21"/>
      <c r="B19" s="136" t="s">
        <v>105</v>
      </c>
      <c r="C19" s="52"/>
      <c r="D19" s="51"/>
      <c r="E19" s="52"/>
      <c r="F19" s="17"/>
      <c r="G19" s="17">
        <f t="shared" si="0"/>
        <v>0</v>
      </c>
      <c r="H19" s="17"/>
      <c r="I19" s="17">
        <f t="shared" si="1"/>
        <v>0</v>
      </c>
      <c r="J19" s="17"/>
      <c r="K19" s="17">
        <f t="shared" si="2"/>
        <v>0</v>
      </c>
      <c r="L19" s="17"/>
      <c r="M19" s="17">
        <f t="shared" si="3"/>
        <v>0</v>
      </c>
    </row>
    <row r="20" spans="1:13" ht="84" x14ac:dyDescent="0.2">
      <c r="A20" s="140">
        <v>8</v>
      </c>
      <c r="B20" s="121" t="s">
        <v>83</v>
      </c>
      <c r="C20" s="19" t="s">
        <v>1</v>
      </c>
      <c r="D20" s="41">
        <f>(20000+35000+1000*5*2)/10000</f>
        <v>6.5</v>
      </c>
      <c r="E20" s="42">
        <v>1</v>
      </c>
      <c r="F20" s="17">
        <f>'Estudiodemercado Roceria'!AD86</f>
        <v>394868</v>
      </c>
      <c r="G20" s="17">
        <f t="shared" si="0"/>
        <v>2566642</v>
      </c>
      <c r="H20" s="17">
        <f>'Estudiodemercado Roceria'!AF86</f>
        <v>395000</v>
      </c>
      <c r="I20" s="17">
        <f t="shared" si="1"/>
        <v>2567500</v>
      </c>
      <c r="J20" s="17">
        <f>'Estudiodemercado Roceria'!AH86</f>
        <v>376640</v>
      </c>
      <c r="K20" s="17">
        <f t="shared" si="2"/>
        <v>2448160</v>
      </c>
      <c r="L20" s="17">
        <f>'Estudiodemercado Roceria'!AJ86</f>
        <v>385545</v>
      </c>
      <c r="M20" s="17">
        <f t="shared" si="3"/>
        <v>2506043</v>
      </c>
    </row>
    <row r="21" spans="1:13" x14ac:dyDescent="0.2">
      <c r="A21" s="137"/>
      <c r="B21" s="136" t="str">
        <f>UPPER("aeropuerto Reyes Murillo de Nuqui - Chocó")</f>
        <v>AEROPUERTO REYES MURILLO DE NUQUI - CHOCÓ</v>
      </c>
      <c r="C21" s="42"/>
      <c r="D21" s="71"/>
      <c r="E21" s="3"/>
      <c r="F21" s="44"/>
      <c r="G21" s="17">
        <f t="shared" si="0"/>
        <v>0</v>
      </c>
      <c r="H21" s="17"/>
      <c r="I21" s="17">
        <f t="shared" si="1"/>
        <v>0</v>
      </c>
      <c r="J21" s="44"/>
      <c r="K21" s="17">
        <f t="shared" si="2"/>
        <v>0</v>
      </c>
      <c r="L21" s="44"/>
      <c r="M21" s="17">
        <f t="shared" si="3"/>
        <v>0</v>
      </c>
    </row>
    <row r="22" spans="1:13" ht="63.75" x14ac:dyDescent="0.2">
      <c r="A22" s="124">
        <v>9</v>
      </c>
      <c r="B22" s="102" t="s">
        <v>13</v>
      </c>
      <c r="C22" s="103" t="s">
        <v>1</v>
      </c>
      <c r="D22" s="51">
        <v>16</v>
      </c>
      <c r="E22" s="125">
        <v>1</v>
      </c>
      <c r="F22" s="17">
        <f>'Estudiodemercado Roceria'!AF97</f>
        <v>399087</v>
      </c>
      <c r="G22" s="17">
        <f t="shared" si="0"/>
        <v>6385392</v>
      </c>
      <c r="H22" s="17">
        <f>'Estudiodemercado Roceria'!AH97</f>
        <v>394628</v>
      </c>
      <c r="I22" s="17">
        <f t="shared" si="1"/>
        <v>6314048</v>
      </c>
      <c r="J22" s="17">
        <f>'Estudiodemercado Roceria'!AJ97</f>
        <v>387883</v>
      </c>
      <c r="K22" s="17">
        <f t="shared" si="2"/>
        <v>6206128</v>
      </c>
      <c r="L22" s="17">
        <f>'Estudiodemercado Roceria'!AL97</f>
        <v>393464</v>
      </c>
      <c r="M22" s="17">
        <f t="shared" si="3"/>
        <v>6295424</v>
      </c>
    </row>
    <row r="23" spans="1:13" x14ac:dyDescent="0.2">
      <c r="A23" s="4"/>
      <c r="B23" s="136" t="s">
        <v>106</v>
      </c>
      <c r="C23" s="3"/>
      <c r="D23" s="5"/>
      <c r="E23" s="3"/>
      <c r="F23" s="14"/>
      <c r="G23" s="17">
        <f t="shared" si="0"/>
        <v>0</v>
      </c>
      <c r="H23" s="14"/>
      <c r="I23" s="17">
        <f t="shared" si="1"/>
        <v>0</v>
      </c>
      <c r="J23" s="14"/>
      <c r="K23" s="17">
        <f t="shared" si="2"/>
        <v>0</v>
      </c>
      <c r="L23" s="14"/>
      <c r="M23" s="17">
        <f t="shared" si="3"/>
        <v>0</v>
      </c>
    </row>
    <row r="24" spans="1:13" ht="63.75" x14ac:dyDescent="0.2">
      <c r="A24" s="130">
        <v>10</v>
      </c>
      <c r="B24" s="102" t="s">
        <v>13</v>
      </c>
      <c r="C24" s="103" t="s">
        <v>1</v>
      </c>
      <c r="D24" s="51">
        <v>23</v>
      </c>
      <c r="E24" s="125">
        <v>1</v>
      </c>
      <c r="F24" s="17">
        <f>'Estudiodemercado Roceria'!AF108</f>
        <v>371434</v>
      </c>
      <c r="G24" s="17">
        <f t="shared" si="0"/>
        <v>8542982</v>
      </c>
      <c r="H24" s="17">
        <f>'Estudiodemercado Roceria'!AH108</f>
        <v>379778</v>
      </c>
      <c r="I24" s="17">
        <f t="shared" si="1"/>
        <v>8734894</v>
      </c>
      <c r="J24" s="17">
        <f>'Estudiodemercado Roceria'!AJ108</f>
        <v>356360</v>
      </c>
      <c r="K24" s="17">
        <f t="shared" si="2"/>
        <v>8196280</v>
      </c>
      <c r="L24" s="17">
        <f>'Estudiodemercado Roceria'!AL108</f>
        <v>363562</v>
      </c>
      <c r="M24" s="17">
        <f t="shared" si="3"/>
        <v>8361926</v>
      </c>
    </row>
    <row r="25" spans="1:13" x14ac:dyDescent="0.2">
      <c r="A25" s="4"/>
      <c r="B25" s="70"/>
      <c r="C25" s="42"/>
      <c r="D25" s="71"/>
      <c r="E25" s="3"/>
      <c r="F25" s="44"/>
      <c r="G25" s="17">
        <f t="shared" si="0"/>
        <v>0</v>
      </c>
      <c r="H25" s="17"/>
      <c r="I25" s="17">
        <f t="shared" si="1"/>
        <v>0</v>
      </c>
      <c r="J25" s="44"/>
      <c r="K25" s="44"/>
      <c r="L25" s="44"/>
      <c r="M25" s="44"/>
    </row>
    <row r="26" spans="1:13" x14ac:dyDescent="0.2">
      <c r="A26" s="4"/>
      <c r="B26" s="10" t="s">
        <v>10</v>
      </c>
      <c r="C26" s="10"/>
      <c r="D26" s="141"/>
      <c r="E26" s="141"/>
      <c r="F26" s="143"/>
      <c r="G26" s="144">
        <f>SUM(G6:G24)</f>
        <v>76654344</v>
      </c>
      <c r="H26" s="143"/>
      <c r="I26" s="144">
        <f>SUM(I6:I24)</f>
        <v>75471673</v>
      </c>
      <c r="J26" s="143"/>
      <c r="K26" s="144">
        <f>SUM(K6:K24)</f>
        <v>73668662</v>
      </c>
      <c r="L26" s="143"/>
      <c r="M26" s="144">
        <f>SUM(M6:M24)</f>
        <v>75018084</v>
      </c>
    </row>
    <row r="27" spans="1:13" x14ac:dyDescent="0.2">
      <c r="A27" s="4"/>
      <c r="B27" s="10" t="s">
        <v>11</v>
      </c>
      <c r="C27" s="10"/>
      <c r="D27" s="141"/>
      <c r="E27" s="142"/>
      <c r="F27" s="145">
        <v>0.16</v>
      </c>
      <c r="G27" s="144">
        <f>ROUND(G26*F27,0)</f>
        <v>12264695</v>
      </c>
      <c r="H27" s="145">
        <v>0.16</v>
      </c>
      <c r="I27" s="144">
        <f>ROUND(I26*H27,0)</f>
        <v>12075468</v>
      </c>
      <c r="J27" s="145">
        <v>0.16</v>
      </c>
      <c r="K27" s="144">
        <f>ROUND(K26*J27,0)</f>
        <v>11786986</v>
      </c>
      <c r="L27" s="145">
        <v>0.16</v>
      </c>
      <c r="M27" s="144">
        <f>ROUND(M26*L27,0)</f>
        <v>12002893</v>
      </c>
    </row>
    <row r="28" spans="1:13" x14ac:dyDescent="0.2">
      <c r="A28" s="4"/>
      <c r="B28" s="10" t="s">
        <v>107</v>
      </c>
      <c r="C28" s="10"/>
      <c r="D28" s="141"/>
      <c r="E28" s="141"/>
      <c r="F28" s="143"/>
      <c r="G28" s="144">
        <f>SUM(G26:G27)</f>
        <v>88919039</v>
      </c>
      <c r="H28" s="143"/>
      <c r="I28" s="144">
        <f>SUM(I26:I27)</f>
        <v>87547141</v>
      </c>
      <c r="J28" s="143"/>
      <c r="K28" s="144">
        <f>SUM(K26:K27)</f>
        <v>85455648</v>
      </c>
      <c r="L28" s="143"/>
      <c r="M28" s="144">
        <f>SUM(M26:M27)</f>
        <v>87020977</v>
      </c>
    </row>
    <row r="33" spans="2:13" ht="28.5" x14ac:dyDescent="0.2">
      <c r="B33" s="133"/>
      <c r="I33" s="2"/>
      <c r="K33" s="2"/>
      <c r="M33" s="2"/>
    </row>
  </sheetData>
  <mergeCells count="6">
    <mergeCell ref="F3:G3"/>
    <mergeCell ref="H3:I3"/>
    <mergeCell ref="J3:K3"/>
    <mergeCell ref="A1:M1"/>
    <mergeCell ref="L3:M3"/>
    <mergeCell ref="A2:I2"/>
  </mergeCells>
  <pageMargins left="0.11811023622047245" right="0.11811023622047245" top="0.23622047244094491" bottom="0.23622047244094491" header="0.15748031496062992" footer="0.15748031496062992"/>
  <pageSetup scale="27" fitToHeight="0" orientation="landscape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/>
  </sheetPr>
  <dimension ref="A1:O33"/>
  <sheetViews>
    <sheetView showGridLines="0" topLeftCell="A7" zoomScale="60" zoomScaleNormal="60" workbookViewId="0">
      <selection activeCell="F20" sqref="F20"/>
    </sheetView>
  </sheetViews>
  <sheetFormatPr baseColWidth="10" defaultColWidth="11.42578125" defaultRowHeight="15" x14ac:dyDescent="0.2"/>
  <cols>
    <col min="1" max="1" width="8.7109375" style="8" customWidth="1"/>
    <col min="2" max="2" width="49.42578125" style="1" customWidth="1"/>
    <col min="3" max="3" width="4.85546875" style="1" customWidth="1"/>
    <col min="4" max="4" width="14.42578125" style="1" customWidth="1"/>
    <col min="5" max="5" width="5.42578125" style="1" customWidth="1"/>
    <col min="6" max="6" width="11.7109375" style="1" customWidth="1"/>
    <col min="7" max="7" width="18.42578125" style="1" customWidth="1"/>
    <col min="8" max="8" width="11.7109375" style="1" hidden="1" customWidth="1"/>
    <col min="9" max="9" width="18.42578125" style="1" hidden="1" customWidth="1"/>
    <col min="10" max="10" width="13.42578125" style="1" hidden="1" customWidth="1"/>
    <col min="11" max="11" width="18.42578125" style="1" hidden="1" customWidth="1"/>
    <col min="12" max="12" width="11.42578125" style="1" hidden="1" customWidth="1"/>
    <col min="13" max="13" width="18.42578125" style="1" hidden="1" customWidth="1"/>
    <col min="14" max="16384" width="11.42578125" style="1"/>
  </cols>
  <sheetData>
    <row r="1" spans="1:15" ht="70.5" customHeight="1" x14ac:dyDescent="0.2">
      <c r="A1" s="317" t="s">
        <v>108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15" ht="23.25" customHeight="1" x14ac:dyDescent="0.2">
      <c r="A2" s="318" t="s">
        <v>9</v>
      </c>
      <c r="B2" s="318"/>
      <c r="C2" s="318"/>
      <c r="D2" s="318"/>
      <c r="E2" s="318"/>
      <c r="F2" s="318"/>
      <c r="G2" s="318"/>
      <c r="H2" s="318"/>
      <c r="I2" s="318"/>
    </row>
    <row r="3" spans="1:15" ht="166.5" customHeight="1" x14ac:dyDescent="0.2">
      <c r="B3" s="12" t="s">
        <v>109</v>
      </c>
      <c r="F3" s="313" t="s">
        <v>12</v>
      </c>
      <c r="G3" s="314"/>
      <c r="H3" s="313" t="s">
        <v>16</v>
      </c>
      <c r="I3" s="314"/>
      <c r="J3" s="313" t="s">
        <v>17</v>
      </c>
      <c r="K3" s="314"/>
      <c r="L3" s="296" t="s">
        <v>18</v>
      </c>
      <c r="M3" s="297"/>
    </row>
    <row r="4" spans="1:15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7" t="s">
        <v>4</v>
      </c>
      <c r="I4" s="56" t="s">
        <v>0</v>
      </c>
      <c r="J4" s="57" t="s">
        <v>4</v>
      </c>
      <c r="K4" s="56" t="s">
        <v>0</v>
      </c>
      <c r="L4" s="57" t="s">
        <v>4</v>
      </c>
      <c r="M4" s="56" t="s">
        <v>0</v>
      </c>
    </row>
    <row r="5" spans="1:15" ht="36.75" customHeight="1" x14ac:dyDescent="0.2">
      <c r="A5" s="139"/>
      <c r="B5" s="136" t="s">
        <v>103</v>
      </c>
      <c r="C5" s="134"/>
      <c r="D5" s="134"/>
      <c r="E5" s="134"/>
      <c r="F5" s="135"/>
      <c r="G5" s="134"/>
      <c r="H5" s="135"/>
      <c r="I5" s="134"/>
      <c r="J5" s="135"/>
      <c r="K5" s="134"/>
      <c r="L5" s="135"/>
      <c r="M5" s="134"/>
    </row>
    <row r="6" spans="1:15" ht="66" customHeight="1" x14ac:dyDescent="0.2">
      <c r="A6" s="18">
        <v>1</v>
      </c>
      <c r="B6" s="102" t="s">
        <v>13</v>
      </c>
      <c r="C6" s="103" t="s">
        <v>1</v>
      </c>
      <c r="D6" s="146">
        <f>ROUND((970*27+970*31+58*18+58*147)/10000,1)+3.4</f>
        <v>10</v>
      </c>
      <c r="E6" s="103">
        <v>1</v>
      </c>
      <c r="F6" s="148">
        <f>'Estudiodemercado Roceria'!AF5</f>
        <v>374261</v>
      </c>
      <c r="G6" s="17">
        <f>ROUND((D6*E6*F6),0)</f>
        <v>3742610</v>
      </c>
      <c r="H6" s="148">
        <f>'Estudiodemercado Roceria'!AH5</f>
        <v>391259</v>
      </c>
      <c r="I6" s="17">
        <f>ROUND((D6*E6*H6),0)</f>
        <v>3912590</v>
      </c>
      <c r="J6" s="17">
        <f>'Estudiodemercado Roceria'!AJ5</f>
        <v>356120</v>
      </c>
      <c r="K6" s="17">
        <f>ROUND((D6*E6*J6),0)</f>
        <v>3561200</v>
      </c>
      <c r="L6" s="17">
        <f>'Estudiodemercado Roceria'!AL5</f>
        <v>364945</v>
      </c>
      <c r="M6" s="17">
        <f>ROUND((D6*E6*L6),0)</f>
        <v>3649450</v>
      </c>
      <c r="N6" s="2"/>
    </row>
    <row r="7" spans="1:15" ht="15" customHeight="1" x14ac:dyDescent="0.2">
      <c r="A7" s="21"/>
      <c r="B7" s="136" t="s">
        <v>104</v>
      </c>
      <c r="C7" s="52"/>
      <c r="D7" s="51"/>
      <c r="E7" s="52"/>
      <c r="F7" s="148"/>
      <c r="G7" s="17">
        <f t="shared" ref="G7:G25" si="0">ROUND((D7*E7*F7),0)</f>
        <v>0</v>
      </c>
      <c r="H7" s="148"/>
      <c r="I7" s="17">
        <f t="shared" ref="I7:I25" si="1">ROUND((D7*E7*H7),0)</f>
        <v>0</v>
      </c>
      <c r="J7" s="17"/>
      <c r="K7" s="17">
        <f t="shared" ref="K7:K24" si="2">ROUND((D7*E7*J7),0)</f>
        <v>0</v>
      </c>
      <c r="L7" s="17"/>
      <c r="M7" s="17">
        <f t="shared" ref="M7:M24" si="3">ROUND((D7*E7*L7),0)</f>
        <v>0</v>
      </c>
    </row>
    <row r="8" spans="1:15" ht="87.75" customHeight="1" x14ac:dyDescent="0.2">
      <c r="A8" s="42">
        <v>2</v>
      </c>
      <c r="B8" s="22" t="s">
        <v>21</v>
      </c>
      <c r="C8" s="19" t="s">
        <v>1</v>
      </c>
      <c r="D8" s="147">
        <f>(950*30+950*50)/10000+2.4</f>
        <v>10</v>
      </c>
      <c r="E8" s="42">
        <v>1</v>
      </c>
      <c r="F8" s="148">
        <f>'Estudiodemercado Roceria'!AD15</f>
        <v>395503</v>
      </c>
      <c r="G8" s="17">
        <f t="shared" si="0"/>
        <v>3955030</v>
      </c>
      <c r="H8" s="148">
        <f>'Estudiodemercado Roceria'!AF15</f>
        <v>392837</v>
      </c>
      <c r="I8" s="17">
        <f t="shared" si="1"/>
        <v>3928370</v>
      </c>
      <c r="J8" s="17">
        <f>'Estudiodemercado Roceria'!AH15</f>
        <v>385052</v>
      </c>
      <c r="K8" s="17">
        <f t="shared" si="2"/>
        <v>3850520</v>
      </c>
      <c r="L8" s="17">
        <f>'Estudiodemercado Roceria'!AJ15</f>
        <v>390111</v>
      </c>
      <c r="M8" s="17">
        <f t="shared" si="3"/>
        <v>3901110</v>
      </c>
      <c r="N8" s="2"/>
    </row>
    <row r="9" spans="1:15" x14ac:dyDescent="0.2">
      <c r="A9" s="137"/>
      <c r="B9" s="136" t="str">
        <f>UPPER("aeropuerto Berastegui de Cienaga de Oro - Cordoba")</f>
        <v>AEROPUERTO BERASTEGUI DE CIENAGA DE ORO - CORDOBA</v>
      </c>
      <c r="C9" s="42"/>
      <c r="D9" s="71"/>
      <c r="E9" s="3"/>
      <c r="F9" s="149"/>
      <c r="G9" s="17">
        <f t="shared" si="0"/>
        <v>0</v>
      </c>
      <c r="H9" s="148"/>
      <c r="I9" s="17">
        <f t="shared" si="1"/>
        <v>0</v>
      </c>
      <c r="J9" s="44"/>
      <c r="K9" s="17">
        <f t="shared" si="2"/>
        <v>0</v>
      </c>
      <c r="L9" s="44"/>
      <c r="M9" s="17">
        <f t="shared" si="3"/>
        <v>0</v>
      </c>
    </row>
    <row r="10" spans="1:15" ht="63.75" x14ac:dyDescent="0.2">
      <c r="A10" s="137">
        <v>3</v>
      </c>
      <c r="B10" s="22" t="s">
        <v>13</v>
      </c>
      <c r="C10" s="106" t="s">
        <v>1</v>
      </c>
      <c r="D10" s="146">
        <f>(1500*40+60*140*2)/10000+2.32</f>
        <v>10</v>
      </c>
      <c r="E10" s="103">
        <v>1</v>
      </c>
      <c r="F10" s="148">
        <f>'Estudiodemercado Roceria'!AF28</f>
        <v>369858</v>
      </c>
      <c r="G10" s="17">
        <f t="shared" si="0"/>
        <v>3698580</v>
      </c>
      <c r="H10" s="148">
        <f>'Estudiodemercado Roceria'!AH28</f>
        <v>315319</v>
      </c>
      <c r="I10" s="17">
        <f t="shared" si="1"/>
        <v>3153190</v>
      </c>
      <c r="J10" s="17">
        <f>'Estudiodemercado Roceria'!AJ28</f>
        <v>348366</v>
      </c>
      <c r="K10" s="17">
        <f t="shared" si="2"/>
        <v>3483660</v>
      </c>
      <c r="L10" s="17">
        <f>'Estudiodemercado Roceria'!AL28</f>
        <v>355767</v>
      </c>
      <c r="M10" s="17">
        <f t="shared" si="3"/>
        <v>3557670</v>
      </c>
      <c r="N10" s="2"/>
    </row>
    <row r="11" spans="1:15" x14ac:dyDescent="0.2">
      <c r="A11" s="21"/>
      <c r="B11" s="136" t="str">
        <f>UPPER("aeropuerto El Pindo de Montelibano - Cordoba")</f>
        <v>AEROPUERTO EL PINDO DE MONTELIBANO - CORDOBA</v>
      </c>
      <c r="C11" s="52"/>
      <c r="D11" s="51"/>
      <c r="E11" s="52"/>
      <c r="F11" s="148"/>
      <c r="G11" s="17">
        <f t="shared" si="0"/>
        <v>0</v>
      </c>
      <c r="H11" s="148"/>
      <c r="I11" s="17">
        <f t="shared" si="1"/>
        <v>0</v>
      </c>
      <c r="J11" s="17"/>
      <c r="K11" s="17">
        <f t="shared" si="2"/>
        <v>0</v>
      </c>
      <c r="L11" s="17"/>
      <c r="M11" s="17">
        <f t="shared" si="3"/>
        <v>0</v>
      </c>
    </row>
    <row r="12" spans="1:15" ht="63.75" x14ac:dyDescent="0.2">
      <c r="A12" s="18">
        <v>4</v>
      </c>
      <c r="B12" s="22" t="s">
        <v>13</v>
      </c>
      <c r="C12" s="42" t="s">
        <v>1</v>
      </c>
      <c r="D12" s="146">
        <f>(1100*40+60*99*2)/10000+4.41</f>
        <v>9.9980000000000011</v>
      </c>
      <c r="E12" s="42">
        <v>1</v>
      </c>
      <c r="F12" s="148">
        <f>'Estudiodemercado Roceria'!AD40</f>
        <v>386147</v>
      </c>
      <c r="G12" s="17">
        <f t="shared" si="0"/>
        <v>3860698</v>
      </c>
      <c r="H12" s="148">
        <f>'Estudiodemercado Roceria'!AF40</f>
        <v>390000</v>
      </c>
      <c r="I12" s="17">
        <f t="shared" si="1"/>
        <v>3899220</v>
      </c>
      <c r="J12" s="17">
        <f>'Estudiodemercado Roceria'!AH40</f>
        <v>368792</v>
      </c>
      <c r="K12" s="17">
        <f t="shared" si="2"/>
        <v>3687182</v>
      </c>
      <c r="L12" s="17">
        <f>'Estudiodemercado Roceria'!AJ40</f>
        <v>377151</v>
      </c>
      <c r="M12" s="17">
        <f t="shared" si="3"/>
        <v>3770756</v>
      </c>
      <c r="O12" s="2"/>
    </row>
    <row r="13" spans="1:15" x14ac:dyDescent="0.2">
      <c r="A13" s="137"/>
      <c r="B13" s="136" t="str">
        <f>UPPER("aeropuerto Morela de Puerto Berrio - Antioquia")</f>
        <v>AEROPUERTO MORELA DE PUERTO BERRIO - ANTIOQUIA</v>
      </c>
      <c r="C13" s="42"/>
      <c r="D13" s="71"/>
      <c r="E13" s="3"/>
      <c r="F13" s="149"/>
      <c r="G13" s="17">
        <f t="shared" si="0"/>
        <v>0</v>
      </c>
      <c r="H13" s="148"/>
      <c r="I13" s="17">
        <f t="shared" si="1"/>
        <v>0</v>
      </c>
      <c r="J13" s="44"/>
      <c r="K13" s="17">
        <f t="shared" si="2"/>
        <v>0</v>
      </c>
      <c r="L13" s="44"/>
      <c r="M13" s="17">
        <f t="shared" si="3"/>
        <v>0</v>
      </c>
    </row>
    <row r="14" spans="1:15" ht="63.75" x14ac:dyDescent="0.2">
      <c r="A14" s="18">
        <v>5</v>
      </c>
      <c r="B14" s="102" t="s">
        <v>13</v>
      </c>
      <c r="C14" s="103" t="s">
        <v>1</v>
      </c>
      <c r="D14" s="146">
        <f>ROUND((1300*50*2+80*60*2)/10000,1)</f>
        <v>14</v>
      </c>
      <c r="E14" s="103">
        <v>1</v>
      </c>
      <c r="F14" s="148">
        <f>'Estudiodemercado Roceria'!AD52</f>
        <v>394449</v>
      </c>
      <c r="G14" s="17">
        <f t="shared" si="0"/>
        <v>5522286</v>
      </c>
      <c r="H14" s="148">
        <f>'Estudiodemercado Roceria'!AF52</f>
        <v>395452</v>
      </c>
      <c r="I14" s="17">
        <f t="shared" si="1"/>
        <v>5536328</v>
      </c>
      <c r="J14" s="17">
        <f>'Estudiodemercado Roceria'!AH52</f>
        <v>383479</v>
      </c>
      <c r="K14" s="17">
        <f t="shared" si="2"/>
        <v>5368706</v>
      </c>
      <c r="L14" s="17">
        <f>'Estudiodemercado Roceria'!AJ52</f>
        <v>388795</v>
      </c>
      <c r="M14" s="17">
        <f t="shared" si="3"/>
        <v>5443130</v>
      </c>
    </row>
    <row r="15" spans="1:15" x14ac:dyDescent="0.2">
      <c r="A15" s="21"/>
      <c r="B15" s="136" t="str">
        <f>UPPER("aeropuerto de Gustavo Rojas Pinilla de Cimitarra - Santander")</f>
        <v>AEROPUERTO DE GUSTAVO ROJAS PINILLA DE CIMITARRA - SANTANDER</v>
      </c>
      <c r="C15" s="52"/>
      <c r="D15" s="51"/>
      <c r="E15" s="52"/>
      <c r="F15" s="148"/>
      <c r="G15" s="17">
        <f t="shared" si="0"/>
        <v>0</v>
      </c>
      <c r="H15" s="148"/>
      <c r="I15" s="17">
        <f t="shared" si="1"/>
        <v>0</v>
      </c>
      <c r="J15" s="17"/>
      <c r="K15" s="17">
        <f t="shared" si="2"/>
        <v>0</v>
      </c>
      <c r="L15" s="17"/>
      <c r="M15" s="17">
        <f t="shared" si="3"/>
        <v>0</v>
      </c>
    </row>
    <row r="16" spans="1:15" ht="63.75" x14ac:dyDescent="0.2">
      <c r="A16" s="138">
        <v>6</v>
      </c>
      <c r="B16" s="114" t="s">
        <v>13</v>
      </c>
      <c r="C16" s="115" t="s">
        <v>1</v>
      </c>
      <c r="D16" s="146">
        <f>(1500*(25+25)+60*100)/10000+1.9</f>
        <v>10</v>
      </c>
      <c r="E16" s="42">
        <v>1</v>
      </c>
      <c r="F16" s="148">
        <f>'Estudiodemercado Roceria'!AD63</f>
        <v>368566</v>
      </c>
      <c r="G16" s="17">
        <f t="shared" si="0"/>
        <v>3685660</v>
      </c>
      <c r="H16" s="148">
        <f>'Estudiodemercado Roceria'!AF63</f>
        <v>377493</v>
      </c>
      <c r="I16" s="17">
        <f t="shared" si="1"/>
        <v>3774930</v>
      </c>
      <c r="J16" s="17">
        <f>'Estudiodemercado Roceria'!AH63</f>
        <v>354978</v>
      </c>
      <c r="K16" s="17">
        <f t="shared" si="2"/>
        <v>3549780</v>
      </c>
      <c r="L16" s="17">
        <f>'Estudiodemercado Roceria'!AJ63</f>
        <v>361629</v>
      </c>
      <c r="M16" s="17">
        <f t="shared" si="3"/>
        <v>3616290</v>
      </c>
    </row>
    <row r="17" spans="1:13" x14ac:dyDescent="0.2">
      <c r="A17" s="137"/>
      <c r="B17" s="136" t="str">
        <f>UPPER("aeropuerto Mandinga de Condoto - Chocó")</f>
        <v>AEROPUERTO MANDINGA DE CONDOTO - CHOCÓ</v>
      </c>
      <c r="C17" s="42"/>
      <c r="D17" s="71"/>
      <c r="E17" s="3"/>
      <c r="F17" s="149"/>
      <c r="G17" s="17">
        <f t="shared" si="0"/>
        <v>0</v>
      </c>
      <c r="H17" s="148"/>
      <c r="I17" s="17">
        <f t="shared" si="1"/>
        <v>0</v>
      </c>
      <c r="J17" s="44"/>
      <c r="K17" s="17">
        <f t="shared" si="2"/>
        <v>0</v>
      </c>
      <c r="L17" s="44"/>
      <c r="M17" s="17">
        <f t="shared" si="3"/>
        <v>0</v>
      </c>
    </row>
    <row r="18" spans="1:13" ht="60" x14ac:dyDescent="0.2">
      <c r="A18" s="18">
        <v>7</v>
      </c>
      <c r="B18" s="121" t="s">
        <v>13</v>
      </c>
      <c r="C18" s="42" t="s">
        <v>1</v>
      </c>
      <c r="D18" s="146">
        <f>(1150*(60+40)+60*100*2)/10000+1.3</f>
        <v>14</v>
      </c>
      <c r="E18" s="42">
        <v>1</v>
      </c>
      <c r="F18" s="148">
        <f>'Estudiodemercado Roceria'!AF74</f>
        <v>395334</v>
      </c>
      <c r="G18" s="17">
        <f t="shared" si="0"/>
        <v>5534676</v>
      </c>
      <c r="H18" s="148">
        <f>'Estudiodemercado Roceria'!AH74</f>
        <v>395000</v>
      </c>
      <c r="I18" s="17">
        <f t="shared" si="1"/>
        <v>5530000</v>
      </c>
      <c r="J18" s="17">
        <f>'Estudiodemercado Roceria'!AJ74</f>
        <v>383269</v>
      </c>
      <c r="K18" s="17">
        <f t="shared" si="2"/>
        <v>5365766</v>
      </c>
      <c r="L18" s="17">
        <f>'Estudiodemercado Roceria'!AL74</f>
        <v>389141</v>
      </c>
      <c r="M18" s="17">
        <f t="shared" si="3"/>
        <v>5447974</v>
      </c>
    </row>
    <row r="19" spans="1:13" x14ac:dyDescent="0.2">
      <c r="A19" s="21"/>
      <c r="B19" s="136" t="s">
        <v>105</v>
      </c>
      <c r="C19" s="52"/>
      <c r="D19" s="51"/>
      <c r="E19" s="52"/>
      <c r="F19" s="148"/>
      <c r="G19" s="17">
        <f t="shared" si="0"/>
        <v>0</v>
      </c>
      <c r="H19" s="148"/>
      <c r="I19" s="17">
        <f t="shared" si="1"/>
        <v>0</v>
      </c>
      <c r="J19" s="17"/>
      <c r="K19" s="17">
        <f t="shared" si="2"/>
        <v>0</v>
      </c>
      <c r="L19" s="17"/>
      <c r="M19" s="17">
        <f t="shared" si="3"/>
        <v>0</v>
      </c>
    </row>
    <row r="20" spans="1:13" ht="84" x14ac:dyDescent="0.2">
      <c r="A20" s="140">
        <v>8</v>
      </c>
      <c r="B20" s="121" t="s">
        <v>83</v>
      </c>
      <c r="C20" s="19" t="s">
        <v>1</v>
      </c>
      <c r="D20" s="41">
        <f>(20000+35000+1000*5*2)/10000+0.164</f>
        <v>6.6639999999999997</v>
      </c>
      <c r="E20" s="42">
        <v>1</v>
      </c>
      <c r="F20" s="148">
        <f>'Estudiodemercado Roceria'!AD86</f>
        <v>394868</v>
      </c>
      <c r="G20" s="17">
        <f t="shared" si="0"/>
        <v>2631400</v>
      </c>
      <c r="H20" s="148">
        <f>'Estudiodemercado Roceria'!AF86</f>
        <v>395000</v>
      </c>
      <c r="I20" s="17">
        <f t="shared" si="1"/>
        <v>2632280</v>
      </c>
      <c r="J20" s="17">
        <f>'Estudiodemercado Roceria'!AH86</f>
        <v>376640</v>
      </c>
      <c r="K20" s="17">
        <f t="shared" si="2"/>
        <v>2509929</v>
      </c>
      <c r="L20" s="17">
        <f>'Estudiodemercado Roceria'!AJ86</f>
        <v>385545</v>
      </c>
      <c r="M20" s="17">
        <f t="shared" si="3"/>
        <v>2569272</v>
      </c>
    </row>
    <row r="21" spans="1:13" x14ac:dyDescent="0.2">
      <c r="A21" s="137"/>
      <c r="B21" s="136" t="str">
        <f>UPPER("aeropuerto Reyes Murillo de Nuqui - Chocó")</f>
        <v>AEROPUERTO REYES MURILLO DE NUQUI - CHOCÓ</v>
      </c>
      <c r="C21" s="42"/>
      <c r="D21" s="71"/>
      <c r="E21" s="3"/>
      <c r="F21" s="149"/>
      <c r="G21" s="17">
        <f t="shared" si="0"/>
        <v>0</v>
      </c>
      <c r="H21" s="148"/>
      <c r="I21" s="17">
        <f t="shared" si="1"/>
        <v>0</v>
      </c>
      <c r="J21" s="44"/>
      <c r="K21" s="17">
        <f t="shared" si="2"/>
        <v>0</v>
      </c>
      <c r="L21" s="44"/>
      <c r="M21" s="17">
        <f t="shared" si="3"/>
        <v>0</v>
      </c>
    </row>
    <row r="22" spans="1:13" ht="63.75" x14ac:dyDescent="0.2">
      <c r="A22" s="124">
        <v>9</v>
      </c>
      <c r="B22" s="102" t="s">
        <v>13</v>
      </c>
      <c r="C22" s="103" t="s">
        <v>1</v>
      </c>
      <c r="D22" s="146">
        <f>(1200*(35+27)+(60*70))/10000+8.14</f>
        <v>16</v>
      </c>
      <c r="E22" s="125">
        <v>1</v>
      </c>
      <c r="F22" s="148">
        <f>'Estudiodemercado Roceria'!AF97</f>
        <v>399087</v>
      </c>
      <c r="G22" s="17">
        <f t="shared" si="0"/>
        <v>6385392</v>
      </c>
      <c r="H22" s="148">
        <f>'Estudiodemercado Roceria'!AH97</f>
        <v>394628</v>
      </c>
      <c r="I22" s="17">
        <f t="shared" si="1"/>
        <v>6314048</v>
      </c>
      <c r="J22" s="17">
        <f>'Estudiodemercado Roceria'!AJ97</f>
        <v>387883</v>
      </c>
      <c r="K22" s="17">
        <f t="shared" si="2"/>
        <v>6206128</v>
      </c>
      <c r="L22" s="17">
        <f>'Estudiodemercado Roceria'!AL97</f>
        <v>393464</v>
      </c>
      <c r="M22" s="17">
        <f t="shared" si="3"/>
        <v>6295424</v>
      </c>
    </row>
    <row r="23" spans="1:13" x14ac:dyDescent="0.2">
      <c r="A23" s="4"/>
      <c r="B23" s="136" t="s">
        <v>106</v>
      </c>
      <c r="C23" s="3"/>
      <c r="D23" s="5"/>
      <c r="E23" s="3"/>
      <c r="F23" s="149"/>
      <c r="G23" s="17">
        <f t="shared" si="0"/>
        <v>0</v>
      </c>
      <c r="H23" s="149"/>
      <c r="I23" s="17">
        <f t="shared" si="1"/>
        <v>0</v>
      </c>
      <c r="J23" s="14"/>
      <c r="K23" s="17">
        <f t="shared" si="2"/>
        <v>0</v>
      </c>
      <c r="L23" s="14"/>
      <c r="M23" s="17">
        <f t="shared" si="3"/>
        <v>0</v>
      </c>
    </row>
    <row r="24" spans="1:13" ht="63.75" x14ac:dyDescent="0.2">
      <c r="A24" s="130">
        <v>10</v>
      </c>
      <c r="B24" s="102" t="s">
        <v>13</v>
      </c>
      <c r="C24" s="103" t="s">
        <v>1</v>
      </c>
      <c r="D24" s="51">
        <f>(920*58*2)/10000+0.33</f>
        <v>11.002000000000001</v>
      </c>
      <c r="E24" s="125">
        <v>1</v>
      </c>
      <c r="F24" s="148">
        <f>'Estudiodemercado Roceria'!AF108</f>
        <v>371434</v>
      </c>
      <c r="G24" s="17">
        <f t="shared" si="0"/>
        <v>4086517</v>
      </c>
      <c r="H24" s="148">
        <f>'Estudiodemercado Roceria'!AH108</f>
        <v>379778</v>
      </c>
      <c r="I24" s="17">
        <f t="shared" si="1"/>
        <v>4178318</v>
      </c>
      <c r="J24" s="17">
        <f>'Estudiodemercado Roceria'!AJ108</f>
        <v>356360</v>
      </c>
      <c r="K24" s="17">
        <f t="shared" si="2"/>
        <v>3920673</v>
      </c>
      <c r="L24" s="17">
        <f>'Estudiodemercado Roceria'!AL108</f>
        <v>363562</v>
      </c>
      <c r="M24" s="17">
        <f t="shared" si="3"/>
        <v>3999909</v>
      </c>
    </row>
    <row r="25" spans="1:13" x14ac:dyDescent="0.2">
      <c r="A25" s="4"/>
      <c r="B25" s="70"/>
      <c r="C25" s="42"/>
      <c r="D25" s="71"/>
      <c r="E25" s="3"/>
      <c r="F25" s="44"/>
      <c r="G25" s="17">
        <f t="shared" si="0"/>
        <v>0</v>
      </c>
      <c r="H25" s="17"/>
      <c r="I25" s="17">
        <f t="shared" si="1"/>
        <v>0</v>
      </c>
      <c r="J25" s="44"/>
      <c r="K25" s="44"/>
      <c r="L25" s="44"/>
      <c r="M25" s="44"/>
    </row>
    <row r="26" spans="1:13" x14ac:dyDescent="0.2">
      <c r="A26" s="4"/>
      <c r="B26" s="10" t="s">
        <v>10</v>
      </c>
      <c r="C26" s="10"/>
      <c r="D26" s="141"/>
      <c r="E26" s="141"/>
      <c r="F26" s="143"/>
      <c r="G26" s="144">
        <f>SUM(G6:G24)</f>
        <v>43102849</v>
      </c>
      <c r="H26" s="143"/>
      <c r="I26" s="144">
        <f>SUM(I6:I24)</f>
        <v>42859274</v>
      </c>
      <c r="J26" s="143"/>
      <c r="K26" s="144">
        <f>SUM(K6:K24)</f>
        <v>41503544</v>
      </c>
      <c r="L26" s="143"/>
      <c r="M26" s="144">
        <f>SUM(M6:M24)</f>
        <v>42250985</v>
      </c>
    </row>
    <row r="27" spans="1:13" x14ac:dyDescent="0.2">
      <c r="A27" s="4"/>
      <c r="B27" s="10" t="s">
        <v>11</v>
      </c>
      <c r="C27" s="10"/>
      <c r="D27" s="141"/>
      <c r="E27" s="142"/>
      <c r="F27" s="145">
        <v>0.16</v>
      </c>
      <c r="G27" s="144">
        <f>ROUND(G26*F27,0)</f>
        <v>6896456</v>
      </c>
      <c r="H27" s="145">
        <v>0.16</v>
      </c>
      <c r="I27" s="144">
        <f>ROUND(I26*H27,0)</f>
        <v>6857484</v>
      </c>
      <c r="J27" s="145">
        <v>0.16</v>
      </c>
      <c r="K27" s="144">
        <f>ROUND(K26*J27,0)</f>
        <v>6640567</v>
      </c>
      <c r="L27" s="145">
        <v>0.16</v>
      </c>
      <c r="M27" s="144">
        <f>ROUND(M26*L27,0)</f>
        <v>6760158</v>
      </c>
    </row>
    <row r="28" spans="1:13" x14ac:dyDescent="0.2">
      <c r="A28" s="4"/>
      <c r="B28" s="10" t="s">
        <v>107</v>
      </c>
      <c r="C28" s="10"/>
      <c r="D28" s="141"/>
      <c r="E28" s="141"/>
      <c r="F28" s="143"/>
      <c r="G28" s="144">
        <f>SUM(G26:G27)</f>
        <v>49999305</v>
      </c>
      <c r="H28" s="143"/>
      <c r="I28" s="144">
        <f>SUM(I26:I27)</f>
        <v>49716758</v>
      </c>
      <c r="J28" s="143"/>
      <c r="K28" s="144">
        <f>SUM(K26:K27)</f>
        <v>48144111</v>
      </c>
      <c r="L28" s="143"/>
      <c r="M28" s="144">
        <f>SUM(M26:M27)</f>
        <v>49011143</v>
      </c>
    </row>
    <row r="33" spans="2:13" ht="28.5" x14ac:dyDescent="0.2">
      <c r="B33" s="133"/>
      <c r="I33" s="2"/>
      <c r="K33" s="2"/>
      <c r="M33" s="2"/>
    </row>
  </sheetData>
  <mergeCells count="6">
    <mergeCell ref="A1:M1"/>
    <mergeCell ref="A2:I2"/>
    <mergeCell ref="F3:G3"/>
    <mergeCell ref="H3:I3"/>
    <mergeCell ref="J3:K3"/>
    <mergeCell ref="L3:M3"/>
  </mergeCells>
  <pageMargins left="0.11811023622047245" right="0.11811023622047245" top="0.23622047244094491" bottom="0.23622047244094491" header="0.15748031496062992" footer="0.15748031496062992"/>
  <pageSetup scale="27" fitToHeight="0" orientation="landscape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00B050"/>
  </sheetPr>
  <dimension ref="A1:M110"/>
  <sheetViews>
    <sheetView showGridLines="0" topLeftCell="A7" zoomScale="60" zoomScaleNormal="60" workbookViewId="0">
      <selection activeCell="E20" sqref="E20"/>
    </sheetView>
  </sheetViews>
  <sheetFormatPr baseColWidth="10" defaultColWidth="11.42578125" defaultRowHeight="15" x14ac:dyDescent="0.2"/>
  <cols>
    <col min="1" max="1" width="8.7109375" style="8" customWidth="1"/>
    <col min="2" max="2" width="49.42578125" style="1" customWidth="1"/>
    <col min="3" max="3" width="4.85546875" style="1" customWidth="1"/>
    <col min="4" max="4" width="14.42578125" style="1" customWidth="1"/>
    <col min="5" max="5" width="5.42578125" style="1" customWidth="1"/>
    <col min="6" max="6" width="13.42578125" style="1" customWidth="1"/>
    <col min="7" max="7" width="21" style="1" customWidth="1"/>
    <col min="8" max="8" width="13.42578125" style="1" customWidth="1"/>
    <col min="9" max="9" width="20.42578125" style="1" customWidth="1"/>
    <col min="10" max="10" width="13.42578125" style="1" customWidth="1"/>
    <col min="11" max="11" width="21.28515625" style="1" customWidth="1"/>
    <col min="12" max="12" width="13.42578125" style="1" customWidth="1"/>
    <col min="13" max="13" width="21.28515625" style="1" customWidth="1"/>
    <col min="14" max="16384" width="11.42578125" style="1"/>
  </cols>
  <sheetData>
    <row r="1" spans="1:13" ht="70.5" customHeight="1" x14ac:dyDescent="0.2">
      <c r="A1" s="317" t="s">
        <v>108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13" ht="23.25" customHeight="1" x14ac:dyDescent="0.2">
      <c r="A2" s="318" t="s">
        <v>9</v>
      </c>
      <c r="B2" s="318"/>
      <c r="C2" s="318"/>
      <c r="D2" s="318"/>
      <c r="E2" s="318"/>
      <c r="F2" s="318"/>
      <c r="G2" s="318"/>
      <c r="H2" s="318"/>
      <c r="I2" s="318"/>
    </row>
    <row r="3" spans="1:13" ht="166.5" customHeight="1" x14ac:dyDescent="0.2">
      <c r="B3" s="12" t="s">
        <v>109</v>
      </c>
      <c r="F3" s="313" t="s">
        <v>12</v>
      </c>
      <c r="G3" s="314"/>
      <c r="H3" s="313" t="s">
        <v>16</v>
      </c>
      <c r="I3" s="314"/>
      <c r="J3" s="313" t="s">
        <v>17</v>
      </c>
      <c r="K3" s="314"/>
      <c r="L3" s="296" t="s">
        <v>18</v>
      </c>
      <c r="M3" s="297"/>
    </row>
    <row r="4" spans="1:13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7" t="s">
        <v>4</v>
      </c>
      <c r="I4" s="56" t="s">
        <v>0</v>
      </c>
      <c r="J4" s="57" t="s">
        <v>4</v>
      </c>
      <c r="K4" s="56" t="s">
        <v>0</v>
      </c>
      <c r="L4" s="57" t="s">
        <v>4</v>
      </c>
      <c r="M4" s="56" t="s">
        <v>0</v>
      </c>
    </row>
    <row r="5" spans="1:13" ht="36.75" customHeight="1" x14ac:dyDescent="0.2">
      <c r="A5" s="139"/>
      <c r="B5" s="136" t="s">
        <v>103</v>
      </c>
      <c r="C5" s="134"/>
      <c r="D5" s="134"/>
      <c r="E5" s="134"/>
      <c r="F5" s="135"/>
      <c r="G5" s="134"/>
      <c r="H5" s="135"/>
      <c r="I5" s="134"/>
      <c r="J5" s="135"/>
      <c r="K5" s="134"/>
      <c r="L5" s="135"/>
      <c r="M5" s="134"/>
    </row>
    <row r="6" spans="1:13" ht="66" customHeight="1" x14ac:dyDescent="0.2">
      <c r="A6" s="18">
        <v>1</v>
      </c>
      <c r="B6" s="102" t="s">
        <v>13</v>
      </c>
      <c r="C6" s="103" t="s">
        <v>1</v>
      </c>
      <c r="D6" s="51">
        <v>17</v>
      </c>
      <c r="E6" s="103">
        <v>4</v>
      </c>
      <c r="F6" s="17">
        <f>'Estudiodemercado Roceria'!AF5</f>
        <v>374261</v>
      </c>
      <c r="G6" s="17">
        <f>ROUND((D6*E6*F6),0)</f>
        <v>25449748</v>
      </c>
      <c r="H6" s="17">
        <f>'Estudiodemercado DEF'!AN5</f>
        <v>296224</v>
      </c>
      <c r="I6" s="17">
        <f>ROUND((D6*E6*H6),0)</f>
        <v>20143232</v>
      </c>
      <c r="J6" s="17">
        <f>'Estudiodemercado DEF'!AP5</f>
        <v>310207</v>
      </c>
      <c r="K6" s="17">
        <f>ROUND((D6*E6*J6),0)</f>
        <v>21094076</v>
      </c>
      <c r="L6" s="17">
        <f>'Estudiodemercado DEF'!AR5</f>
        <v>316235</v>
      </c>
      <c r="M6" s="17">
        <f>ROUND((D6*E6*L6),0)</f>
        <v>21503980</v>
      </c>
    </row>
    <row r="7" spans="1:13" ht="76.5" x14ac:dyDescent="0.2">
      <c r="A7" s="18">
        <v>2</v>
      </c>
      <c r="B7" s="102" t="s">
        <v>14</v>
      </c>
      <c r="C7" s="103" t="s">
        <v>2</v>
      </c>
      <c r="D7" s="104">
        <v>3000</v>
      </c>
      <c r="E7" s="103">
        <v>2</v>
      </c>
      <c r="F7" s="17">
        <f>'Estudiodemercado DEF'!AL6</f>
        <v>2265</v>
      </c>
      <c r="G7" s="17">
        <f>ROUND((D7*E7*F7),0)</f>
        <v>13590000</v>
      </c>
      <c r="H7" s="17">
        <f>'Estudiodemercado DEF'!AN6</f>
        <v>1837</v>
      </c>
      <c r="I7" s="17">
        <f>ROUND((D7*E7*H7),0)</f>
        <v>11022000</v>
      </c>
      <c r="J7" s="17">
        <f>'Estudiodemercado DEF'!AP6</f>
        <v>1971</v>
      </c>
      <c r="K7" s="17">
        <f>ROUND((D7*E7*J7),0)</f>
        <v>11826000</v>
      </c>
      <c r="L7" s="17">
        <f>'Estudiodemercado DEF'!AR6</f>
        <v>2083</v>
      </c>
      <c r="M7" s="17">
        <f>ROUND((D7*E7*L7),0)</f>
        <v>12498000</v>
      </c>
    </row>
    <row r="8" spans="1:13" ht="89.25" x14ac:dyDescent="0.2">
      <c r="A8" s="18">
        <v>3</v>
      </c>
      <c r="B8" s="102" t="s">
        <v>15</v>
      </c>
      <c r="C8" s="103" t="s">
        <v>2</v>
      </c>
      <c r="D8" s="51">
        <v>2623</v>
      </c>
      <c r="E8" s="103">
        <v>2</v>
      </c>
      <c r="F8" s="17">
        <f>'Estudiodemercado DEF'!AL7</f>
        <v>2148</v>
      </c>
      <c r="G8" s="17">
        <f>ROUND((D8*E8*F8),0)</f>
        <v>11268408</v>
      </c>
      <c r="H8" s="17">
        <f>'Estudiodemercado DEF'!AN7</f>
        <v>1890</v>
      </c>
      <c r="I8" s="17">
        <f>ROUND((D8*E8*H8),0)</f>
        <v>9914940</v>
      </c>
      <c r="J8" s="17">
        <f>'Estudiodemercado DEF'!AP7</f>
        <v>2022</v>
      </c>
      <c r="K8" s="17">
        <f>ROUND((D8*E8*J8),0)</f>
        <v>10607412</v>
      </c>
      <c r="L8" s="17">
        <f>'Estudiodemercado DEF'!AR7</f>
        <v>2078</v>
      </c>
      <c r="M8" s="17">
        <f>ROUND((D8*E8*L8),0)</f>
        <v>10901188</v>
      </c>
    </row>
    <row r="9" spans="1:13" ht="38.25" x14ac:dyDescent="0.2">
      <c r="A9" s="18">
        <v>4</v>
      </c>
      <c r="B9" s="105" t="s">
        <v>46</v>
      </c>
      <c r="C9" s="52" t="s">
        <v>1</v>
      </c>
      <c r="D9" s="51">
        <v>12</v>
      </c>
      <c r="E9" s="52">
        <v>3</v>
      </c>
      <c r="F9" s="17">
        <f>'Estudiodemercado DEF'!AL8</f>
        <v>280802</v>
      </c>
      <c r="G9" s="17">
        <f>ROUND((D9*E9*F9),0)</f>
        <v>10108872</v>
      </c>
      <c r="H9" s="17">
        <f>'Estudiodemercado DEF'!AN8</f>
        <v>175862</v>
      </c>
      <c r="I9" s="17">
        <f>ROUND((D9*E9*H9),0)</f>
        <v>6331032</v>
      </c>
      <c r="J9" s="17">
        <f>'Estudiodemercado DEF'!AP8</f>
        <v>196838</v>
      </c>
      <c r="K9" s="17">
        <f>ROUND((D9*E9*J9),0)</f>
        <v>7086168</v>
      </c>
      <c r="L9" s="17">
        <f>'Estudiodemercado DEF'!AR8</f>
        <v>220596</v>
      </c>
      <c r="M9" s="17">
        <f>ROUND((D9*E9*L9),0)</f>
        <v>7941456</v>
      </c>
    </row>
    <row r="10" spans="1:13" x14ac:dyDescent="0.2">
      <c r="A10" s="21"/>
      <c r="B10" s="10" t="s">
        <v>110</v>
      </c>
      <c r="C10" s="52"/>
      <c r="D10" s="51"/>
      <c r="E10" s="52"/>
      <c r="F10" s="143"/>
      <c r="G10" s="144">
        <f>SUM(G6:G9)</f>
        <v>60417028</v>
      </c>
      <c r="H10" s="143"/>
      <c r="I10" s="144">
        <f>SUM(I6:I9)</f>
        <v>47411204</v>
      </c>
      <c r="J10" s="143"/>
      <c r="K10" s="144">
        <f>SUM(K6:K9)</f>
        <v>50613656</v>
      </c>
      <c r="L10" s="143"/>
      <c r="M10" s="144">
        <f>SUM(M6:M9)</f>
        <v>52844624</v>
      </c>
    </row>
    <row r="11" spans="1:13" x14ac:dyDescent="0.2">
      <c r="A11" s="21"/>
      <c r="B11" s="10" t="s">
        <v>11</v>
      </c>
      <c r="C11" s="52"/>
      <c r="D11" s="51"/>
      <c r="E11" s="52"/>
      <c r="F11" s="145">
        <v>0.16</v>
      </c>
      <c r="G11" s="144">
        <f>ROUND(G10*F11,0)</f>
        <v>9666724</v>
      </c>
      <c r="H11" s="145">
        <v>0.16</v>
      </c>
      <c r="I11" s="144">
        <f>ROUND(I10*H11,0)</f>
        <v>7585793</v>
      </c>
      <c r="J11" s="145">
        <v>0.16</v>
      </c>
      <c r="K11" s="144">
        <f>ROUND(K10*J11,0)</f>
        <v>8098185</v>
      </c>
      <c r="L11" s="145">
        <v>0.16</v>
      </c>
      <c r="M11" s="144">
        <f>ROUND(M10*L11,0)</f>
        <v>8455140</v>
      </c>
    </row>
    <row r="12" spans="1:13" x14ac:dyDescent="0.2">
      <c r="A12" s="21"/>
      <c r="B12" s="10" t="s">
        <v>31</v>
      </c>
      <c r="C12" s="52"/>
      <c r="D12" s="51"/>
      <c r="E12" s="52"/>
      <c r="F12" s="143"/>
      <c r="G12" s="144">
        <f>SUM(G10:G11)</f>
        <v>70083752</v>
      </c>
      <c r="H12" s="143"/>
      <c r="I12" s="144">
        <f>SUM(I10:I11)</f>
        <v>54996997</v>
      </c>
      <c r="J12" s="143"/>
      <c r="K12" s="144">
        <f>SUM(K10:K11)</f>
        <v>58711841</v>
      </c>
      <c r="L12" s="143"/>
      <c r="M12" s="144">
        <f>SUM(M10:M11)</f>
        <v>61299764</v>
      </c>
    </row>
    <row r="13" spans="1:13" x14ac:dyDescent="0.2">
      <c r="A13" s="21"/>
      <c r="B13" s="105"/>
      <c r="C13" s="52"/>
      <c r="D13" s="51"/>
      <c r="E13" s="52"/>
      <c r="F13" s="143"/>
      <c r="G13" s="144"/>
      <c r="H13" s="143"/>
      <c r="I13" s="144"/>
      <c r="J13" s="143"/>
      <c r="K13" s="144"/>
      <c r="L13" s="143"/>
      <c r="M13" s="144"/>
    </row>
    <row r="14" spans="1:13" ht="15" customHeight="1" x14ac:dyDescent="0.2">
      <c r="A14" s="21"/>
      <c r="B14" s="136" t="s">
        <v>104</v>
      </c>
      <c r="C14" s="52"/>
      <c r="D14" s="51"/>
      <c r="E14" s="52"/>
      <c r="F14" s="17"/>
      <c r="G14" s="17">
        <f t="shared" ref="G14:G102" si="0">ROUND((D14*E14*F14),0)</f>
        <v>0</v>
      </c>
      <c r="H14" s="17"/>
      <c r="I14" s="17">
        <f t="shared" ref="I14:I102" si="1">ROUND((D14*E14*H14),0)</f>
        <v>0</v>
      </c>
      <c r="J14" s="17"/>
      <c r="K14" s="17">
        <f t="shared" ref="K14:K93" si="2">ROUND((D14*E14*J14),0)</f>
        <v>0</v>
      </c>
      <c r="L14" s="17"/>
      <c r="M14" s="17">
        <f t="shared" ref="M14:M93" si="3">ROUND((D14*E14*L14),0)</f>
        <v>0</v>
      </c>
    </row>
    <row r="15" spans="1:13" ht="63.75" x14ac:dyDescent="0.2">
      <c r="A15" s="19">
        <v>5</v>
      </c>
      <c r="B15" s="22" t="s">
        <v>21</v>
      </c>
      <c r="C15" s="19" t="s">
        <v>1</v>
      </c>
      <c r="D15" s="41">
        <v>20.6</v>
      </c>
      <c r="E15" s="42">
        <v>4</v>
      </c>
      <c r="F15" s="17">
        <f>'Estudiodemercado DEF'!AJ17</f>
        <v>344478</v>
      </c>
      <c r="G15" s="17">
        <f t="shared" si="0"/>
        <v>28384987</v>
      </c>
      <c r="H15" s="17">
        <f>'Estudiodemercado DEF'!AL17</f>
        <v>315193</v>
      </c>
      <c r="I15" s="17">
        <f t="shared" si="1"/>
        <v>25971903</v>
      </c>
      <c r="J15" s="17">
        <f>'Estudiodemercado DEF'!AN17</f>
        <v>330163</v>
      </c>
      <c r="K15" s="17">
        <f t="shared" si="2"/>
        <v>27205431</v>
      </c>
      <c r="L15" s="17">
        <f>'Estudiodemercado DEF'!AP17</f>
        <v>336545</v>
      </c>
      <c r="M15" s="17">
        <f t="shared" si="3"/>
        <v>27731308</v>
      </c>
    </row>
    <row r="16" spans="1:13" ht="76.5" x14ac:dyDescent="0.2">
      <c r="A16" s="19">
        <v>6</v>
      </c>
      <c r="B16" s="22" t="s">
        <v>14</v>
      </c>
      <c r="C16" s="19" t="s">
        <v>2</v>
      </c>
      <c r="D16" s="41">
        <v>2940</v>
      </c>
      <c r="E16" s="42">
        <v>2</v>
      </c>
      <c r="F16" s="17">
        <f>'Estudiodemercado DEF'!AJ18</f>
        <v>2356</v>
      </c>
      <c r="G16" s="17">
        <f t="shared" si="0"/>
        <v>13853280</v>
      </c>
      <c r="H16" s="17">
        <f>'Estudiodemercado DEF'!AL18</f>
        <v>2100</v>
      </c>
      <c r="I16" s="17">
        <f t="shared" si="1"/>
        <v>12348000</v>
      </c>
      <c r="J16" s="17">
        <f>'Estudiodemercado DEF'!AN18</f>
        <v>2056</v>
      </c>
      <c r="K16" s="17">
        <f t="shared" si="2"/>
        <v>12089280</v>
      </c>
      <c r="L16" s="17">
        <f>'Estudiodemercado DEF'!AP18</f>
        <v>2173</v>
      </c>
      <c r="M16" s="17">
        <f t="shared" si="3"/>
        <v>12777240</v>
      </c>
    </row>
    <row r="17" spans="1:13" ht="89.25" x14ac:dyDescent="0.2">
      <c r="A17" s="19">
        <v>7</v>
      </c>
      <c r="B17" s="22" t="s">
        <v>23</v>
      </c>
      <c r="C17" s="19" t="s">
        <v>2</v>
      </c>
      <c r="D17" s="41">
        <v>3110</v>
      </c>
      <c r="E17" s="42">
        <v>2</v>
      </c>
      <c r="F17" s="17">
        <f>'Estudiodemercado DEF'!AJ19</f>
        <v>2222</v>
      </c>
      <c r="G17" s="17">
        <f t="shared" si="0"/>
        <v>13820840</v>
      </c>
      <c r="H17" s="17">
        <f>'Estudiodemercado DEF'!AL19</f>
        <v>1953</v>
      </c>
      <c r="I17" s="17">
        <f t="shared" si="1"/>
        <v>12147660</v>
      </c>
      <c r="J17" s="17">
        <f>'Estudiodemercado DEF'!AN19</f>
        <v>2089</v>
      </c>
      <c r="K17" s="17">
        <f t="shared" si="2"/>
        <v>12993580</v>
      </c>
      <c r="L17" s="17">
        <f>'Estudiodemercado DEF'!AP19</f>
        <v>2150</v>
      </c>
      <c r="M17" s="17">
        <f t="shared" si="3"/>
        <v>13373000</v>
      </c>
    </row>
    <row r="18" spans="1:13" ht="54.75" customHeight="1" x14ac:dyDescent="0.2">
      <c r="A18" s="19">
        <v>8</v>
      </c>
      <c r="B18" s="43" t="s">
        <v>24</v>
      </c>
      <c r="C18" s="19" t="s">
        <v>1</v>
      </c>
      <c r="D18" s="41">
        <v>12</v>
      </c>
      <c r="E18" s="42">
        <v>3</v>
      </c>
      <c r="F18" s="17">
        <f>'Estudiodemercado DEF'!AJ20</f>
        <v>276575</v>
      </c>
      <c r="G18" s="17">
        <f t="shared" si="0"/>
        <v>9956700</v>
      </c>
      <c r="H18" s="17">
        <f>'Estudiodemercado DEF'!AL20</f>
        <v>180000</v>
      </c>
      <c r="I18" s="17">
        <f t="shared" si="1"/>
        <v>6480000</v>
      </c>
      <c r="J18" s="17">
        <f>'Estudiodemercado DEF'!AN20</f>
        <v>204677</v>
      </c>
      <c r="K18" s="17">
        <f t="shared" si="2"/>
        <v>7368372</v>
      </c>
      <c r="L18" s="17">
        <f>'Estudiodemercado DEF'!AP20</f>
        <v>225374</v>
      </c>
      <c r="M18" s="17">
        <f t="shared" si="3"/>
        <v>8113464</v>
      </c>
    </row>
    <row r="19" spans="1:13" ht="79.5" customHeight="1" x14ac:dyDescent="0.2">
      <c r="A19" s="19">
        <v>9</v>
      </c>
      <c r="B19" s="43" t="s">
        <v>25</v>
      </c>
      <c r="C19" s="19" t="s">
        <v>26</v>
      </c>
      <c r="D19" s="41">
        <f>ROUND(944*2+17.6*2,0)</f>
        <v>1923</v>
      </c>
      <c r="E19" s="42">
        <v>2</v>
      </c>
      <c r="F19" s="17">
        <f>'Estudiodemercado DEF'!AJ21</f>
        <v>2847</v>
      </c>
      <c r="G19" s="17">
        <f t="shared" si="0"/>
        <v>10949562</v>
      </c>
      <c r="H19" s="17">
        <f>'Estudiodemercado DEF'!AL21</f>
        <v>2800</v>
      </c>
      <c r="I19" s="17">
        <f t="shared" si="1"/>
        <v>10768800</v>
      </c>
      <c r="J19" s="17">
        <f>'Estudiodemercado DEF'!AN21</f>
        <v>2582</v>
      </c>
      <c r="K19" s="17">
        <f t="shared" si="2"/>
        <v>9930372</v>
      </c>
      <c r="L19" s="17">
        <f>'Estudiodemercado DEF'!AP21</f>
        <v>2715</v>
      </c>
      <c r="M19" s="17">
        <f t="shared" si="3"/>
        <v>10441890</v>
      </c>
    </row>
    <row r="20" spans="1:13" ht="102" x14ac:dyDescent="0.2">
      <c r="A20" s="4">
        <v>10</v>
      </c>
      <c r="B20" s="70" t="s">
        <v>27</v>
      </c>
      <c r="C20" s="42" t="s">
        <v>1</v>
      </c>
      <c r="D20" s="41">
        <v>2</v>
      </c>
      <c r="E20" s="42">
        <v>1</v>
      </c>
      <c r="F20" s="17">
        <f>'Estudiodemercado DEF'!AJ22</f>
        <v>1187524</v>
      </c>
      <c r="G20" s="17">
        <f t="shared" si="0"/>
        <v>2375048</v>
      </c>
      <c r="H20" s="17">
        <f>'Estudiodemercado DEF'!AL22</f>
        <v>1050000</v>
      </c>
      <c r="I20" s="17">
        <f t="shared" si="1"/>
        <v>2100000</v>
      </c>
      <c r="J20" s="17">
        <f>'Estudiodemercado DEF'!AN22</f>
        <v>1094653</v>
      </c>
      <c r="K20" s="17">
        <f t="shared" si="2"/>
        <v>2189306</v>
      </c>
      <c r="L20" s="17">
        <f>'Estudiodemercado DEF'!AP22</f>
        <v>1137749</v>
      </c>
      <c r="M20" s="17">
        <f t="shared" si="3"/>
        <v>2275498</v>
      </c>
    </row>
    <row r="21" spans="1:13" x14ac:dyDescent="0.2">
      <c r="A21" s="42"/>
      <c r="B21" s="10" t="s">
        <v>111</v>
      </c>
      <c r="C21" s="19"/>
      <c r="D21" s="41"/>
      <c r="E21" s="42"/>
      <c r="F21" s="143"/>
      <c r="G21" s="144">
        <f>SUM(G15:G20)</f>
        <v>79340417</v>
      </c>
      <c r="H21" s="143"/>
      <c r="I21" s="144">
        <f>SUM(I15:I20)</f>
        <v>69816363</v>
      </c>
      <c r="J21" s="143"/>
      <c r="K21" s="144">
        <f>SUM(K15:K20)</f>
        <v>71776341</v>
      </c>
      <c r="L21" s="143"/>
      <c r="M21" s="144">
        <f>SUM(M15:M20)</f>
        <v>74712400</v>
      </c>
    </row>
    <row r="22" spans="1:13" x14ac:dyDescent="0.2">
      <c r="A22" s="42"/>
      <c r="B22" s="10" t="s">
        <v>11</v>
      </c>
      <c r="C22" s="19"/>
      <c r="D22" s="41"/>
      <c r="E22" s="42"/>
      <c r="F22" s="145">
        <v>0.16</v>
      </c>
      <c r="G22" s="144">
        <f>ROUND(G21*F22,0)</f>
        <v>12694467</v>
      </c>
      <c r="H22" s="145">
        <v>0.16</v>
      </c>
      <c r="I22" s="144">
        <f>ROUND(I21*H22,0)</f>
        <v>11170618</v>
      </c>
      <c r="J22" s="145">
        <v>0.16</v>
      </c>
      <c r="K22" s="144">
        <f>ROUND(K21*J22,0)</f>
        <v>11484215</v>
      </c>
      <c r="L22" s="145">
        <v>0.16</v>
      </c>
      <c r="M22" s="144">
        <f>ROUND(M21*L22,0)</f>
        <v>11953984</v>
      </c>
    </row>
    <row r="23" spans="1:13" x14ac:dyDescent="0.2">
      <c r="A23" s="42"/>
      <c r="B23" s="10" t="s">
        <v>30</v>
      </c>
      <c r="C23" s="19"/>
      <c r="D23" s="41"/>
      <c r="E23" s="42"/>
      <c r="F23" s="143"/>
      <c r="G23" s="144">
        <f>SUM(G21:G22)</f>
        <v>92034884</v>
      </c>
      <c r="H23" s="143"/>
      <c r="I23" s="144">
        <f>SUM(I21:I22)</f>
        <v>80986981</v>
      </c>
      <c r="J23" s="143"/>
      <c r="K23" s="144">
        <f>SUM(K21:K22)</f>
        <v>83260556</v>
      </c>
      <c r="L23" s="143"/>
      <c r="M23" s="144">
        <f>SUM(M21:M22)</f>
        <v>86666384</v>
      </c>
    </row>
    <row r="24" spans="1:13" ht="18.75" customHeight="1" x14ac:dyDescent="0.2">
      <c r="A24" s="42"/>
      <c r="B24" s="22"/>
      <c r="C24" s="19"/>
      <c r="D24" s="41"/>
      <c r="E24" s="42"/>
      <c r="F24" s="17"/>
      <c r="G24" s="17"/>
      <c r="H24" s="17"/>
      <c r="I24" s="17"/>
      <c r="J24" s="17"/>
      <c r="K24" s="17"/>
      <c r="L24" s="17"/>
      <c r="M24" s="17"/>
    </row>
    <row r="25" spans="1:13" x14ac:dyDescent="0.2">
      <c r="A25" s="137"/>
      <c r="B25" s="136" t="str">
        <f>UPPER("aeropuerto Berastegui de Cienaga de Oro - Cordoba")</f>
        <v>AEROPUERTO BERASTEGUI DE CIENAGA DE ORO - CORDOBA</v>
      </c>
      <c r="C25" s="42"/>
      <c r="D25" s="71"/>
      <c r="E25" s="3"/>
      <c r="F25" s="44"/>
      <c r="G25" s="17">
        <f t="shared" si="0"/>
        <v>0</v>
      </c>
      <c r="H25" s="17"/>
      <c r="I25" s="17">
        <f t="shared" si="1"/>
        <v>0</v>
      </c>
      <c r="J25" s="44"/>
      <c r="K25" s="17">
        <f t="shared" si="2"/>
        <v>0</v>
      </c>
      <c r="L25" s="44"/>
      <c r="M25" s="17">
        <f t="shared" si="3"/>
        <v>0</v>
      </c>
    </row>
    <row r="26" spans="1:13" ht="63.75" x14ac:dyDescent="0.2">
      <c r="A26" s="106">
        <v>1</v>
      </c>
      <c r="B26" s="22" t="s">
        <v>13</v>
      </c>
      <c r="C26" s="106" t="s">
        <v>1</v>
      </c>
      <c r="D26" s="51">
        <v>33.25</v>
      </c>
      <c r="E26" s="103">
        <v>4</v>
      </c>
      <c r="F26" s="17">
        <f>'Estudiodemercado DEF'!AL35</f>
        <v>319799</v>
      </c>
      <c r="G26" s="17">
        <f t="shared" si="0"/>
        <v>42533267</v>
      </c>
      <c r="H26" s="17">
        <f>'Estudiodemercado DEF'!AN35</f>
        <v>302406</v>
      </c>
      <c r="I26" s="17">
        <f t="shared" si="1"/>
        <v>40219998</v>
      </c>
      <c r="J26" s="17">
        <f>'Estudiodemercado DEF'!AP35</f>
        <v>308302</v>
      </c>
      <c r="K26" s="17">
        <f t="shared" si="2"/>
        <v>41004166</v>
      </c>
      <c r="L26" s="17">
        <f>'Estudiodemercado DEF'!AR35</f>
        <v>312988</v>
      </c>
      <c r="M26" s="17">
        <f t="shared" si="3"/>
        <v>41627404</v>
      </c>
    </row>
    <row r="27" spans="1:13" ht="89.25" x14ac:dyDescent="0.2">
      <c r="A27" s="106">
        <v>2</v>
      </c>
      <c r="B27" s="22" t="s">
        <v>59</v>
      </c>
      <c r="C27" s="106" t="s">
        <v>2</v>
      </c>
      <c r="D27" s="51">
        <v>4206</v>
      </c>
      <c r="E27" s="103">
        <v>2</v>
      </c>
      <c r="F27" s="17">
        <f>'Estudiodemercado DEF'!AL36</f>
        <v>2634</v>
      </c>
      <c r="G27" s="17">
        <f t="shared" si="0"/>
        <v>22157208</v>
      </c>
      <c r="H27" s="17">
        <f>'Estudiodemercado DEF'!AN36</f>
        <v>2236</v>
      </c>
      <c r="I27" s="17">
        <f t="shared" si="1"/>
        <v>18809232</v>
      </c>
      <c r="J27" s="17">
        <f>'Estudiodemercado DEF'!AP36</f>
        <v>2383</v>
      </c>
      <c r="K27" s="17">
        <f t="shared" si="2"/>
        <v>20045796</v>
      </c>
      <c r="L27" s="17">
        <f>'Estudiodemercado DEF'!AR36</f>
        <v>2493</v>
      </c>
      <c r="M27" s="17">
        <f t="shared" si="3"/>
        <v>20971116</v>
      </c>
    </row>
    <row r="28" spans="1:13" ht="76.5" x14ac:dyDescent="0.2">
      <c r="A28" s="106">
        <v>3</v>
      </c>
      <c r="B28" s="22" t="s">
        <v>14</v>
      </c>
      <c r="C28" s="108" t="s">
        <v>2</v>
      </c>
      <c r="D28" s="109">
        <v>2567</v>
      </c>
      <c r="E28" s="110">
        <v>2</v>
      </c>
      <c r="F28" s="17">
        <f>'Estudiodemercado DEF'!AL37</f>
        <v>2624</v>
      </c>
      <c r="G28" s="17">
        <f t="shared" si="0"/>
        <v>13471616</v>
      </c>
      <c r="H28" s="17">
        <f>'Estudiodemercado DEF'!AN37</f>
        <v>2137</v>
      </c>
      <c r="I28" s="17">
        <f t="shared" si="1"/>
        <v>10971358</v>
      </c>
      <c r="J28" s="17">
        <f>'Estudiodemercado DEF'!AP37</f>
        <v>2301</v>
      </c>
      <c r="K28" s="17">
        <f t="shared" si="2"/>
        <v>11813334</v>
      </c>
      <c r="L28" s="17">
        <f>'Estudiodemercado DEF'!AR37</f>
        <v>2426</v>
      </c>
      <c r="M28" s="17">
        <f t="shared" si="3"/>
        <v>12455084</v>
      </c>
    </row>
    <row r="29" spans="1:13" ht="38.25" x14ac:dyDescent="0.2">
      <c r="A29" s="106">
        <v>4</v>
      </c>
      <c r="B29" s="22" t="s">
        <v>46</v>
      </c>
      <c r="C29" s="19" t="s">
        <v>1</v>
      </c>
      <c r="D29" s="111">
        <v>14</v>
      </c>
      <c r="E29" s="52">
        <v>3</v>
      </c>
      <c r="F29" s="17">
        <f>'Estudiodemercado DEF'!AL38</f>
        <v>306143</v>
      </c>
      <c r="G29" s="17">
        <f t="shared" si="0"/>
        <v>12858006</v>
      </c>
      <c r="H29" s="17">
        <f>'Estudiodemercado DEF'!AN38</f>
        <v>196064</v>
      </c>
      <c r="I29" s="17">
        <f t="shared" si="1"/>
        <v>8234688</v>
      </c>
      <c r="J29" s="17">
        <f>'Estudiodemercado DEF'!AP38</f>
        <v>222553</v>
      </c>
      <c r="K29" s="17">
        <f t="shared" si="2"/>
        <v>9347226</v>
      </c>
      <c r="L29" s="17">
        <f>'Estudiodemercado DEF'!AR38</f>
        <v>249489</v>
      </c>
      <c r="M29" s="17">
        <f t="shared" si="3"/>
        <v>10478538</v>
      </c>
    </row>
    <row r="30" spans="1:13" x14ac:dyDescent="0.2">
      <c r="A30" s="150"/>
      <c r="B30" s="10" t="s">
        <v>112</v>
      </c>
      <c r="C30" s="106"/>
      <c r="D30" s="51"/>
      <c r="E30" s="103"/>
      <c r="F30" s="143"/>
      <c r="G30" s="144">
        <f>SUM(G26:G29)</f>
        <v>91020097</v>
      </c>
      <c r="H30" s="143"/>
      <c r="I30" s="144">
        <f>SUM(I26:I29)</f>
        <v>78235276</v>
      </c>
      <c r="J30" s="143"/>
      <c r="K30" s="144">
        <f>SUM(K26:K29)</f>
        <v>82210522</v>
      </c>
      <c r="L30" s="143"/>
      <c r="M30" s="144">
        <f>SUM(M26:M29)</f>
        <v>85532142</v>
      </c>
    </row>
    <row r="31" spans="1:13" x14ac:dyDescent="0.2">
      <c r="A31" s="150"/>
      <c r="B31" s="10" t="s">
        <v>11</v>
      </c>
      <c r="C31" s="106"/>
      <c r="D31" s="51"/>
      <c r="E31" s="103"/>
      <c r="F31" s="145">
        <v>0.16</v>
      </c>
      <c r="G31" s="144">
        <f>ROUND(G30*F31,0)</f>
        <v>14563216</v>
      </c>
      <c r="H31" s="145">
        <v>0.16</v>
      </c>
      <c r="I31" s="144">
        <f>ROUND(I30*H31,0)</f>
        <v>12517644</v>
      </c>
      <c r="J31" s="145">
        <v>0.16</v>
      </c>
      <c r="K31" s="144">
        <f>ROUND(K30*J31,0)</f>
        <v>13153684</v>
      </c>
      <c r="L31" s="145">
        <v>0.16</v>
      </c>
      <c r="M31" s="144">
        <f>ROUND(M30*L31,0)</f>
        <v>13685143</v>
      </c>
    </row>
    <row r="32" spans="1:13" x14ac:dyDescent="0.2">
      <c r="A32" s="150"/>
      <c r="B32" s="10" t="s">
        <v>113</v>
      </c>
      <c r="C32" s="106"/>
      <c r="D32" s="51"/>
      <c r="E32" s="103"/>
      <c r="F32" s="143"/>
      <c r="G32" s="144">
        <f>SUM(G30:G31)</f>
        <v>105583313</v>
      </c>
      <c r="H32" s="143"/>
      <c r="I32" s="144">
        <f>SUM(I30:I31)</f>
        <v>90752920</v>
      </c>
      <c r="J32" s="143"/>
      <c r="K32" s="144">
        <f>SUM(K30:K31)</f>
        <v>95364206</v>
      </c>
      <c r="L32" s="143"/>
      <c r="M32" s="144">
        <f>SUM(M30:M31)</f>
        <v>99217285</v>
      </c>
    </row>
    <row r="33" spans="1:13" x14ac:dyDescent="0.2">
      <c r="A33" s="150"/>
      <c r="B33" s="22"/>
      <c r="C33" s="106"/>
      <c r="D33" s="51"/>
      <c r="E33" s="103"/>
      <c r="F33" s="143"/>
      <c r="G33" s="144"/>
      <c r="H33" s="143"/>
      <c r="I33" s="144"/>
      <c r="J33" s="143"/>
      <c r="K33" s="144"/>
      <c r="L33" s="143"/>
      <c r="M33" s="144"/>
    </row>
    <row r="34" spans="1:13" x14ac:dyDescent="0.2">
      <c r="A34" s="21"/>
      <c r="B34" s="136" t="str">
        <f>UPPER("aeropuerto El Pindo de Montelibano - Cordoba")</f>
        <v>AEROPUERTO EL PINDO DE MONTELIBANO - CORDOBA</v>
      </c>
      <c r="C34" s="52"/>
      <c r="D34" s="51"/>
      <c r="E34" s="52"/>
      <c r="F34" s="17"/>
      <c r="G34" s="17">
        <f t="shared" si="0"/>
        <v>0</v>
      </c>
      <c r="H34" s="17"/>
      <c r="I34" s="17">
        <f t="shared" si="1"/>
        <v>0</v>
      </c>
      <c r="J34" s="17"/>
      <c r="K34" s="17">
        <f t="shared" si="2"/>
        <v>0</v>
      </c>
      <c r="L34" s="17"/>
      <c r="M34" s="17">
        <f t="shared" si="3"/>
        <v>0</v>
      </c>
    </row>
    <row r="35" spans="1:13" ht="63.75" x14ac:dyDescent="0.2">
      <c r="A35" s="18">
        <v>5</v>
      </c>
      <c r="B35" s="22" t="s">
        <v>13</v>
      </c>
      <c r="C35" s="42" t="s">
        <v>1</v>
      </c>
      <c r="D35" s="112">
        <v>13</v>
      </c>
      <c r="E35" s="42">
        <v>4</v>
      </c>
      <c r="F35" s="17">
        <f>'Estudiodemercado DEF'!AJ49</f>
        <v>324289</v>
      </c>
      <c r="G35" s="17">
        <f t="shared" si="0"/>
        <v>16863028</v>
      </c>
      <c r="H35" s="17">
        <f>'Estudiodemercado DEF'!AL49</f>
        <v>305632</v>
      </c>
      <c r="I35" s="17">
        <f t="shared" si="1"/>
        <v>15892864</v>
      </c>
      <c r="J35" s="17">
        <f>'Estudiodemercado DEF'!AN49</f>
        <v>309804</v>
      </c>
      <c r="K35" s="17">
        <f t="shared" si="2"/>
        <v>16109808</v>
      </c>
      <c r="L35" s="17">
        <f>'Estudiodemercado DEF'!AP49</f>
        <v>315763</v>
      </c>
      <c r="M35" s="17">
        <f t="shared" si="3"/>
        <v>16419676</v>
      </c>
    </row>
    <row r="36" spans="1:13" ht="89.25" x14ac:dyDescent="0.2">
      <c r="A36" s="18">
        <v>6</v>
      </c>
      <c r="B36" s="22" t="s">
        <v>15</v>
      </c>
      <c r="C36" s="42" t="s">
        <v>2</v>
      </c>
      <c r="D36" s="112">
        <v>2792</v>
      </c>
      <c r="E36" s="42">
        <v>2</v>
      </c>
      <c r="F36" s="17">
        <f>'Estudiodemercado DEF'!AJ50</f>
        <v>2387</v>
      </c>
      <c r="G36" s="17">
        <f t="shared" si="0"/>
        <v>13329008</v>
      </c>
      <c r="H36" s="17">
        <f>'Estudiodemercado DEF'!AL50</f>
        <v>2104</v>
      </c>
      <c r="I36" s="17">
        <f t="shared" si="1"/>
        <v>11748736</v>
      </c>
      <c r="J36" s="17">
        <f>'Estudiodemercado DEF'!AN50</f>
        <v>2262</v>
      </c>
      <c r="K36" s="17">
        <f t="shared" si="2"/>
        <v>12631008</v>
      </c>
      <c r="L36" s="17">
        <f>'Estudiodemercado DEF'!AP50</f>
        <v>2320</v>
      </c>
      <c r="M36" s="17">
        <f t="shared" si="3"/>
        <v>12954880</v>
      </c>
    </row>
    <row r="37" spans="1:13" ht="38.25" x14ac:dyDescent="0.2">
      <c r="A37" s="18">
        <v>7</v>
      </c>
      <c r="B37" s="22" t="s">
        <v>46</v>
      </c>
      <c r="C37" s="42" t="s">
        <v>1</v>
      </c>
      <c r="D37" s="112">
        <v>12</v>
      </c>
      <c r="E37" s="42">
        <v>2</v>
      </c>
      <c r="F37" s="17">
        <f>'Estudiodemercado DEF'!AJ51</f>
        <v>293304</v>
      </c>
      <c r="G37" s="17">
        <f t="shared" si="0"/>
        <v>7039296</v>
      </c>
      <c r="H37" s="17">
        <f>'Estudiodemercado DEF'!AL51</f>
        <v>180000</v>
      </c>
      <c r="I37" s="17">
        <f t="shared" si="1"/>
        <v>4320000</v>
      </c>
      <c r="J37" s="17">
        <f>'Estudiodemercado DEF'!AN51</f>
        <v>204149</v>
      </c>
      <c r="K37" s="17">
        <f t="shared" si="2"/>
        <v>4899576</v>
      </c>
      <c r="L37" s="17">
        <f>'Estudiodemercado DEF'!AP51</f>
        <v>229847</v>
      </c>
      <c r="M37" s="17">
        <f t="shared" si="3"/>
        <v>5516328</v>
      </c>
    </row>
    <row r="38" spans="1:13" ht="63.75" x14ac:dyDescent="0.2">
      <c r="A38" s="18">
        <v>8</v>
      </c>
      <c r="B38" s="22" t="s">
        <v>61</v>
      </c>
      <c r="C38" s="42" t="s">
        <v>26</v>
      </c>
      <c r="D38" s="112">
        <f>1100*2</f>
        <v>2200</v>
      </c>
      <c r="E38" s="42">
        <v>2</v>
      </c>
      <c r="F38" s="17">
        <f>'Estudiodemercado DEF'!AJ52</f>
        <v>2808</v>
      </c>
      <c r="G38" s="17">
        <f t="shared" si="0"/>
        <v>12355200</v>
      </c>
      <c r="H38" s="17">
        <f>'Estudiodemercado DEF'!AL52</f>
        <v>2800</v>
      </c>
      <c r="I38" s="17">
        <f t="shared" si="1"/>
        <v>12320000</v>
      </c>
      <c r="J38" s="17">
        <f>'Estudiodemercado DEF'!AN52</f>
        <v>2514</v>
      </c>
      <c r="K38" s="17">
        <f t="shared" si="2"/>
        <v>11061600</v>
      </c>
      <c r="L38" s="17">
        <f>'Estudiodemercado DEF'!AP52</f>
        <v>2660</v>
      </c>
      <c r="M38" s="17">
        <f t="shared" si="3"/>
        <v>11704000</v>
      </c>
    </row>
    <row r="39" spans="1:13" x14ac:dyDescent="0.2">
      <c r="A39" s="21"/>
      <c r="B39" s="10" t="s">
        <v>114</v>
      </c>
      <c r="C39" s="42"/>
      <c r="D39" s="112"/>
      <c r="E39" s="42"/>
      <c r="F39" s="143"/>
      <c r="G39" s="144">
        <f>SUM(G35:G38)</f>
        <v>49586532</v>
      </c>
      <c r="H39" s="143"/>
      <c r="I39" s="144">
        <f>SUM(I35:I38)</f>
        <v>44281600</v>
      </c>
      <c r="J39" s="143"/>
      <c r="K39" s="144">
        <f>SUM(K35:K38)</f>
        <v>44701992</v>
      </c>
      <c r="L39" s="143"/>
      <c r="M39" s="144">
        <f>SUM(M35:M38)</f>
        <v>46594884</v>
      </c>
    </row>
    <row r="40" spans="1:13" x14ac:dyDescent="0.2">
      <c r="A40" s="21"/>
      <c r="B40" s="10" t="s">
        <v>11</v>
      </c>
      <c r="C40" s="42"/>
      <c r="D40" s="112"/>
      <c r="E40" s="42"/>
      <c r="F40" s="145">
        <v>0.16</v>
      </c>
      <c r="G40" s="144">
        <f>ROUND(G39*F40,0)</f>
        <v>7933845</v>
      </c>
      <c r="H40" s="145">
        <v>0.16</v>
      </c>
      <c r="I40" s="144">
        <f>ROUND(I39*H40,0)</f>
        <v>7085056</v>
      </c>
      <c r="J40" s="145">
        <v>0.16</v>
      </c>
      <c r="K40" s="144">
        <f>ROUND(K39*J40,0)</f>
        <v>7152319</v>
      </c>
      <c r="L40" s="145">
        <v>0.16</v>
      </c>
      <c r="M40" s="144">
        <f>ROUND(M39*L40,0)</f>
        <v>7455181</v>
      </c>
    </row>
    <row r="41" spans="1:13" x14ac:dyDescent="0.2">
      <c r="A41" s="21"/>
      <c r="B41" s="10" t="s">
        <v>115</v>
      </c>
      <c r="C41" s="42"/>
      <c r="D41" s="112"/>
      <c r="E41" s="42"/>
      <c r="F41" s="143"/>
      <c r="G41" s="144">
        <f>SUM(G39:G40)</f>
        <v>57520377</v>
      </c>
      <c r="H41" s="143"/>
      <c r="I41" s="144">
        <f>SUM(I39:I40)</f>
        <v>51366656</v>
      </c>
      <c r="J41" s="143"/>
      <c r="K41" s="144">
        <f>SUM(K39:K40)</f>
        <v>51854311</v>
      </c>
      <c r="L41" s="143"/>
      <c r="M41" s="144">
        <f>SUM(M39:M40)</f>
        <v>54050065</v>
      </c>
    </row>
    <row r="42" spans="1:13" x14ac:dyDescent="0.2">
      <c r="A42" s="21"/>
      <c r="B42" s="22"/>
      <c r="C42" s="42"/>
      <c r="D42" s="112"/>
      <c r="E42" s="42"/>
      <c r="F42" s="143"/>
      <c r="G42" s="144"/>
      <c r="H42" s="143"/>
      <c r="I42" s="144"/>
      <c r="J42" s="143"/>
      <c r="K42" s="144"/>
      <c r="L42" s="143"/>
      <c r="M42" s="144"/>
    </row>
    <row r="43" spans="1:13" x14ac:dyDescent="0.2">
      <c r="A43" s="137"/>
      <c r="B43" s="136" t="str">
        <f>UPPER("aeropuerto Morela de Puerto Berrio - Antioquia")</f>
        <v>AEROPUERTO MORELA DE PUERTO BERRIO - ANTIOQUIA</v>
      </c>
      <c r="C43" s="42"/>
      <c r="D43" s="71"/>
      <c r="E43" s="3"/>
      <c r="F43" s="44"/>
      <c r="G43" s="17">
        <f t="shared" si="0"/>
        <v>0</v>
      </c>
      <c r="H43" s="17"/>
      <c r="I43" s="17">
        <f t="shared" si="1"/>
        <v>0</v>
      </c>
      <c r="J43" s="44"/>
      <c r="K43" s="17">
        <f t="shared" si="2"/>
        <v>0</v>
      </c>
      <c r="L43" s="44"/>
      <c r="M43" s="17">
        <f t="shared" si="3"/>
        <v>0</v>
      </c>
    </row>
    <row r="44" spans="1:13" ht="63.75" x14ac:dyDescent="0.2">
      <c r="A44" s="18">
        <v>1</v>
      </c>
      <c r="B44" s="102" t="s">
        <v>13</v>
      </c>
      <c r="C44" s="103" t="s">
        <v>1</v>
      </c>
      <c r="D44" s="51">
        <v>14</v>
      </c>
      <c r="E44" s="103">
        <v>4</v>
      </c>
      <c r="F44" s="17">
        <f>'Estudiodemercado DEF'!AJ64</f>
        <v>345702</v>
      </c>
      <c r="G44" s="17">
        <f t="shared" si="0"/>
        <v>19359312</v>
      </c>
      <c r="H44" s="17">
        <f>'Estudiodemercado DEF'!AL64</f>
        <v>315000</v>
      </c>
      <c r="I44" s="17">
        <f t="shared" si="1"/>
        <v>17640000</v>
      </c>
      <c r="J44" s="17">
        <f>'Estudiodemercado DEF'!AN64</f>
        <v>331981</v>
      </c>
      <c r="K44" s="17">
        <f t="shared" si="2"/>
        <v>18590936</v>
      </c>
      <c r="L44" s="17">
        <f>'Estudiodemercado DEF'!AP64</f>
        <v>338056</v>
      </c>
      <c r="M44" s="17">
        <f t="shared" si="3"/>
        <v>18931136</v>
      </c>
    </row>
    <row r="45" spans="1:13" ht="76.5" x14ac:dyDescent="0.2">
      <c r="A45" s="18">
        <v>2</v>
      </c>
      <c r="B45" s="102" t="s">
        <v>14</v>
      </c>
      <c r="C45" s="103" t="s">
        <v>2</v>
      </c>
      <c r="D45" s="104">
        <v>2787</v>
      </c>
      <c r="E45" s="103">
        <v>2</v>
      </c>
      <c r="F45" s="17">
        <f>'Estudiodemercado DEF'!AJ65</f>
        <v>2768</v>
      </c>
      <c r="G45" s="17">
        <f t="shared" si="0"/>
        <v>15428832</v>
      </c>
      <c r="H45" s="17">
        <f>'Estudiodemercado DEF'!AL65</f>
        <v>2343</v>
      </c>
      <c r="I45" s="17">
        <f t="shared" si="1"/>
        <v>13059882</v>
      </c>
      <c r="J45" s="17">
        <f>'Estudiodemercado DEF'!AN65</f>
        <v>2443</v>
      </c>
      <c r="K45" s="17">
        <f t="shared" si="2"/>
        <v>13617282</v>
      </c>
      <c r="L45" s="17">
        <f>'Estudiodemercado DEF'!AP65</f>
        <v>2574</v>
      </c>
      <c r="M45" s="17">
        <f t="shared" si="3"/>
        <v>14347476</v>
      </c>
    </row>
    <row r="46" spans="1:13" ht="89.25" x14ac:dyDescent="0.2">
      <c r="A46" s="18">
        <v>3</v>
      </c>
      <c r="B46" s="102" t="s">
        <v>15</v>
      </c>
      <c r="C46" s="103" t="s">
        <v>2</v>
      </c>
      <c r="D46" s="51">
        <v>3247</v>
      </c>
      <c r="E46" s="103">
        <v>2</v>
      </c>
      <c r="F46" s="17">
        <f>'Estudiodemercado DEF'!AJ66</f>
        <v>2360</v>
      </c>
      <c r="G46" s="17">
        <f t="shared" si="0"/>
        <v>15325840</v>
      </c>
      <c r="H46" s="17">
        <f>'Estudiodemercado DEF'!AL66</f>
        <v>2200</v>
      </c>
      <c r="I46" s="17">
        <f t="shared" si="1"/>
        <v>14286800</v>
      </c>
      <c r="J46" s="17">
        <f>'Estudiodemercado DEF'!AN66</f>
        <v>2242</v>
      </c>
      <c r="K46" s="17">
        <f t="shared" si="2"/>
        <v>14559548</v>
      </c>
      <c r="L46" s="17">
        <f>'Estudiodemercado DEF'!AP66</f>
        <v>2298</v>
      </c>
      <c r="M46" s="17">
        <f t="shared" si="3"/>
        <v>14923212</v>
      </c>
    </row>
    <row r="47" spans="1:13" ht="38.25" x14ac:dyDescent="0.2">
      <c r="A47" s="18">
        <v>4</v>
      </c>
      <c r="B47" s="105" t="s">
        <v>46</v>
      </c>
      <c r="C47" s="52" t="s">
        <v>1</v>
      </c>
      <c r="D47" s="51">
        <v>13</v>
      </c>
      <c r="E47" s="52">
        <v>3</v>
      </c>
      <c r="F47" s="17">
        <f>'Estudiodemercado DEF'!AJ67</f>
        <v>282182</v>
      </c>
      <c r="G47" s="17">
        <f t="shared" si="0"/>
        <v>11005098</v>
      </c>
      <c r="H47" s="17">
        <f>'Estudiodemercado DEF'!AL67</f>
        <v>190891</v>
      </c>
      <c r="I47" s="17">
        <f t="shared" si="1"/>
        <v>7444749</v>
      </c>
      <c r="J47" s="17">
        <f>'Estudiodemercado DEF'!AN67</f>
        <v>209775</v>
      </c>
      <c r="K47" s="17">
        <f t="shared" si="2"/>
        <v>8181225</v>
      </c>
      <c r="L47" s="17">
        <f>'Estudiodemercado DEF'!AP67</f>
        <v>231213</v>
      </c>
      <c r="M47" s="17">
        <f t="shared" si="3"/>
        <v>9017307</v>
      </c>
    </row>
    <row r="48" spans="1:13" x14ac:dyDescent="0.2">
      <c r="A48" s="21"/>
      <c r="B48" s="10" t="s">
        <v>116</v>
      </c>
      <c r="C48" s="42"/>
      <c r="D48" s="112"/>
      <c r="E48" s="42"/>
      <c r="F48" s="143"/>
      <c r="G48" s="144">
        <f>SUM(G44:G47)</f>
        <v>61119082</v>
      </c>
      <c r="H48" s="143"/>
      <c r="I48" s="144">
        <f>SUM(I44:I47)</f>
        <v>52431431</v>
      </c>
      <c r="J48" s="143"/>
      <c r="K48" s="144">
        <f>SUM(K44:K47)</f>
        <v>54948991</v>
      </c>
      <c r="L48" s="143"/>
      <c r="M48" s="144">
        <f>SUM(M44:M47)</f>
        <v>57219131</v>
      </c>
    </row>
    <row r="49" spans="1:13" x14ac:dyDescent="0.2">
      <c r="A49" s="21"/>
      <c r="B49" s="10" t="s">
        <v>11</v>
      </c>
      <c r="C49" s="42"/>
      <c r="D49" s="112"/>
      <c r="E49" s="42"/>
      <c r="F49" s="145">
        <v>0.16</v>
      </c>
      <c r="G49" s="144">
        <f>ROUND(G48*F49,0)</f>
        <v>9779053</v>
      </c>
      <c r="H49" s="145">
        <v>0.16</v>
      </c>
      <c r="I49" s="144">
        <f>ROUND(I48*H49,0)</f>
        <v>8389029</v>
      </c>
      <c r="J49" s="145">
        <v>0.16</v>
      </c>
      <c r="K49" s="144">
        <f>ROUND(K48*J49,0)</f>
        <v>8791839</v>
      </c>
      <c r="L49" s="145">
        <v>0.16</v>
      </c>
      <c r="M49" s="144">
        <f>ROUND(M48*L49,0)</f>
        <v>9155061</v>
      </c>
    </row>
    <row r="50" spans="1:13" x14ac:dyDescent="0.2">
      <c r="A50" s="21"/>
      <c r="B50" s="10" t="s">
        <v>117</v>
      </c>
      <c r="C50" s="42"/>
      <c r="D50" s="112"/>
      <c r="E50" s="42"/>
      <c r="F50" s="143"/>
      <c r="G50" s="144">
        <f>SUM(G48:G49)</f>
        <v>70898135</v>
      </c>
      <c r="H50" s="143"/>
      <c r="I50" s="144">
        <f>SUM(I48:I49)</f>
        <v>60820460</v>
      </c>
      <c r="J50" s="143"/>
      <c r="K50" s="144">
        <f>SUM(K48:K49)</f>
        <v>63740830</v>
      </c>
      <c r="L50" s="143"/>
      <c r="M50" s="144">
        <f>SUM(M48:M49)</f>
        <v>66374192</v>
      </c>
    </row>
    <row r="51" spans="1:13" x14ac:dyDescent="0.2">
      <c r="A51" s="21"/>
      <c r="B51" s="102"/>
      <c r="C51" s="103"/>
      <c r="D51" s="51"/>
      <c r="E51" s="103"/>
      <c r="F51" s="17"/>
      <c r="G51" s="17"/>
      <c r="H51" s="17"/>
      <c r="I51" s="17"/>
      <c r="J51" s="17"/>
      <c r="K51" s="17"/>
      <c r="L51" s="17"/>
      <c r="M51" s="17"/>
    </row>
    <row r="52" spans="1:13" x14ac:dyDescent="0.2">
      <c r="A52" s="21"/>
      <c r="B52" s="136" t="str">
        <f>UPPER("aeropuerto de Gustavo Rojas Pinilla de Cimitarra - Santander")</f>
        <v>AEROPUERTO DE GUSTAVO ROJAS PINILLA DE CIMITARRA - SANTANDER</v>
      </c>
      <c r="C52" s="52"/>
      <c r="D52" s="51"/>
      <c r="E52" s="52"/>
      <c r="F52" s="17"/>
      <c r="G52" s="17">
        <f t="shared" si="0"/>
        <v>0</v>
      </c>
      <c r="H52" s="17"/>
      <c r="I52" s="17">
        <f t="shared" si="1"/>
        <v>0</v>
      </c>
      <c r="J52" s="17"/>
      <c r="K52" s="17">
        <f t="shared" si="2"/>
        <v>0</v>
      </c>
      <c r="L52" s="17"/>
      <c r="M52" s="17">
        <f t="shared" si="3"/>
        <v>0</v>
      </c>
    </row>
    <row r="53" spans="1:13" ht="63.75" x14ac:dyDescent="0.2">
      <c r="A53" s="113">
        <v>5</v>
      </c>
      <c r="B53" s="114" t="s">
        <v>13</v>
      </c>
      <c r="C53" s="115" t="s">
        <v>1</v>
      </c>
      <c r="D53" s="116">
        <v>24.85</v>
      </c>
      <c r="E53" s="42">
        <v>4</v>
      </c>
      <c r="F53" s="17">
        <f>'Estudiodemercado DEF'!AJ77</f>
        <v>329349</v>
      </c>
      <c r="G53" s="17">
        <f t="shared" si="0"/>
        <v>32737291</v>
      </c>
      <c r="H53" s="17">
        <f>'Estudiodemercado DEF'!AL77</f>
        <v>310000</v>
      </c>
      <c r="I53" s="17">
        <f t="shared" si="1"/>
        <v>30814000</v>
      </c>
      <c r="J53" s="17">
        <f>'Estudiodemercado DEF'!AN77</f>
        <v>316074</v>
      </c>
      <c r="K53" s="17">
        <f t="shared" si="2"/>
        <v>31417756</v>
      </c>
      <c r="L53" s="17">
        <f>'Estudiodemercado DEF'!AP77</f>
        <v>321737</v>
      </c>
      <c r="M53" s="17">
        <f t="shared" si="3"/>
        <v>31980658</v>
      </c>
    </row>
    <row r="54" spans="1:13" ht="76.5" x14ac:dyDescent="0.2">
      <c r="A54" s="113">
        <v>6</v>
      </c>
      <c r="B54" s="70" t="s">
        <v>14</v>
      </c>
      <c r="C54" s="117" t="s">
        <v>2</v>
      </c>
      <c r="D54" s="118">
        <v>2300</v>
      </c>
      <c r="E54" s="42">
        <v>2</v>
      </c>
      <c r="F54" s="17">
        <f>'Estudiodemercado DEF'!AJ78</f>
        <v>2322</v>
      </c>
      <c r="G54" s="17">
        <f t="shared" si="0"/>
        <v>10681200</v>
      </c>
      <c r="H54" s="17">
        <f>'Estudiodemercado DEF'!AL78</f>
        <v>2019</v>
      </c>
      <c r="I54" s="17">
        <f t="shared" si="1"/>
        <v>9287400</v>
      </c>
      <c r="J54" s="17">
        <f>'Estudiodemercado DEF'!AN78</f>
        <v>2001</v>
      </c>
      <c r="K54" s="17">
        <f t="shared" si="2"/>
        <v>9204600</v>
      </c>
      <c r="L54" s="17">
        <f>'Estudiodemercado DEF'!AP78</f>
        <v>2128</v>
      </c>
      <c r="M54" s="17">
        <f t="shared" si="3"/>
        <v>9788800</v>
      </c>
    </row>
    <row r="55" spans="1:13" ht="89.25" x14ac:dyDescent="0.2">
      <c r="A55" s="113">
        <v>7</v>
      </c>
      <c r="B55" s="70" t="s">
        <v>15</v>
      </c>
      <c r="C55" s="117" t="s">
        <v>2</v>
      </c>
      <c r="D55" s="119">
        <v>4000</v>
      </c>
      <c r="E55" s="42">
        <v>2</v>
      </c>
      <c r="F55" s="17">
        <f>'Estudiodemercado DEF'!AJ79</f>
        <v>2160</v>
      </c>
      <c r="G55" s="17">
        <f t="shared" si="0"/>
        <v>17280000</v>
      </c>
      <c r="H55" s="17">
        <f>'Estudiodemercado DEF'!AL79</f>
        <v>1950</v>
      </c>
      <c r="I55" s="17">
        <f t="shared" si="1"/>
        <v>15600000</v>
      </c>
      <c r="J55" s="17">
        <f>'Estudiodemercado DEF'!AN79</f>
        <v>1925</v>
      </c>
      <c r="K55" s="17">
        <f t="shared" si="2"/>
        <v>15400000</v>
      </c>
      <c r="L55" s="17">
        <f>'Estudiodemercado DEF'!AP79</f>
        <v>2041</v>
      </c>
      <c r="M55" s="17">
        <f t="shared" si="3"/>
        <v>16328000</v>
      </c>
    </row>
    <row r="56" spans="1:13" ht="38.25" x14ac:dyDescent="0.2">
      <c r="A56" s="113">
        <v>8</v>
      </c>
      <c r="B56" s="120" t="s">
        <v>46</v>
      </c>
      <c r="C56" s="117" t="s">
        <v>1</v>
      </c>
      <c r="D56" s="118">
        <v>18</v>
      </c>
      <c r="E56" s="42">
        <v>3</v>
      </c>
      <c r="F56" s="17">
        <f>'Estudiodemercado DEF'!AJ80</f>
        <v>268724</v>
      </c>
      <c r="G56" s="17">
        <f t="shared" si="0"/>
        <v>14511096</v>
      </c>
      <c r="H56" s="17">
        <f>'Estudiodemercado DEF'!AL80</f>
        <v>179375</v>
      </c>
      <c r="I56" s="17">
        <f t="shared" si="1"/>
        <v>9686250</v>
      </c>
      <c r="J56" s="17">
        <f>'Estudiodemercado DEF'!AN80</f>
        <v>194424</v>
      </c>
      <c r="K56" s="17">
        <f t="shared" si="2"/>
        <v>10498896</v>
      </c>
      <c r="L56" s="17">
        <f>'Estudiodemercado DEF'!AP80</f>
        <v>215500</v>
      </c>
      <c r="M56" s="17">
        <f t="shared" si="3"/>
        <v>11637000</v>
      </c>
    </row>
    <row r="57" spans="1:13" x14ac:dyDescent="0.2">
      <c r="A57" s="151"/>
      <c r="B57" s="10" t="s">
        <v>118</v>
      </c>
      <c r="C57" s="42"/>
      <c r="D57" s="112"/>
      <c r="E57" s="42"/>
      <c r="F57" s="143"/>
      <c r="G57" s="144">
        <f>SUM(G53:G56)</f>
        <v>75209587</v>
      </c>
      <c r="H57" s="143"/>
      <c r="I57" s="144">
        <f>SUM(I53:I56)</f>
        <v>65387650</v>
      </c>
      <c r="J57" s="143"/>
      <c r="K57" s="144">
        <f>SUM(K53:K56)</f>
        <v>66521252</v>
      </c>
      <c r="L57" s="143"/>
      <c r="M57" s="144">
        <f>SUM(M53:M56)</f>
        <v>69734458</v>
      </c>
    </row>
    <row r="58" spans="1:13" x14ac:dyDescent="0.2">
      <c r="A58" s="151"/>
      <c r="B58" s="10" t="s">
        <v>11</v>
      </c>
      <c r="C58" s="42"/>
      <c r="D58" s="112"/>
      <c r="E58" s="42"/>
      <c r="F58" s="145">
        <v>0.16</v>
      </c>
      <c r="G58" s="144">
        <f>ROUND(G57*F58,0)</f>
        <v>12033534</v>
      </c>
      <c r="H58" s="145">
        <v>0.16</v>
      </c>
      <c r="I58" s="144">
        <f>ROUND(I57*H58,0)</f>
        <v>10462024</v>
      </c>
      <c r="J58" s="145">
        <v>0.16</v>
      </c>
      <c r="K58" s="144">
        <f>ROUND(K57*J58,0)</f>
        <v>10643400</v>
      </c>
      <c r="L58" s="145">
        <v>0.16</v>
      </c>
      <c r="M58" s="144">
        <f>ROUND(M57*L58,0)</f>
        <v>11157513</v>
      </c>
    </row>
    <row r="59" spans="1:13" x14ac:dyDescent="0.2">
      <c r="A59" s="151"/>
      <c r="B59" s="10" t="s">
        <v>119</v>
      </c>
      <c r="C59" s="42"/>
      <c r="D59" s="112"/>
      <c r="E59" s="42"/>
      <c r="F59" s="143"/>
      <c r="G59" s="144">
        <f>SUM(G57:G58)</f>
        <v>87243121</v>
      </c>
      <c r="H59" s="143"/>
      <c r="I59" s="144">
        <f>SUM(I57:I58)</f>
        <v>75849674</v>
      </c>
      <c r="J59" s="143"/>
      <c r="K59" s="144">
        <f>SUM(K57:K58)</f>
        <v>77164652</v>
      </c>
      <c r="L59" s="143"/>
      <c r="M59" s="144">
        <f>SUM(M57:M58)</f>
        <v>80891971</v>
      </c>
    </row>
    <row r="60" spans="1:13" x14ac:dyDescent="0.2">
      <c r="A60" s="151"/>
      <c r="B60" s="10"/>
      <c r="C60" s="42"/>
      <c r="D60" s="112"/>
      <c r="E60" s="42"/>
      <c r="F60" s="143"/>
      <c r="G60" s="144"/>
      <c r="H60" s="143"/>
      <c r="I60" s="144"/>
      <c r="J60" s="143"/>
      <c r="K60" s="144"/>
      <c r="L60" s="143"/>
      <c r="M60" s="144"/>
    </row>
    <row r="61" spans="1:13" x14ac:dyDescent="0.2">
      <c r="A61" s="137"/>
      <c r="B61" s="136" t="str">
        <f>UPPER("aeropuerto Mandinga de Condoto - Chocó")</f>
        <v>AEROPUERTO MANDINGA DE CONDOTO - CHOCÓ</v>
      </c>
      <c r="C61" s="42"/>
      <c r="D61" s="71"/>
      <c r="E61" s="3"/>
      <c r="F61" s="44"/>
      <c r="G61" s="17">
        <f t="shared" si="0"/>
        <v>0</v>
      </c>
      <c r="H61" s="17"/>
      <c r="I61" s="17">
        <f t="shared" si="1"/>
        <v>0</v>
      </c>
      <c r="J61" s="44"/>
      <c r="K61" s="17">
        <f t="shared" si="2"/>
        <v>0</v>
      </c>
      <c r="L61" s="44"/>
      <c r="M61" s="17">
        <f t="shared" si="3"/>
        <v>0</v>
      </c>
    </row>
    <row r="62" spans="1:13" ht="63.75" customHeight="1" x14ac:dyDescent="0.2">
      <c r="A62" s="18">
        <v>1</v>
      </c>
      <c r="B62" s="121" t="s">
        <v>13</v>
      </c>
      <c r="C62" s="42" t="s">
        <v>1</v>
      </c>
      <c r="D62" s="112">
        <v>32</v>
      </c>
      <c r="E62" s="42">
        <v>4</v>
      </c>
      <c r="F62" s="17">
        <f>'Estudiodemercado DEF'!AL91</f>
        <v>375447</v>
      </c>
      <c r="G62" s="17">
        <f t="shared" si="0"/>
        <v>48057216</v>
      </c>
      <c r="H62" s="17">
        <f>'Estudiodemercado DEF'!AN91</f>
        <v>335000</v>
      </c>
      <c r="I62" s="17">
        <f t="shared" si="1"/>
        <v>42880000</v>
      </c>
      <c r="J62" s="17">
        <f>'Estudiodemercado DEF'!AP91</f>
        <v>357079</v>
      </c>
      <c r="K62" s="17">
        <f t="shared" si="2"/>
        <v>45706112</v>
      </c>
      <c r="L62" s="17">
        <f>'Estudiodemercado DEF'!AR91</f>
        <v>364580</v>
      </c>
      <c r="M62" s="17">
        <f t="shared" si="3"/>
        <v>46666240</v>
      </c>
    </row>
    <row r="63" spans="1:13" ht="75.75" customHeight="1" x14ac:dyDescent="0.2">
      <c r="A63" s="18">
        <v>2</v>
      </c>
      <c r="B63" s="121" t="s">
        <v>14</v>
      </c>
      <c r="C63" s="42" t="s">
        <v>2</v>
      </c>
      <c r="D63" s="112">
        <v>2944</v>
      </c>
      <c r="E63" s="42">
        <v>2</v>
      </c>
      <c r="F63" s="17">
        <f>'Estudiodemercado DEF'!AL92</f>
        <v>2436</v>
      </c>
      <c r="G63" s="17">
        <f t="shared" si="0"/>
        <v>14343168</v>
      </c>
      <c r="H63" s="17">
        <f>'Estudiodemercado DEF'!AN92</f>
        <v>1984</v>
      </c>
      <c r="I63" s="17">
        <f t="shared" si="1"/>
        <v>11681792</v>
      </c>
      <c r="J63" s="17">
        <f>'Estudiodemercado DEF'!AP92</f>
        <v>2181</v>
      </c>
      <c r="K63" s="17">
        <f t="shared" si="2"/>
        <v>12841728</v>
      </c>
      <c r="L63" s="17">
        <f>'Estudiodemercado DEF'!AR92</f>
        <v>2277</v>
      </c>
      <c r="M63" s="17">
        <f t="shared" si="3"/>
        <v>13406976</v>
      </c>
    </row>
    <row r="64" spans="1:13" ht="79.5" customHeight="1" x14ac:dyDescent="0.2">
      <c r="A64" s="18">
        <v>3</v>
      </c>
      <c r="B64" s="121" t="s">
        <v>80</v>
      </c>
      <c r="C64" s="42" t="s">
        <v>26</v>
      </c>
      <c r="D64" s="112">
        <v>500</v>
      </c>
      <c r="E64" s="42">
        <v>2</v>
      </c>
      <c r="F64" s="17">
        <f>'Estudiodemercado DEF'!AL93</f>
        <v>10439</v>
      </c>
      <c r="G64" s="17">
        <f t="shared" si="0"/>
        <v>10439000</v>
      </c>
      <c r="H64" s="17">
        <f>'Estudiodemercado DEF'!AN93</f>
        <v>4285</v>
      </c>
      <c r="I64" s="17">
        <f t="shared" si="1"/>
        <v>4285000</v>
      </c>
      <c r="J64" s="17">
        <f>'Estudiodemercado DEF'!AP93</f>
        <v>4574</v>
      </c>
      <c r="K64" s="17">
        <f t="shared" si="2"/>
        <v>4574000</v>
      </c>
      <c r="L64" s="17">
        <f>'Estudiodemercado DEF'!AR93</f>
        <v>5510</v>
      </c>
      <c r="M64" s="17">
        <f t="shared" si="3"/>
        <v>5510000</v>
      </c>
    </row>
    <row r="65" spans="1:13" ht="84" x14ac:dyDescent="0.2">
      <c r="A65" s="18">
        <v>4</v>
      </c>
      <c r="B65" s="121" t="s">
        <v>15</v>
      </c>
      <c r="C65" s="42" t="s">
        <v>2</v>
      </c>
      <c r="D65" s="112">
        <v>4184</v>
      </c>
      <c r="E65" s="42">
        <v>2</v>
      </c>
      <c r="F65" s="17">
        <f>'Estudiodemercado DEF'!AL94</f>
        <v>2344</v>
      </c>
      <c r="G65" s="17">
        <f t="shared" si="0"/>
        <v>19614592</v>
      </c>
      <c r="H65" s="17">
        <f>'Estudiodemercado DEF'!AN94</f>
        <v>2195</v>
      </c>
      <c r="I65" s="17">
        <f t="shared" si="1"/>
        <v>18367760</v>
      </c>
      <c r="J65" s="17">
        <f>'Estudiodemercado DEF'!AP94</f>
        <v>2237</v>
      </c>
      <c r="K65" s="17">
        <f t="shared" si="2"/>
        <v>18719216</v>
      </c>
      <c r="L65" s="17">
        <f>'Estudiodemercado DEF'!AR94</f>
        <v>2287</v>
      </c>
      <c r="M65" s="17">
        <f t="shared" si="3"/>
        <v>19137616</v>
      </c>
    </row>
    <row r="66" spans="1:13" ht="43.5" customHeight="1" x14ac:dyDescent="0.2">
      <c r="A66" s="18">
        <v>5</v>
      </c>
      <c r="B66" s="121" t="s">
        <v>81</v>
      </c>
      <c r="C66" s="42" t="s">
        <v>1</v>
      </c>
      <c r="D66" s="112">
        <v>12</v>
      </c>
      <c r="E66" s="42">
        <v>3</v>
      </c>
      <c r="F66" s="17">
        <f>'Estudiodemercado DEF'!AL95</f>
        <v>281765</v>
      </c>
      <c r="G66" s="17">
        <f t="shared" si="0"/>
        <v>10143540</v>
      </c>
      <c r="H66" s="17">
        <f>'Estudiodemercado DEF'!AN95</f>
        <v>184267</v>
      </c>
      <c r="I66" s="17">
        <f t="shared" si="1"/>
        <v>6633612</v>
      </c>
      <c r="J66" s="17">
        <f>'Estudiodemercado DEF'!AP95</f>
        <v>204115</v>
      </c>
      <c r="K66" s="17">
        <f t="shared" si="2"/>
        <v>7348140</v>
      </c>
      <c r="L66" s="17">
        <f>'Estudiodemercado DEF'!AR95</f>
        <v>226503</v>
      </c>
      <c r="M66" s="17">
        <f t="shared" si="3"/>
        <v>8154108</v>
      </c>
    </row>
    <row r="67" spans="1:13" ht="53.25" customHeight="1" x14ac:dyDescent="0.2">
      <c r="A67" s="18">
        <v>6</v>
      </c>
      <c r="B67" s="121" t="s">
        <v>61</v>
      </c>
      <c r="C67" s="42" t="s">
        <v>26</v>
      </c>
      <c r="D67" s="112">
        <f>1150*2</f>
        <v>2300</v>
      </c>
      <c r="E67" s="42">
        <v>2</v>
      </c>
      <c r="F67" s="17">
        <f>'Estudiodemercado DEF'!AL96</f>
        <v>2825</v>
      </c>
      <c r="G67" s="17">
        <f t="shared" si="0"/>
        <v>12995000</v>
      </c>
      <c r="H67" s="17">
        <f>'Estudiodemercado DEF'!AN96</f>
        <v>3000</v>
      </c>
      <c r="I67" s="17">
        <f t="shared" si="1"/>
        <v>13800000</v>
      </c>
      <c r="J67" s="17">
        <f>'Estudiodemercado DEF'!AP96</f>
        <v>2540</v>
      </c>
      <c r="K67" s="17">
        <f t="shared" si="2"/>
        <v>11684000</v>
      </c>
      <c r="L67" s="17">
        <f>'Estudiodemercado DEF'!AR96</f>
        <v>2682</v>
      </c>
      <c r="M67" s="17">
        <f t="shared" si="3"/>
        <v>12337200</v>
      </c>
    </row>
    <row r="68" spans="1:13" ht="96" x14ac:dyDescent="0.2">
      <c r="A68" s="18">
        <v>7</v>
      </c>
      <c r="B68" s="121" t="s">
        <v>27</v>
      </c>
      <c r="C68" s="42" t="s">
        <v>1</v>
      </c>
      <c r="D68" s="122">
        <v>3</v>
      </c>
      <c r="E68" s="123">
        <v>1</v>
      </c>
      <c r="F68" s="17">
        <f>'Estudiodemercado DEF'!AL97</f>
        <v>1285881</v>
      </c>
      <c r="G68" s="17">
        <f t="shared" si="0"/>
        <v>3857643</v>
      </c>
      <c r="H68" s="17">
        <f>'Estudiodemercado DEF'!AN97</f>
        <v>1150000</v>
      </c>
      <c r="I68" s="17">
        <f t="shared" si="1"/>
        <v>3450000</v>
      </c>
      <c r="J68" s="17">
        <f>'Estudiodemercado DEF'!AP97</f>
        <v>1193706</v>
      </c>
      <c r="K68" s="17">
        <f t="shared" si="2"/>
        <v>3581118</v>
      </c>
      <c r="L68" s="17">
        <f>'Estudiodemercado DEF'!AR97</f>
        <v>1234030</v>
      </c>
      <c r="M68" s="17">
        <f t="shared" si="3"/>
        <v>3702090</v>
      </c>
    </row>
    <row r="69" spans="1:13" x14ac:dyDescent="0.2">
      <c r="A69" s="21"/>
      <c r="B69" s="10" t="s">
        <v>120</v>
      </c>
      <c r="C69" s="42"/>
      <c r="D69" s="112"/>
      <c r="E69" s="42"/>
      <c r="F69" s="143"/>
      <c r="G69" s="144">
        <f>SUM(G62:G68)</f>
        <v>119450159</v>
      </c>
      <c r="H69" s="143"/>
      <c r="I69" s="144">
        <f>SUM(I62:I68)</f>
        <v>101098164</v>
      </c>
      <c r="J69" s="143"/>
      <c r="K69" s="144">
        <f>SUM(K62:K68)</f>
        <v>104454314</v>
      </c>
      <c r="L69" s="143"/>
      <c r="M69" s="144">
        <f>SUM(M62:M68)</f>
        <v>108914230</v>
      </c>
    </row>
    <row r="70" spans="1:13" x14ac:dyDescent="0.2">
      <c r="A70" s="21"/>
      <c r="B70" s="10" t="s">
        <v>11</v>
      </c>
      <c r="C70" s="42"/>
      <c r="D70" s="112"/>
      <c r="E70" s="42"/>
      <c r="F70" s="145">
        <v>0.16</v>
      </c>
      <c r="G70" s="144">
        <f>ROUND(G69*F70,0)</f>
        <v>19112025</v>
      </c>
      <c r="H70" s="145">
        <v>0.16</v>
      </c>
      <c r="I70" s="144">
        <f>ROUND(I69*H70,0)</f>
        <v>16175706</v>
      </c>
      <c r="J70" s="145">
        <v>0.16</v>
      </c>
      <c r="K70" s="144">
        <f>ROUND(K69*J70,0)</f>
        <v>16712690</v>
      </c>
      <c r="L70" s="145">
        <v>0.16</v>
      </c>
      <c r="M70" s="144">
        <f>ROUND(M69*L70,0)</f>
        <v>17426277</v>
      </c>
    </row>
    <row r="71" spans="1:13" x14ac:dyDescent="0.2">
      <c r="A71" s="21"/>
      <c r="B71" s="10" t="s">
        <v>121</v>
      </c>
      <c r="C71" s="42"/>
      <c r="D71" s="112"/>
      <c r="E71" s="42"/>
      <c r="F71" s="143"/>
      <c r="G71" s="144">
        <f>SUM(G69:G70)</f>
        <v>138562184</v>
      </c>
      <c r="H71" s="143"/>
      <c r="I71" s="144">
        <f>SUM(I69:I70)</f>
        <v>117273870</v>
      </c>
      <c r="J71" s="143"/>
      <c r="K71" s="144">
        <f>SUM(K69:K70)</f>
        <v>121167004</v>
      </c>
      <c r="L71" s="143"/>
      <c r="M71" s="144">
        <f>SUM(M69:M70)</f>
        <v>126340507</v>
      </c>
    </row>
    <row r="72" spans="1:13" x14ac:dyDescent="0.2">
      <c r="A72" s="21"/>
      <c r="B72" s="10"/>
      <c r="C72" s="42"/>
      <c r="D72" s="112"/>
      <c r="E72" s="42"/>
      <c r="F72" s="143"/>
      <c r="G72" s="144"/>
      <c r="H72" s="143"/>
      <c r="I72" s="144"/>
      <c r="J72" s="143"/>
      <c r="K72" s="144"/>
      <c r="L72" s="143"/>
      <c r="M72" s="144"/>
    </row>
    <row r="73" spans="1:13" x14ac:dyDescent="0.2">
      <c r="A73" s="21"/>
      <c r="B73" s="136" t="s">
        <v>105</v>
      </c>
      <c r="C73" s="52"/>
      <c r="D73" s="51"/>
      <c r="E73" s="52"/>
      <c r="F73" s="17"/>
      <c r="G73" s="17">
        <f t="shared" si="0"/>
        <v>0</v>
      </c>
      <c r="H73" s="17"/>
      <c r="I73" s="17">
        <f t="shared" si="1"/>
        <v>0</v>
      </c>
      <c r="J73" s="17"/>
      <c r="K73" s="17">
        <f t="shared" si="2"/>
        <v>0</v>
      </c>
      <c r="L73" s="17"/>
      <c r="M73" s="17">
        <f t="shared" si="3"/>
        <v>0</v>
      </c>
    </row>
    <row r="74" spans="1:13" ht="84" x14ac:dyDescent="0.2">
      <c r="A74" s="117">
        <v>8</v>
      </c>
      <c r="B74" s="121" t="s">
        <v>83</v>
      </c>
      <c r="C74" s="19" t="s">
        <v>1</v>
      </c>
      <c r="D74" s="41">
        <f>(20000+35000+1000*5*2)/10000</f>
        <v>6.5</v>
      </c>
      <c r="E74" s="42">
        <v>5</v>
      </c>
      <c r="F74" s="17">
        <f>'Estudiodemercado DEF'!AJ108</f>
        <v>319553</v>
      </c>
      <c r="G74" s="17">
        <f t="shared" si="0"/>
        <v>10385473</v>
      </c>
      <c r="H74" s="17">
        <f>'Estudiodemercado DEF'!AL108</f>
        <v>295055</v>
      </c>
      <c r="I74" s="17">
        <f t="shared" si="1"/>
        <v>9589288</v>
      </c>
      <c r="J74" s="17">
        <f>'Estudiodemercado DEF'!AN108</f>
        <v>302294</v>
      </c>
      <c r="K74" s="17">
        <f t="shared" si="2"/>
        <v>9824555</v>
      </c>
      <c r="L74" s="17">
        <f>'Estudiodemercado DEF'!AP108</f>
        <v>309419</v>
      </c>
      <c r="M74" s="17">
        <f t="shared" si="3"/>
        <v>10056118</v>
      </c>
    </row>
    <row r="75" spans="1:13" ht="84" x14ac:dyDescent="0.2">
      <c r="A75" s="117">
        <v>9</v>
      </c>
      <c r="B75" s="121" t="s">
        <v>84</v>
      </c>
      <c r="C75" s="19" t="s">
        <v>2</v>
      </c>
      <c r="D75" s="41">
        <f>960</f>
        <v>960</v>
      </c>
      <c r="E75" s="42">
        <v>3</v>
      </c>
      <c r="F75" s="17">
        <f>'Estudiodemercado DEF'!AJ109</f>
        <v>2551</v>
      </c>
      <c r="G75" s="17">
        <f t="shared" si="0"/>
        <v>7346880</v>
      </c>
      <c r="H75" s="17">
        <f>'Estudiodemercado DEF'!AL109</f>
        <v>2100</v>
      </c>
      <c r="I75" s="17">
        <f t="shared" si="1"/>
        <v>6048000</v>
      </c>
      <c r="J75" s="17">
        <f>'Estudiodemercado DEF'!AN109</f>
        <v>2195</v>
      </c>
      <c r="K75" s="17">
        <f t="shared" si="2"/>
        <v>6321600</v>
      </c>
      <c r="L75" s="17">
        <f>'Estudiodemercado DEF'!AP109</f>
        <v>2333</v>
      </c>
      <c r="M75" s="17">
        <f t="shared" si="3"/>
        <v>6719040</v>
      </c>
    </row>
    <row r="76" spans="1:13" ht="75.75" customHeight="1" x14ac:dyDescent="0.2">
      <c r="A76" s="117">
        <v>10</v>
      </c>
      <c r="B76" s="121" t="s">
        <v>85</v>
      </c>
      <c r="C76" s="19" t="s">
        <v>86</v>
      </c>
      <c r="D76" s="41">
        <v>1</v>
      </c>
      <c r="E76" s="42">
        <v>3</v>
      </c>
      <c r="F76" s="17">
        <f>'Estudiodemercado DEF'!AJ110</f>
        <v>2489141</v>
      </c>
      <c r="G76" s="17">
        <f t="shared" si="0"/>
        <v>7467423</v>
      </c>
      <c r="H76" s="17">
        <f>'Estudiodemercado DEF'!AL110</f>
        <v>2300000</v>
      </c>
      <c r="I76" s="17">
        <f t="shared" si="1"/>
        <v>6900000</v>
      </c>
      <c r="J76" s="17">
        <f>'Estudiodemercado DEF'!AN110</f>
        <v>2372626</v>
      </c>
      <c r="K76" s="17">
        <f t="shared" si="2"/>
        <v>7117878</v>
      </c>
      <c r="L76" s="17">
        <f>'Estudiodemercado DEF'!AP110</f>
        <v>2422386</v>
      </c>
      <c r="M76" s="17">
        <f t="shared" si="3"/>
        <v>7267158</v>
      </c>
    </row>
    <row r="77" spans="1:13" x14ac:dyDescent="0.2">
      <c r="A77" s="140"/>
      <c r="B77" s="10" t="s">
        <v>122</v>
      </c>
      <c r="C77" s="42"/>
      <c r="D77" s="112"/>
      <c r="E77" s="42"/>
      <c r="F77" s="143"/>
      <c r="G77" s="144">
        <f>SUM(G73:G76)</f>
        <v>25199776</v>
      </c>
      <c r="H77" s="143"/>
      <c r="I77" s="144">
        <f>SUM(I73:I76)</f>
        <v>22537288</v>
      </c>
      <c r="J77" s="143"/>
      <c r="K77" s="144">
        <f>SUM(K73:K76)</f>
        <v>23264033</v>
      </c>
      <c r="L77" s="143"/>
      <c r="M77" s="144">
        <f>SUM(M73:M76)</f>
        <v>24042316</v>
      </c>
    </row>
    <row r="78" spans="1:13" x14ac:dyDescent="0.2">
      <c r="A78" s="140"/>
      <c r="B78" s="10" t="s">
        <v>11</v>
      </c>
      <c r="C78" s="42"/>
      <c r="D78" s="112"/>
      <c r="E78" s="42"/>
      <c r="F78" s="145">
        <v>0.16</v>
      </c>
      <c r="G78" s="144">
        <f>ROUND(G77*F78,0)</f>
        <v>4031964</v>
      </c>
      <c r="H78" s="145">
        <v>0.16</v>
      </c>
      <c r="I78" s="144">
        <f>ROUND(I77*H78,0)</f>
        <v>3605966</v>
      </c>
      <c r="J78" s="145">
        <v>0.16</v>
      </c>
      <c r="K78" s="144">
        <f>ROUND(K77*J78,0)</f>
        <v>3722245</v>
      </c>
      <c r="L78" s="145">
        <v>0.16</v>
      </c>
      <c r="M78" s="144">
        <f>ROUND(M77*L78,0)</f>
        <v>3846771</v>
      </c>
    </row>
    <row r="79" spans="1:13" x14ac:dyDescent="0.2">
      <c r="A79" s="140"/>
      <c r="B79" s="10" t="s">
        <v>123</v>
      </c>
      <c r="C79" s="42"/>
      <c r="D79" s="112"/>
      <c r="E79" s="42"/>
      <c r="F79" s="143"/>
      <c r="G79" s="144">
        <f>SUM(G77:G78)</f>
        <v>29231740</v>
      </c>
      <c r="H79" s="143"/>
      <c r="I79" s="144">
        <f>SUM(I77:I78)</f>
        <v>26143254</v>
      </c>
      <c r="J79" s="143"/>
      <c r="K79" s="144">
        <f>SUM(K77:K78)</f>
        <v>26986278</v>
      </c>
      <c r="L79" s="143"/>
      <c r="M79" s="144">
        <f>SUM(M77:M78)</f>
        <v>27889087</v>
      </c>
    </row>
    <row r="80" spans="1:13" x14ac:dyDescent="0.2">
      <c r="A80" s="140"/>
      <c r="B80" s="121"/>
      <c r="C80" s="19"/>
      <c r="D80" s="41"/>
      <c r="E80" s="42"/>
      <c r="F80" s="17"/>
      <c r="G80" s="17"/>
      <c r="H80" s="17"/>
      <c r="I80" s="17"/>
      <c r="J80" s="17"/>
      <c r="K80" s="17"/>
      <c r="L80" s="17"/>
      <c r="M80" s="17"/>
    </row>
    <row r="81" spans="1:13" x14ac:dyDescent="0.2">
      <c r="A81" s="137"/>
      <c r="B81" s="136" t="str">
        <f>UPPER("aeropuerto Reyes Murillo de Nuqui - Chocó")</f>
        <v>AEROPUERTO REYES MURILLO DE NUQUI - CHOCÓ</v>
      </c>
      <c r="C81" s="42"/>
      <c r="D81" s="71"/>
      <c r="E81" s="3"/>
      <c r="F81" s="44"/>
      <c r="G81" s="17">
        <f t="shared" si="0"/>
        <v>0</v>
      </c>
      <c r="H81" s="17"/>
      <c r="I81" s="17">
        <f t="shared" si="1"/>
        <v>0</v>
      </c>
      <c r="J81" s="44"/>
      <c r="K81" s="17">
        <f t="shared" si="2"/>
        <v>0</v>
      </c>
      <c r="L81" s="44"/>
      <c r="M81" s="17">
        <f t="shared" si="3"/>
        <v>0</v>
      </c>
    </row>
    <row r="82" spans="1:13" ht="63.75" x14ac:dyDescent="0.2">
      <c r="A82" s="124">
        <v>1</v>
      </c>
      <c r="B82" s="102" t="s">
        <v>13</v>
      </c>
      <c r="C82" s="125" t="s">
        <v>1</v>
      </c>
      <c r="D82" s="126">
        <v>16</v>
      </c>
      <c r="E82" s="125">
        <v>4</v>
      </c>
      <c r="F82" s="17">
        <f>'Estudiodemercado DEF'!AL121</f>
        <v>395051</v>
      </c>
      <c r="G82" s="17">
        <f t="shared" si="0"/>
        <v>25283264</v>
      </c>
      <c r="H82" s="17">
        <f>'Estudiodemercado DEF'!AN121</f>
        <v>373875</v>
      </c>
      <c r="I82" s="17">
        <f t="shared" si="1"/>
        <v>23928000</v>
      </c>
      <c r="J82" s="17">
        <f>'Estudiodemercado DEF'!AP121</f>
        <v>377267</v>
      </c>
      <c r="K82" s="17">
        <f t="shared" si="2"/>
        <v>24145088</v>
      </c>
      <c r="L82" s="17">
        <f>'Estudiodemercado DEF'!AR121</f>
        <v>384972</v>
      </c>
      <c r="M82" s="17">
        <f t="shared" si="3"/>
        <v>24638208</v>
      </c>
    </row>
    <row r="83" spans="1:13" ht="76.5" x14ac:dyDescent="0.2">
      <c r="A83" s="124">
        <v>2</v>
      </c>
      <c r="B83" s="102" t="s">
        <v>14</v>
      </c>
      <c r="C83" s="125" t="s">
        <v>2</v>
      </c>
      <c r="D83" s="126">
        <v>2900</v>
      </c>
      <c r="E83" s="125">
        <v>3</v>
      </c>
      <c r="F83" s="17">
        <f>'Estudiodemercado DEF'!AL122</f>
        <v>2575</v>
      </c>
      <c r="G83" s="17">
        <f t="shared" si="0"/>
        <v>22402500</v>
      </c>
      <c r="H83" s="17">
        <f>'Estudiodemercado DEF'!AN122</f>
        <v>2192</v>
      </c>
      <c r="I83" s="17">
        <f t="shared" si="1"/>
        <v>19070400</v>
      </c>
      <c r="J83" s="17">
        <f>'Estudiodemercado DEF'!AP122</f>
        <v>2326</v>
      </c>
      <c r="K83" s="17">
        <f t="shared" si="2"/>
        <v>20236200</v>
      </c>
      <c r="L83" s="17">
        <f>'Estudiodemercado DEF'!AR122</f>
        <v>2424</v>
      </c>
      <c r="M83" s="17">
        <f t="shared" si="3"/>
        <v>21088800</v>
      </c>
    </row>
    <row r="84" spans="1:13" ht="89.25" x14ac:dyDescent="0.2">
      <c r="A84" s="124">
        <v>3</v>
      </c>
      <c r="B84" s="102" t="s">
        <v>15</v>
      </c>
      <c r="C84" s="125" t="s">
        <v>2</v>
      </c>
      <c r="D84" s="126">
        <v>3266</v>
      </c>
      <c r="E84" s="125">
        <v>2</v>
      </c>
      <c r="F84" s="17">
        <f>'Estudiodemercado DEF'!AL123</f>
        <v>2402</v>
      </c>
      <c r="G84" s="17">
        <f t="shared" si="0"/>
        <v>15689864</v>
      </c>
      <c r="H84" s="17">
        <f>'Estudiodemercado DEF'!AN123</f>
        <v>2257</v>
      </c>
      <c r="I84" s="17">
        <f t="shared" si="1"/>
        <v>14742724</v>
      </c>
      <c r="J84" s="17">
        <f>'Estudiodemercado DEF'!AP123</f>
        <v>2288</v>
      </c>
      <c r="K84" s="17">
        <f t="shared" si="2"/>
        <v>14945216</v>
      </c>
      <c r="L84" s="17">
        <f>'Estudiodemercado DEF'!AR123</f>
        <v>2343</v>
      </c>
      <c r="M84" s="17">
        <f t="shared" si="3"/>
        <v>15304476</v>
      </c>
    </row>
    <row r="85" spans="1:13" ht="38.25" x14ac:dyDescent="0.2">
      <c r="A85" s="124">
        <v>4</v>
      </c>
      <c r="B85" s="102" t="s">
        <v>46</v>
      </c>
      <c r="C85" s="125" t="s">
        <v>1</v>
      </c>
      <c r="D85" s="126">
        <v>13</v>
      </c>
      <c r="E85" s="125">
        <v>3</v>
      </c>
      <c r="F85" s="17">
        <f>'Estudiodemercado DEF'!AL124</f>
        <v>335108</v>
      </c>
      <c r="G85" s="17">
        <f t="shared" si="0"/>
        <v>13069212</v>
      </c>
      <c r="H85" s="17">
        <f>'Estudiodemercado DEF'!AN124</f>
        <v>202771</v>
      </c>
      <c r="I85" s="17">
        <f t="shared" si="1"/>
        <v>7908069</v>
      </c>
      <c r="J85" s="17">
        <f>'Estudiodemercado DEF'!AP124</f>
        <v>234114</v>
      </c>
      <c r="K85" s="17">
        <f t="shared" si="2"/>
        <v>9130446</v>
      </c>
      <c r="L85" s="17">
        <f>'Estudiodemercado DEF'!AR124</f>
        <v>266813</v>
      </c>
      <c r="M85" s="17">
        <f t="shared" si="3"/>
        <v>10405707</v>
      </c>
    </row>
    <row r="86" spans="1:13" ht="67.5" customHeight="1" x14ac:dyDescent="0.2">
      <c r="A86" s="124">
        <v>5</v>
      </c>
      <c r="B86" s="127" t="s">
        <v>61</v>
      </c>
      <c r="C86" s="125" t="s">
        <v>26</v>
      </c>
      <c r="D86" s="126">
        <f>1200*2+100*2+50*2</f>
        <v>2700</v>
      </c>
      <c r="E86" s="125">
        <v>2</v>
      </c>
      <c r="F86" s="17">
        <f>'Estudiodemercado DEF'!AL125</f>
        <v>2969</v>
      </c>
      <c r="G86" s="17">
        <f t="shared" si="0"/>
        <v>16032600</v>
      </c>
      <c r="H86" s="17">
        <f>'Estudiodemercado DEF'!AN125</f>
        <v>3125</v>
      </c>
      <c r="I86" s="17">
        <f t="shared" si="1"/>
        <v>16875000</v>
      </c>
      <c r="J86" s="17">
        <f>'Estudiodemercado DEF'!AP125</f>
        <v>2713</v>
      </c>
      <c r="K86" s="17">
        <f t="shared" si="2"/>
        <v>14650200</v>
      </c>
      <c r="L86" s="17">
        <f>'Estudiodemercado DEF'!AR125</f>
        <v>2845</v>
      </c>
      <c r="M86" s="17">
        <f t="shared" si="3"/>
        <v>15363000</v>
      </c>
    </row>
    <row r="87" spans="1:13" ht="165.75" x14ac:dyDescent="0.2">
      <c r="A87" s="124">
        <v>6</v>
      </c>
      <c r="B87" s="70" t="s">
        <v>95</v>
      </c>
      <c r="C87" s="128" t="s">
        <v>1</v>
      </c>
      <c r="D87" s="126">
        <v>3</v>
      </c>
      <c r="E87" s="129">
        <v>1</v>
      </c>
      <c r="F87" s="17">
        <f>'Estudiodemercado DEF'!AL126</f>
        <v>1268822</v>
      </c>
      <c r="G87" s="17">
        <f t="shared" si="0"/>
        <v>3806466</v>
      </c>
      <c r="H87" s="17">
        <f>'Estudiodemercado DEF'!AN126</f>
        <v>1144242</v>
      </c>
      <c r="I87" s="17">
        <f t="shared" si="1"/>
        <v>3432726</v>
      </c>
      <c r="J87" s="17">
        <f>'Estudiodemercado DEF'!AP126</f>
        <v>1153262</v>
      </c>
      <c r="K87" s="17">
        <f t="shared" si="2"/>
        <v>3459786</v>
      </c>
      <c r="L87" s="17">
        <f>'Estudiodemercado DEF'!AR126</f>
        <v>1199958</v>
      </c>
      <c r="M87" s="17">
        <f t="shared" si="3"/>
        <v>3599874</v>
      </c>
    </row>
    <row r="88" spans="1:13" x14ac:dyDescent="0.2">
      <c r="A88" s="152"/>
      <c r="B88" s="10" t="s">
        <v>124</v>
      </c>
      <c r="C88" s="42"/>
      <c r="D88" s="112"/>
      <c r="E88" s="42"/>
      <c r="F88" s="143"/>
      <c r="G88" s="144">
        <f>SUM(G82:G87)</f>
        <v>96283906</v>
      </c>
      <c r="H88" s="143"/>
      <c r="I88" s="144">
        <f>SUM(I82:I87)</f>
        <v>85956919</v>
      </c>
      <c r="J88" s="143"/>
      <c r="K88" s="144">
        <f>SUM(K82:K87)</f>
        <v>86566936</v>
      </c>
      <c r="L88" s="143"/>
      <c r="M88" s="144">
        <f>SUM(M82:M87)</f>
        <v>90400065</v>
      </c>
    </row>
    <row r="89" spans="1:13" x14ac:dyDescent="0.2">
      <c r="A89" s="152"/>
      <c r="B89" s="10" t="s">
        <v>11</v>
      </c>
      <c r="C89" s="42"/>
      <c r="D89" s="112"/>
      <c r="E89" s="42"/>
      <c r="F89" s="145">
        <v>0.16</v>
      </c>
      <c r="G89" s="144">
        <f>ROUND(G88*F89,0)</f>
        <v>15405425</v>
      </c>
      <c r="H89" s="145">
        <v>0.16</v>
      </c>
      <c r="I89" s="144">
        <f>ROUND(I88*H89,0)</f>
        <v>13753107</v>
      </c>
      <c r="J89" s="145">
        <v>0.16</v>
      </c>
      <c r="K89" s="144">
        <f>ROUND(K88*J89,0)</f>
        <v>13850710</v>
      </c>
      <c r="L89" s="145">
        <v>0.16</v>
      </c>
      <c r="M89" s="144">
        <f>ROUND(M88*L89,0)</f>
        <v>14464010</v>
      </c>
    </row>
    <row r="90" spans="1:13" x14ac:dyDescent="0.2">
      <c r="A90" s="152"/>
      <c r="B90" s="10" t="s">
        <v>125</v>
      </c>
      <c r="C90" s="42"/>
      <c r="D90" s="112"/>
      <c r="E90" s="42"/>
      <c r="F90" s="143"/>
      <c r="G90" s="144">
        <f>SUM(G88:G89)</f>
        <v>111689331</v>
      </c>
      <c r="H90" s="143"/>
      <c r="I90" s="144">
        <f>SUM(I88:I89)</f>
        <v>99710026</v>
      </c>
      <c r="J90" s="143"/>
      <c r="K90" s="144">
        <f>SUM(K88:K89)</f>
        <v>100417646</v>
      </c>
      <c r="L90" s="143"/>
      <c r="M90" s="144">
        <f>SUM(M88:M89)</f>
        <v>104864075</v>
      </c>
    </row>
    <row r="91" spans="1:13" x14ac:dyDescent="0.2">
      <c r="A91" s="152"/>
      <c r="B91" s="102"/>
      <c r="C91" s="103"/>
      <c r="D91" s="51"/>
      <c r="E91" s="125"/>
      <c r="F91" s="17"/>
      <c r="G91" s="17"/>
      <c r="H91" s="17"/>
      <c r="I91" s="17"/>
      <c r="J91" s="17"/>
      <c r="K91" s="17"/>
      <c r="L91" s="17"/>
      <c r="M91" s="17"/>
    </row>
    <row r="92" spans="1:13" x14ac:dyDescent="0.2">
      <c r="A92" s="4"/>
      <c r="B92" s="136" t="s">
        <v>106</v>
      </c>
      <c r="C92" s="3"/>
      <c r="D92" s="5"/>
      <c r="E92" s="3"/>
      <c r="F92" s="14"/>
      <c r="G92" s="17">
        <f t="shared" si="0"/>
        <v>0</v>
      </c>
      <c r="H92" s="14"/>
      <c r="I92" s="17">
        <f t="shared" si="1"/>
        <v>0</v>
      </c>
      <c r="J92" s="14"/>
      <c r="K92" s="17">
        <f t="shared" si="2"/>
        <v>0</v>
      </c>
      <c r="L92" s="14"/>
      <c r="M92" s="17">
        <f t="shared" si="3"/>
        <v>0</v>
      </c>
    </row>
    <row r="93" spans="1:13" ht="63.75" x14ac:dyDescent="0.2">
      <c r="A93" s="130">
        <v>7</v>
      </c>
      <c r="B93" s="102" t="s">
        <v>13</v>
      </c>
      <c r="C93" s="125" t="s">
        <v>1</v>
      </c>
      <c r="D93" s="131">
        <v>23</v>
      </c>
      <c r="E93" s="125">
        <v>4</v>
      </c>
      <c r="F93" s="17">
        <f>'Estudiodemercado DEF'!AL137</f>
        <v>326549</v>
      </c>
      <c r="G93" s="17">
        <f t="shared" si="0"/>
        <v>30042508</v>
      </c>
      <c r="H93" s="17">
        <f>'Estudiodemercado DEF'!AN137</f>
        <v>305559</v>
      </c>
      <c r="I93" s="17">
        <f t="shared" si="1"/>
        <v>28111428</v>
      </c>
      <c r="J93" s="17">
        <f>'Estudiodemercado DEF'!AP137</f>
        <v>313016</v>
      </c>
      <c r="K93" s="17">
        <f t="shared" si="2"/>
        <v>28797472</v>
      </c>
      <c r="L93" s="17">
        <f>'Estudiodemercado DEF'!AR137</f>
        <v>318843</v>
      </c>
      <c r="M93" s="17">
        <f t="shared" si="3"/>
        <v>29333556</v>
      </c>
    </row>
    <row r="94" spans="1:13" ht="76.5" x14ac:dyDescent="0.2">
      <c r="A94" s="113">
        <v>8</v>
      </c>
      <c r="B94" s="102" t="s">
        <v>14</v>
      </c>
      <c r="C94" s="125" t="s">
        <v>2</v>
      </c>
      <c r="D94" s="131">
        <v>3000</v>
      </c>
      <c r="E94" s="125">
        <v>2</v>
      </c>
      <c r="F94" s="17">
        <f>'Estudiodemercado DEF'!AL138</f>
        <v>2462</v>
      </c>
      <c r="G94" s="17">
        <f t="shared" si="0"/>
        <v>14772000</v>
      </c>
      <c r="H94" s="17">
        <f>'Estudiodemercado DEF'!AN138</f>
        <v>2096</v>
      </c>
      <c r="I94" s="17">
        <f t="shared" si="1"/>
        <v>12576000</v>
      </c>
      <c r="J94" s="17">
        <f>'Estudiodemercado DEF'!AP138</f>
        <v>2142</v>
      </c>
      <c r="K94" s="17">
        <f>ROUND((D94*E94*J94),0)</f>
        <v>12852000</v>
      </c>
      <c r="L94" s="17">
        <f>'Estudiodemercado DEF'!AR138</f>
        <v>2270</v>
      </c>
      <c r="M94" s="17">
        <f>ROUND((D94*E94*L94),0)</f>
        <v>13620000</v>
      </c>
    </row>
    <row r="95" spans="1:13" ht="89.25" x14ac:dyDescent="0.2">
      <c r="A95" s="130">
        <v>9</v>
      </c>
      <c r="B95" s="70" t="s">
        <v>15</v>
      </c>
      <c r="C95" s="128" t="s">
        <v>2</v>
      </c>
      <c r="D95" s="131">
        <v>2582</v>
      </c>
      <c r="E95" s="125">
        <v>2</v>
      </c>
      <c r="F95" s="17">
        <f>'Estudiodemercado DEF'!AL139</f>
        <v>2396</v>
      </c>
      <c r="G95" s="17">
        <f t="shared" si="0"/>
        <v>12372944</v>
      </c>
      <c r="H95" s="17">
        <f>'Estudiodemercado DEF'!AN139</f>
        <v>2219</v>
      </c>
      <c r="I95" s="17">
        <f t="shared" si="1"/>
        <v>11458916</v>
      </c>
      <c r="J95" s="17">
        <f>'Estudiodemercado DEF'!AP139</f>
        <v>2284</v>
      </c>
      <c r="K95" s="17">
        <f>ROUND((D95*E95*J95),0)</f>
        <v>11794576</v>
      </c>
      <c r="L95" s="17">
        <f>'Estudiodemercado DEF'!AR139</f>
        <v>2337</v>
      </c>
      <c r="M95" s="17">
        <f>ROUND((D95*E95*L95),0)</f>
        <v>12068268</v>
      </c>
    </row>
    <row r="96" spans="1:13" ht="63.75" x14ac:dyDescent="0.2">
      <c r="A96" s="113">
        <v>10</v>
      </c>
      <c r="B96" s="70" t="s">
        <v>61</v>
      </c>
      <c r="C96" s="128" t="s">
        <v>26</v>
      </c>
      <c r="D96" s="131">
        <f>865*2+50*2</f>
        <v>1830</v>
      </c>
      <c r="E96" s="125">
        <v>2</v>
      </c>
      <c r="F96" s="17">
        <f>'Estudiodemercado DEF'!AL140</f>
        <v>2765</v>
      </c>
      <c r="G96" s="17">
        <f t="shared" si="0"/>
        <v>10119900</v>
      </c>
      <c r="H96" s="17">
        <f>'Estudiodemercado DEF'!AN140</f>
        <v>2925</v>
      </c>
      <c r="I96" s="17">
        <f t="shared" si="1"/>
        <v>10705500</v>
      </c>
      <c r="J96" s="17">
        <f>'Estudiodemercado DEF'!AP140</f>
        <v>2480</v>
      </c>
      <c r="K96" s="17">
        <f>ROUND((D96*E96*J96),0)</f>
        <v>9076800</v>
      </c>
      <c r="L96" s="17">
        <f>'Estudiodemercado DEF'!AR140</f>
        <v>2619</v>
      </c>
      <c r="M96" s="17">
        <f>ROUND((D96*E96*L96),0)</f>
        <v>9585540</v>
      </c>
    </row>
    <row r="97" spans="1:13" ht="38.25" x14ac:dyDescent="0.2">
      <c r="A97" s="130">
        <v>11</v>
      </c>
      <c r="B97" s="120" t="s">
        <v>46</v>
      </c>
      <c r="C97" s="128" t="s">
        <v>1</v>
      </c>
      <c r="D97" s="131">
        <v>12</v>
      </c>
      <c r="E97" s="125">
        <v>3</v>
      </c>
      <c r="F97" s="17">
        <f>'Estudiodemercado DEF'!AL141</f>
        <v>270227</v>
      </c>
      <c r="G97" s="17">
        <f t="shared" si="0"/>
        <v>9728172</v>
      </c>
      <c r="H97" s="17">
        <f>'Estudiodemercado DEF'!AN141</f>
        <v>188031</v>
      </c>
      <c r="I97" s="17">
        <f t="shared" si="1"/>
        <v>6769116</v>
      </c>
      <c r="J97" s="17">
        <f>'Estudiodemercado DEF'!AP141</f>
        <v>202515</v>
      </c>
      <c r="K97" s="17">
        <f>ROUND((D97*E97*J97),0)</f>
        <v>7290540</v>
      </c>
      <c r="L97" s="17">
        <f>'Estudiodemercado DEF'!AR141</f>
        <v>221861</v>
      </c>
      <c r="M97" s="17">
        <f>ROUND((D97*E97*L97),0)</f>
        <v>7986996</v>
      </c>
    </row>
    <row r="98" spans="1:13" x14ac:dyDescent="0.2">
      <c r="A98" s="153"/>
      <c r="B98" s="10" t="s">
        <v>126</v>
      </c>
      <c r="C98" s="42"/>
      <c r="D98" s="112"/>
      <c r="E98" s="42"/>
      <c r="F98" s="143"/>
      <c r="G98" s="144">
        <f>SUM(G93:G97)</f>
        <v>77035524</v>
      </c>
      <c r="H98" s="143"/>
      <c r="I98" s="144">
        <f>SUM(I93:I97)</f>
        <v>69620960</v>
      </c>
      <c r="J98" s="143"/>
      <c r="K98" s="144">
        <f>SUM(K93:K97)</f>
        <v>69811388</v>
      </c>
      <c r="L98" s="143"/>
      <c r="M98" s="144">
        <f>SUM(M93:M97)</f>
        <v>72594360</v>
      </c>
    </row>
    <row r="99" spans="1:13" x14ac:dyDescent="0.2">
      <c r="A99" s="153"/>
      <c r="B99" s="10" t="s">
        <v>11</v>
      </c>
      <c r="C99" s="42"/>
      <c r="D99" s="112"/>
      <c r="E99" s="42"/>
      <c r="F99" s="145">
        <v>0.16</v>
      </c>
      <c r="G99" s="144">
        <f>ROUND(G98*F99,0)</f>
        <v>12325684</v>
      </c>
      <c r="H99" s="145">
        <v>0.16</v>
      </c>
      <c r="I99" s="144">
        <f>ROUND(I98*H99,0)</f>
        <v>11139354</v>
      </c>
      <c r="J99" s="145">
        <v>0.16</v>
      </c>
      <c r="K99" s="144">
        <f>ROUND(K98*J99,0)</f>
        <v>11169822</v>
      </c>
      <c r="L99" s="145">
        <v>0.16</v>
      </c>
      <c r="M99" s="144">
        <f>ROUND(M98*L99,0)</f>
        <v>11615098</v>
      </c>
    </row>
    <row r="100" spans="1:13" x14ac:dyDescent="0.2">
      <c r="A100" s="153"/>
      <c r="B100" s="10" t="s">
        <v>127</v>
      </c>
      <c r="C100" s="42"/>
      <c r="D100" s="112"/>
      <c r="E100" s="42"/>
      <c r="F100" s="143"/>
      <c r="G100" s="144">
        <f>SUM(G98:G99)</f>
        <v>89361208</v>
      </c>
      <c r="H100" s="143"/>
      <c r="I100" s="144">
        <f>SUM(I98:I99)</f>
        <v>80760314</v>
      </c>
      <c r="J100" s="143"/>
      <c r="K100" s="144">
        <f>SUM(K98:K99)</f>
        <v>80981210</v>
      </c>
      <c r="L100" s="143"/>
      <c r="M100" s="144">
        <f>SUM(M98:M99)</f>
        <v>84209458</v>
      </c>
    </row>
    <row r="101" spans="1:13" x14ac:dyDescent="0.2">
      <c r="A101" s="153"/>
      <c r="B101" s="102"/>
      <c r="C101" s="103"/>
      <c r="D101" s="51"/>
      <c r="E101" s="125"/>
      <c r="F101" s="17"/>
      <c r="G101" s="17"/>
      <c r="H101" s="17"/>
      <c r="I101" s="17"/>
      <c r="J101" s="17"/>
      <c r="K101" s="17"/>
      <c r="L101" s="17"/>
      <c r="M101" s="17"/>
    </row>
    <row r="102" spans="1:13" x14ac:dyDescent="0.2">
      <c r="A102" s="4"/>
      <c r="B102" s="70"/>
      <c r="C102" s="42"/>
      <c r="D102" s="71"/>
      <c r="E102" s="3"/>
      <c r="F102" s="44"/>
      <c r="G102" s="17">
        <f t="shared" si="0"/>
        <v>0</v>
      </c>
      <c r="H102" s="17"/>
      <c r="I102" s="17">
        <f t="shared" si="1"/>
        <v>0</v>
      </c>
      <c r="J102" s="44"/>
      <c r="K102" s="44"/>
      <c r="L102" s="44"/>
      <c r="M102" s="44"/>
    </row>
    <row r="103" spans="1:13" ht="27.75" customHeight="1" x14ac:dyDescent="0.2">
      <c r="A103" s="4"/>
      <c r="B103" s="10" t="s">
        <v>128</v>
      </c>
      <c r="C103" s="10"/>
      <c r="D103" s="141"/>
      <c r="E103" s="141"/>
      <c r="F103" s="143"/>
      <c r="G103" s="144">
        <f>G10+G21+G30+G39+G48+G57+G69+G77+G88+G98</f>
        <v>734662108</v>
      </c>
      <c r="H103" s="143"/>
      <c r="I103" s="144">
        <f>I10+I21+I30+I39+I48+I57+I69+I77+I88+I98</f>
        <v>636776855</v>
      </c>
      <c r="J103" s="143"/>
      <c r="K103" s="144">
        <f>K10+K21+K30+K39+K48+K57+K69+K77+K88+K98</f>
        <v>654869425</v>
      </c>
      <c r="L103" s="143"/>
      <c r="M103" s="144">
        <f>M10+M21+M30+M39+M48+M57+M69+M77+M88+M98</f>
        <v>682588610</v>
      </c>
    </row>
    <row r="104" spans="1:13" x14ac:dyDescent="0.2">
      <c r="A104" s="4"/>
      <c r="B104" s="10" t="s">
        <v>11</v>
      </c>
      <c r="C104" s="10"/>
      <c r="D104" s="141"/>
      <c r="E104" s="142"/>
      <c r="F104" s="145">
        <v>0.16</v>
      </c>
      <c r="G104" s="144">
        <f>ROUND(G103*F104,0)</f>
        <v>117545937</v>
      </c>
      <c r="H104" s="145">
        <v>0.16</v>
      </c>
      <c r="I104" s="144">
        <f>ROUND(I103*H104,0)</f>
        <v>101884297</v>
      </c>
      <c r="J104" s="145">
        <v>0.16</v>
      </c>
      <c r="K104" s="144">
        <f>ROUND(K103*J104,0)</f>
        <v>104779108</v>
      </c>
      <c r="L104" s="145">
        <v>0.16</v>
      </c>
      <c r="M104" s="144">
        <f>ROUND(M103*L104,0)</f>
        <v>109214178</v>
      </c>
    </row>
    <row r="105" spans="1:13" ht="31.5" customHeight="1" x14ac:dyDescent="0.2">
      <c r="A105" s="4"/>
      <c r="B105" s="10" t="s">
        <v>129</v>
      </c>
      <c r="C105" s="10"/>
      <c r="D105" s="141"/>
      <c r="E105" s="141"/>
      <c r="F105" s="143"/>
      <c r="G105" s="144">
        <f>SUM(G103:G104)</f>
        <v>852208045</v>
      </c>
      <c r="H105" s="143"/>
      <c r="I105" s="144">
        <f>SUM(I103:I104)</f>
        <v>738661152</v>
      </c>
      <c r="J105" s="143"/>
      <c r="K105" s="144">
        <f>SUM(K103:K104)</f>
        <v>759648533</v>
      </c>
      <c r="L105" s="143"/>
      <c r="M105" s="144">
        <f>SUM(M103:M104)</f>
        <v>791802788</v>
      </c>
    </row>
    <row r="110" spans="1:13" ht="28.5" x14ac:dyDescent="0.2">
      <c r="B110" s="133"/>
      <c r="I110" s="2"/>
      <c r="K110" s="2"/>
      <c r="M110" s="2"/>
    </row>
  </sheetData>
  <mergeCells count="6">
    <mergeCell ref="A1:M1"/>
    <mergeCell ref="A2:I2"/>
    <mergeCell ref="F3:G3"/>
    <mergeCell ref="H3:I3"/>
    <mergeCell ref="J3:K3"/>
    <mergeCell ref="L3:M3"/>
  </mergeCells>
  <pageMargins left="0.11811023622047245" right="0.11811023622047245" top="0.23622047244094491" bottom="0.23622047244094491" header="0.15748031496062992" footer="0.15748031496062992"/>
  <pageSetup scale="27" fitToHeight="0" orientation="landscape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FF0000"/>
  </sheetPr>
  <dimension ref="A1:M110"/>
  <sheetViews>
    <sheetView showGridLines="0" zoomScale="60" zoomScaleNormal="60" workbookViewId="0">
      <selection activeCell="B10" sqref="B10:B12"/>
    </sheetView>
  </sheetViews>
  <sheetFormatPr baseColWidth="10" defaultColWidth="11.42578125" defaultRowHeight="15" x14ac:dyDescent="0.2"/>
  <cols>
    <col min="1" max="1" width="8.7109375" style="8" customWidth="1"/>
    <col min="2" max="2" width="49.42578125" style="1" customWidth="1"/>
    <col min="3" max="3" width="4.85546875" style="1" customWidth="1"/>
    <col min="4" max="4" width="14.42578125" style="1" customWidth="1"/>
    <col min="5" max="5" width="5.42578125" style="1" customWidth="1"/>
    <col min="6" max="6" width="13.42578125" style="1" customWidth="1"/>
    <col min="7" max="7" width="25.28515625" style="1" customWidth="1"/>
    <col min="8" max="8" width="13.42578125" style="1" customWidth="1"/>
    <col min="9" max="9" width="26.7109375" style="1" customWidth="1"/>
    <col min="10" max="10" width="13.42578125" style="1" customWidth="1"/>
    <col min="11" max="11" width="26.28515625" style="1" customWidth="1"/>
    <col min="12" max="12" width="13.42578125" style="1" customWidth="1"/>
    <col min="13" max="13" width="25.28515625" style="1" customWidth="1"/>
    <col min="14" max="16384" width="11.42578125" style="1"/>
  </cols>
  <sheetData>
    <row r="1" spans="1:13" ht="70.5" customHeight="1" x14ac:dyDescent="0.2">
      <c r="A1" s="317" t="s">
        <v>108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13" ht="23.25" customHeight="1" x14ac:dyDescent="0.2">
      <c r="A2" s="318" t="s">
        <v>9</v>
      </c>
      <c r="B2" s="318"/>
      <c r="C2" s="318"/>
      <c r="D2" s="318"/>
      <c r="E2" s="318"/>
      <c r="F2" s="318"/>
      <c r="G2" s="318"/>
      <c r="H2" s="318"/>
      <c r="I2" s="318"/>
    </row>
    <row r="3" spans="1:13" ht="166.5" customHeight="1" x14ac:dyDescent="0.2">
      <c r="B3" s="12" t="s">
        <v>136</v>
      </c>
      <c r="F3" s="313" t="s">
        <v>12</v>
      </c>
      <c r="G3" s="314"/>
      <c r="H3" s="313" t="s">
        <v>16</v>
      </c>
      <c r="I3" s="314"/>
      <c r="J3" s="313" t="s">
        <v>17</v>
      </c>
      <c r="K3" s="314"/>
      <c r="L3" s="296" t="s">
        <v>18</v>
      </c>
      <c r="M3" s="297"/>
    </row>
    <row r="4" spans="1:13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7" t="s">
        <v>4</v>
      </c>
      <c r="I4" s="56" t="s">
        <v>0</v>
      </c>
      <c r="J4" s="57" t="s">
        <v>4</v>
      </c>
      <c r="K4" s="56" t="s">
        <v>0</v>
      </c>
      <c r="L4" s="57" t="s">
        <v>4</v>
      </c>
      <c r="M4" s="56" t="s">
        <v>0</v>
      </c>
    </row>
    <row r="5" spans="1:13" ht="36.75" customHeight="1" x14ac:dyDescent="0.2">
      <c r="A5" s="139"/>
      <c r="B5" s="196" t="s">
        <v>103</v>
      </c>
      <c r="C5" s="134"/>
      <c r="D5" s="134"/>
      <c r="E5" s="134"/>
      <c r="F5" s="135"/>
      <c r="G5" s="134"/>
      <c r="H5" s="135"/>
      <c r="I5" s="134"/>
      <c r="J5" s="135"/>
      <c r="K5" s="134"/>
      <c r="L5" s="135"/>
      <c r="M5" s="134"/>
    </row>
    <row r="6" spans="1:13" ht="66" customHeight="1" x14ac:dyDescent="0.2">
      <c r="A6" s="18">
        <v>1</v>
      </c>
      <c r="B6" s="102" t="s">
        <v>13</v>
      </c>
      <c r="C6" s="103" t="s">
        <v>1</v>
      </c>
      <c r="D6" s="51">
        <v>17</v>
      </c>
      <c r="E6" s="103">
        <v>4</v>
      </c>
      <c r="F6" s="17">
        <f>'Estudiodemercado DEF'!AL5</f>
        <v>324317</v>
      </c>
      <c r="G6" s="17">
        <f>ROUND((D6*E6*F6),0)</f>
        <v>22053556</v>
      </c>
      <c r="H6" s="17">
        <f>'Estudiodemercado DEF'!AN5</f>
        <v>296224</v>
      </c>
      <c r="I6" s="17">
        <f>ROUND((D6*E6*H6),0)</f>
        <v>20143232</v>
      </c>
      <c r="J6" s="17">
        <f>'Estudiodemercado DEF'!AP5</f>
        <v>310207</v>
      </c>
      <c r="K6" s="17">
        <f>ROUND((D6*E6*J6),0)</f>
        <v>21094076</v>
      </c>
      <c r="L6" s="17">
        <f>'Estudiodemercado DEF'!AR5</f>
        <v>316235</v>
      </c>
      <c r="M6" s="17">
        <f>ROUND((D6*E6*L6),0)</f>
        <v>21503980</v>
      </c>
    </row>
    <row r="7" spans="1:13" ht="76.5" x14ac:dyDescent="0.2">
      <c r="A7" s="18">
        <v>2</v>
      </c>
      <c r="B7" s="102" t="s">
        <v>14</v>
      </c>
      <c r="C7" s="103" t="s">
        <v>2</v>
      </c>
      <c r="D7" s="104">
        <v>3000</v>
      </c>
      <c r="E7" s="103">
        <v>2</v>
      </c>
      <c r="F7" s="17">
        <f>'Estudiodemercado DEF'!AL6</f>
        <v>2265</v>
      </c>
      <c r="G7" s="17">
        <f>ROUND((D7*E7*F7),0)</f>
        <v>13590000</v>
      </c>
      <c r="H7" s="17">
        <f>'Estudiodemercado DEF'!AN6</f>
        <v>1837</v>
      </c>
      <c r="I7" s="17">
        <f>ROUND((D7*E7*H7),0)</f>
        <v>11022000</v>
      </c>
      <c r="J7" s="17">
        <f>'Estudiodemercado DEF'!AP6</f>
        <v>1971</v>
      </c>
      <c r="K7" s="17">
        <f>ROUND((D7*E7*J7),0)</f>
        <v>11826000</v>
      </c>
      <c r="L7" s="17">
        <f>'Estudiodemercado DEF'!AR6</f>
        <v>2083</v>
      </c>
      <c r="M7" s="17">
        <f>ROUND((D7*E7*L7),0)</f>
        <v>12498000</v>
      </c>
    </row>
    <row r="8" spans="1:13" ht="89.25" x14ac:dyDescent="0.2">
      <c r="A8" s="18">
        <v>3</v>
      </c>
      <c r="B8" s="102" t="s">
        <v>15</v>
      </c>
      <c r="C8" s="103" t="s">
        <v>2</v>
      </c>
      <c r="D8" s="51">
        <v>2623</v>
      </c>
      <c r="E8" s="103">
        <v>2</v>
      </c>
      <c r="F8" s="17">
        <f>'Estudiodemercado DEF'!AL7</f>
        <v>2148</v>
      </c>
      <c r="G8" s="17">
        <f>ROUND((D8*E8*F8),0)</f>
        <v>11268408</v>
      </c>
      <c r="H8" s="17">
        <f>'Estudiodemercado DEF'!AN7</f>
        <v>1890</v>
      </c>
      <c r="I8" s="17">
        <f>ROUND((D8*E8*H8),0)</f>
        <v>9914940</v>
      </c>
      <c r="J8" s="17">
        <f>'Estudiodemercado DEF'!AP7</f>
        <v>2022</v>
      </c>
      <c r="K8" s="17">
        <f>ROUND((D8*E8*J8),0)</f>
        <v>10607412</v>
      </c>
      <c r="L8" s="17">
        <f>'Estudiodemercado DEF'!AR7</f>
        <v>2078</v>
      </c>
      <c r="M8" s="17">
        <f>ROUND((D8*E8*L8),0)</f>
        <v>10901188</v>
      </c>
    </row>
    <row r="9" spans="1:13" ht="38.25" x14ac:dyDescent="0.2">
      <c r="A9" s="18">
        <v>4</v>
      </c>
      <c r="B9" s="105" t="s">
        <v>46</v>
      </c>
      <c r="C9" s="52" t="s">
        <v>1</v>
      </c>
      <c r="D9" s="51">
        <v>12</v>
      </c>
      <c r="E9" s="52">
        <v>2</v>
      </c>
      <c r="F9" s="17">
        <f>'Estudiodemercado DEF'!AL8</f>
        <v>280802</v>
      </c>
      <c r="G9" s="17">
        <f>ROUND((D9*E9*F9),0)</f>
        <v>6739248</v>
      </c>
      <c r="H9" s="17">
        <f>'Estudiodemercado DEF'!AN8</f>
        <v>175862</v>
      </c>
      <c r="I9" s="17">
        <f>ROUND((D9*E9*H9),0)</f>
        <v>4220688</v>
      </c>
      <c r="J9" s="17">
        <f>'Estudiodemercado DEF'!AP8</f>
        <v>196838</v>
      </c>
      <c r="K9" s="17">
        <f>ROUND((D9*E9*J9),0)</f>
        <v>4724112</v>
      </c>
      <c r="L9" s="17">
        <f>'Estudiodemercado DEF'!AR8</f>
        <v>220596</v>
      </c>
      <c r="M9" s="17">
        <f>ROUND((D9*E9*L9),0)</f>
        <v>5294304</v>
      </c>
    </row>
    <row r="10" spans="1:13" ht="15.75" x14ac:dyDescent="0.2">
      <c r="A10" s="21"/>
      <c r="B10" s="193" t="s">
        <v>150</v>
      </c>
      <c r="C10" s="52"/>
      <c r="D10" s="51"/>
      <c r="E10" s="52"/>
      <c r="F10" s="143"/>
      <c r="G10" s="144">
        <f>SUM(G6:G9)</f>
        <v>53651212</v>
      </c>
      <c r="H10" s="143"/>
      <c r="I10" s="144">
        <f>SUM(I6:I9)</f>
        <v>45300860</v>
      </c>
      <c r="J10" s="143"/>
      <c r="K10" s="144">
        <f>SUM(K6:K9)</f>
        <v>48251600</v>
      </c>
      <c r="L10" s="143"/>
      <c r="M10" s="144">
        <f>SUM(M6:M9)</f>
        <v>50197472</v>
      </c>
    </row>
    <row r="11" spans="1:13" ht="15.75" x14ac:dyDescent="0.2">
      <c r="A11" s="21"/>
      <c r="B11" s="193" t="s">
        <v>151</v>
      </c>
      <c r="C11" s="52"/>
      <c r="D11" s="51"/>
      <c r="E11" s="52"/>
      <c r="F11" s="171">
        <v>0.19</v>
      </c>
      <c r="G11" s="170">
        <f>ROUND(G10*F11,0)</f>
        <v>10193730</v>
      </c>
      <c r="H11" s="171">
        <v>0.19</v>
      </c>
      <c r="I11" s="170">
        <f>ROUND(I10*H11,0)</f>
        <v>8607163</v>
      </c>
      <c r="J11" s="171">
        <v>0.19</v>
      </c>
      <c r="K11" s="170">
        <f>ROUND(K10*J11,0)</f>
        <v>9167804</v>
      </c>
      <c r="L11" s="171">
        <v>0.19</v>
      </c>
      <c r="M11" s="170">
        <f>ROUND(M10*L11,0)</f>
        <v>9537520</v>
      </c>
    </row>
    <row r="12" spans="1:13" ht="15.75" x14ac:dyDescent="0.2">
      <c r="A12" s="21"/>
      <c r="B12" s="165" t="s">
        <v>135</v>
      </c>
      <c r="C12" s="52"/>
      <c r="D12" s="51"/>
      <c r="E12" s="52"/>
      <c r="F12" s="143"/>
      <c r="G12" s="144">
        <f>SUM(G10:G11)</f>
        <v>63844942</v>
      </c>
      <c r="H12" s="143"/>
      <c r="I12" s="144">
        <f>SUM(I10:I11)</f>
        <v>53908023</v>
      </c>
      <c r="J12" s="143"/>
      <c r="K12" s="144">
        <f>SUM(K10:K11)</f>
        <v>57419404</v>
      </c>
      <c r="L12" s="143"/>
      <c r="M12" s="144">
        <f>SUM(M10:M11)</f>
        <v>59734992</v>
      </c>
    </row>
    <row r="13" spans="1:13" x14ac:dyDescent="0.2">
      <c r="A13" s="21"/>
      <c r="B13" s="105"/>
      <c r="C13" s="52"/>
      <c r="D13" s="51"/>
      <c r="E13" s="52"/>
      <c r="F13" s="143"/>
      <c r="G13" s="144"/>
      <c r="H13" s="143"/>
      <c r="I13" s="144"/>
      <c r="J13" s="143"/>
      <c r="K13" s="144"/>
      <c r="L13" s="143"/>
      <c r="M13" s="144"/>
    </row>
    <row r="14" spans="1:13" ht="15" customHeight="1" x14ac:dyDescent="0.2">
      <c r="A14" s="21"/>
      <c r="B14" s="196" t="s">
        <v>104</v>
      </c>
      <c r="C14" s="52"/>
      <c r="D14" s="51"/>
      <c r="E14" s="52"/>
      <c r="F14" s="17"/>
      <c r="G14" s="17">
        <f t="shared" ref="G14:G20" si="0">ROUND((D14*E14*F14),0)</f>
        <v>0</v>
      </c>
      <c r="H14" s="17"/>
      <c r="I14" s="17">
        <f t="shared" ref="I14:I20" si="1">ROUND((D14*E14*H14),0)</f>
        <v>0</v>
      </c>
      <c r="J14" s="17"/>
      <c r="K14" s="17">
        <f t="shared" ref="K14:K20" si="2">ROUND((D14*E14*J14),0)</f>
        <v>0</v>
      </c>
      <c r="L14" s="17"/>
      <c r="M14" s="17">
        <f t="shared" ref="M14:M20" si="3">ROUND((D14*E14*L14),0)</f>
        <v>0</v>
      </c>
    </row>
    <row r="15" spans="1:13" ht="63.75" x14ac:dyDescent="0.2">
      <c r="A15" s="19">
        <v>5</v>
      </c>
      <c r="B15" s="22" t="s">
        <v>21</v>
      </c>
      <c r="C15" s="19" t="s">
        <v>1</v>
      </c>
      <c r="D15" s="41">
        <v>20.6</v>
      </c>
      <c r="E15" s="42">
        <v>4</v>
      </c>
      <c r="F15" s="17">
        <f>'Estudiodemercado DEF'!AJ17</f>
        <v>344478</v>
      </c>
      <c r="G15" s="17">
        <f t="shared" si="0"/>
        <v>28384987</v>
      </c>
      <c r="H15" s="17">
        <f>'Estudiodemercado DEF'!AL17</f>
        <v>315193</v>
      </c>
      <c r="I15" s="17">
        <f t="shared" si="1"/>
        <v>25971903</v>
      </c>
      <c r="J15" s="17">
        <f>'Estudiodemercado DEF'!AN17</f>
        <v>330163</v>
      </c>
      <c r="K15" s="17">
        <f t="shared" si="2"/>
        <v>27205431</v>
      </c>
      <c r="L15" s="17">
        <f>'Estudiodemercado DEF'!AP17</f>
        <v>336545</v>
      </c>
      <c r="M15" s="17">
        <f t="shared" si="3"/>
        <v>27731308</v>
      </c>
    </row>
    <row r="16" spans="1:13" ht="76.5" x14ac:dyDescent="0.2">
      <c r="A16" s="19">
        <v>6</v>
      </c>
      <c r="B16" s="22" t="s">
        <v>14</v>
      </c>
      <c r="C16" s="19" t="s">
        <v>2</v>
      </c>
      <c r="D16" s="41">
        <v>2940</v>
      </c>
      <c r="E16" s="42">
        <v>2</v>
      </c>
      <c r="F16" s="17">
        <f>'Estudiodemercado DEF'!AJ18</f>
        <v>2356</v>
      </c>
      <c r="G16" s="17">
        <f t="shared" si="0"/>
        <v>13853280</v>
      </c>
      <c r="H16" s="17">
        <f>'Estudiodemercado DEF'!AL18</f>
        <v>2100</v>
      </c>
      <c r="I16" s="17">
        <f t="shared" si="1"/>
        <v>12348000</v>
      </c>
      <c r="J16" s="17">
        <f>'Estudiodemercado DEF'!AN18</f>
        <v>2056</v>
      </c>
      <c r="K16" s="17">
        <f t="shared" si="2"/>
        <v>12089280</v>
      </c>
      <c r="L16" s="17">
        <f>'Estudiodemercado DEF'!AP18</f>
        <v>2173</v>
      </c>
      <c r="M16" s="17">
        <f t="shared" si="3"/>
        <v>12777240</v>
      </c>
    </row>
    <row r="17" spans="1:13" ht="89.25" x14ac:dyDescent="0.2">
      <c r="A17" s="19">
        <v>7</v>
      </c>
      <c r="B17" s="22" t="s">
        <v>23</v>
      </c>
      <c r="C17" s="19" t="s">
        <v>2</v>
      </c>
      <c r="D17" s="41">
        <v>3110</v>
      </c>
      <c r="E17" s="42">
        <v>2</v>
      </c>
      <c r="F17" s="17">
        <f>'Estudiodemercado DEF'!AJ19</f>
        <v>2222</v>
      </c>
      <c r="G17" s="17">
        <f t="shared" si="0"/>
        <v>13820840</v>
      </c>
      <c r="H17" s="17">
        <f>'Estudiodemercado DEF'!AL19</f>
        <v>1953</v>
      </c>
      <c r="I17" s="17">
        <f t="shared" si="1"/>
        <v>12147660</v>
      </c>
      <c r="J17" s="17">
        <f>'Estudiodemercado DEF'!AN19</f>
        <v>2089</v>
      </c>
      <c r="K17" s="17">
        <f t="shared" si="2"/>
        <v>12993580</v>
      </c>
      <c r="L17" s="17">
        <f>'Estudiodemercado DEF'!AP19</f>
        <v>2150</v>
      </c>
      <c r="M17" s="17">
        <f t="shared" si="3"/>
        <v>13373000</v>
      </c>
    </row>
    <row r="18" spans="1:13" ht="54.75" customHeight="1" x14ac:dyDescent="0.2">
      <c r="A18" s="19">
        <v>8</v>
      </c>
      <c r="B18" s="43" t="s">
        <v>24</v>
      </c>
      <c r="C18" s="19" t="s">
        <v>1</v>
      </c>
      <c r="D18" s="41">
        <v>12</v>
      </c>
      <c r="E18" s="42">
        <v>2</v>
      </c>
      <c r="F18" s="17">
        <f>'Estudiodemercado DEF'!AJ20</f>
        <v>276575</v>
      </c>
      <c r="G18" s="17">
        <f t="shared" si="0"/>
        <v>6637800</v>
      </c>
      <c r="H18" s="17">
        <f>'Estudiodemercado DEF'!AL20</f>
        <v>180000</v>
      </c>
      <c r="I18" s="17">
        <f t="shared" si="1"/>
        <v>4320000</v>
      </c>
      <c r="J18" s="17">
        <f>'Estudiodemercado DEF'!AN20</f>
        <v>204677</v>
      </c>
      <c r="K18" s="17">
        <f t="shared" si="2"/>
        <v>4912248</v>
      </c>
      <c r="L18" s="17">
        <f>'Estudiodemercado DEF'!AP20</f>
        <v>225374</v>
      </c>
      <c r="M18" s="17">
        <f t="shared" si="3"/>
        <v>5408976</v>
      </c>
    </row>
    <row r="19" spans="1:13" ht="79.5" customHeight="1" x14ac:dyDescent="0.2">
      <c r="A19" s="19">
        <v>9</v>
      </c>
      <c r="B19" s="43" t="s">
        <v>149</v>
      </c>
      <c r="C19" s="19" t="s">
        <v>26</v>
      </c>
      <c r="D19" s="41">
        <f>ROUND(944*2+17.6*2,0)</f>
        <v>1923</v>
      </c>
      <c r="E19" s="42">
        <v>2</v>
      </c>
      <c r="F19" s="17">
        <f>'Estudiodemercado DEF'!AJ21</f>
        <v>2847</v>
      </c>
      <c r="G19" s="17">
        <f t="shared" si="0"/>
        <v>10949562</v>
      </c>
      <c r="H19" s="17">
        <f>'Estudiodemercado DEF'!AL21</f>
        <v>2800</v>
      </c>
      <c r="I19" s="17">
        <f t="shared" si="1"/>
        <v>10768800</v>
      </c>
      <c r="J19" s="17">
        <f>'Estudiodemercado DEF'!AN21</f>
        <v>2582</v>
      </c>
      <c r="K19" s="17">
        <f t="shared" si="2"/>
        <v>9930372</v>
      </c>
      <c r="L19" s="17">
        <f>'Estudiodemercado DEF'!AP21</f>
        <v>2715</v>
      </c>
      <c r="M19" s="17">
        <f t="shared" si="3"/>
        <v>10441890</v>
      </c>
    </row>
    <row r="20" spans="1:13" ht="102" x14ac:dyDescent="0.2">
      <c r="A20" s="4">
        <v>10</v>
      </c>
      <c r="B20" s="70" t="s">
        <v>27</v>
      </c>
      <c r="C20" s="42" t="s">
        <v>1</v>
      </c>
      <c r="D20" s="41">
        <v>2</v>
      </c>
      <c r="E20" s="42">
        <v>1</v>
      </c>
      <c r="F20" s="17">
        <f>'Estudiodemercado DEF'!AJ22</f>
        <v>1187524</v>
      </c>
      <c r="G20" s="17">
        <f t="shared" si="0"/>
        <v>2375048</v>
      </c>
      <c r="H20" s="17">
        <f>'Estudiodemercado DEF'!AL22</f>
        <v>1050000</v>
      </c>
      <c r="I20" s="17">
        <f t="shared" si="1"/>
        <v>2100000</v>
      </c>
      <c r="J20" s="17">
        <f>'Estudiodemercado DEF'!AN22</f>
        <v>1094653</v>
      </c>
      <c r="K20" s="17">
        <f t="shared" si="2"/>
        <v>2189306</v>
      </c>
      <c r="L20" s="17">
        <f>'Estudiodemercado DEF'!AP22</f>
        <v>1137749</v>
      </c>
      <c r="M20" s="17">
        <f t="shared" si="3"/>
        <v>2275498</v>
      </c>
    </row>
    <row r="21" spans="1:13" ht="15.75" x14ac:dyDescent="0.2">
      <c r="A21" s="42"/>
      <c r="B21" s="193" t="s">
        <v>150</v>
      </c>
      <c r="C21" s="19"/>
      <c r="D21" s="41"/>
      <c r="E21" s="42"/>
      <c r="F21" s="143"/>
      <c r="G21" s="144">
        <f>SUM(G15:G20)</f>
        <v>76021517</v>
      </c>
      <c r="H21" s="143"/>
      <c r="I21" s="144">
        <f>SUM(I15:I20)</f>
        <v>67656363</v>
      </c>
      <c r="J21" s="143"/>
      <c r="K21" s="144">
        <f>SUM(K15:K20)</f>
        <v>69320217</v>
      </c>
      <c r="L21" s="143"/>
      <c r="M21" s="144">
        <f>SUM(M15:M20)</f>
        <v>72007912</v>
      </c>
    </row>
    <row r="22" spans="1:13" ht="15.75" x14ac:dyDescent="0.2">
      <c r="A22" s="42"/>
      <c r="B22" s="193" t="s">
        <v>151</v>
      </c>
      <c r="C22" s="52"/>
      <c r="D22" s="51"/>
      <c r="E22" s="52"/>
      <c r="F22" s="171">
        <v>0.19</v>
      </c>
      <c r="G22" s="170">
        <f>ROUND(G21*F22,0)</f>
        <v>14444088</v>
      </c>
      <c r="H22" s="171">
        <v>0.19</v>
      </c>
      <c r="I22" s="170">
        <f>ROUND(I21*H22,0)</f>
        <v>12854709</v>
      </c>
      <c r="J22" s="171">
        <v>0.19</v>
      </c>
      <c r="K22" s="170">
        <f>ROUND(K21*J22,0)</f>
        <v>13170841</v>
      </c>
      <c r="L22" s="171">
        <v>0.19</v>
      </c>
      <c r="M22" s="170">
        <f>ROUND(M21*L22,0)</f>
        <v>13681503</v>
      </c>
    </row>
    <row r="23" spans="1:13" ht="15.75" x14ac:dyDescent="0.2">
      <c r="A23" s="42"/>
      <c r="B23" s="165" t="s">
        <v>147</v>
      </c>
      <c r="C23" s="19"/>
      <c r="D23" s="41"/>
      <c r="E23" s="42"/>
      <c r="F23" s="143"/>
      <c r="G23" s="144">
        <f>SUM(G21:G22)</f>
        <v>90465605</v>
      </c>
      <c r="H23" s="143"/>
      <c r="I23" s="144">
        <f>SUM(I21:I22)</f>
        <v>80511072</v>
      </c>
      <c r="J23" s="143"/>
      <c r="K23" s="144">
        <f>SUM(K21:K22)</f>
        <v>82491058</v>
      </c>
      <c r="L23" s="143"/>
      <c r="M23" s="144">
        <f>SUM(M21:M22)</f>
        <v>85689415</v>
      </c>
    </row>
    <row r="24" spans="1:13" ht="18.75" customHeight="1" x14ac:dyDescent="0.2">
      <c r="A24" s="42"/>
      <c r="B24" s="22"/>
      <c r="C24" s="19"/>
      <c r="D24" s="41"/>
      <c r="E24" s="42"/>
      <c r="F24" s="17"/>
      <c r="G24" s="17"/>
      <c r="H24" s="17"/>
      <c r="I24" s="17"/>
      <c r="J24" s="17"/>
      <c r="K24" s="17"/>
      <c r="L24" s="17"/>
      <c r="M24" s="17"/>
    </row>
    <row r="25" spans="1:13" x14ac:dyDescent="0.2">
      <c r="A25" s="137"/>
      <c r="B25" s="196" t="str">
        <f>UPPER("aeropuerto Berastegui de Cienaga de Oro - Cordoba")</f>
        <v>AEROPUERTO BERASTEGUI DE CIENAGA DE ORO - CORDOBA</v>
      </c>
      <c r="C25" s="42"/>
      <c r="D25" s="71"/>
      <c r="E25" s="3"/>
      <c r="F25" s="44"/>
      <c r="G25" s="17">
        <f>ROUND((D25*E25*F25),0)</f>
        <v>0</v>
      </c>
      <c r="H25" s="17"/>
      <c r="I25" s="17">
        <f>ROUND((D25*E25*H25),0)</f>
        <v>0</v>
      </c>
      <c r="J25" s="44"/>
      <c r="K25" s="17">
        <f>ROUND((D25*E25*J25),0)</f>
        <v>0</v>
      </c>
      <c r="L25" s="44"/>
      <c r="M25" s="17">
        <f>ROUND((D25*E25*L25),0)</f>
        <v>0</v>
      </c>
    </row>
    <row r="26" spans="1:13" ht="63.75" x14ac:dyDescent="0.2">
      <c r="A26" s="106">
        <v>1</v>
      </c>
      <c r="B26" s="22" t="s">
        <v>13</v>
      </c>
      <c r="C26" s="106" t="s">
        <v>1</v>
      </c>
      <c r="D26" s="51">
        <v>33.25</v>
      </c>
      <c r="E26" s="103">
        <v>4</v>
      </c>
      <c r="F26" s="17">
        <f>'Estudiodemercado DEF'!AL35</f>
        <v>319799</v>
      </c>
      <c r="G26" s="17">
        <f>ROUND((D26*E26*F26),0)</f>
        <v>42533267</v>
      </c>
      <c r="H26" s="17">
        <f>'Estudiodemercado DEF'!AN35</f>
        <v>302406</v>
      </c>
      <c r="I26" s="17">
        <f>ROUND((D26*E26*H26),0)</f>
        <v>40219998</v>
      </c>
      <c r="J26" s="17">
        <f>'Estudiodemercado DEF'!AP35</f>
        <v>308302</v>
      </c>
      <c r="K26" s="17">
        <f>ROUND((D26*E26*J26),0)</f>
        <v>41004166</v>
      </c>
      <c r="L26" s="17">
        <f>'Estudiodemercado DEF'!AR35</f>
        <v>312988</v>
      </c>
      <c r="M26" s="17">
        <f>ROUND((D26*E26*L26),0)</f>
        <v>41627404</v>
      </c>
    </row>
    <row r="27" spans="1:13" ht="89.25" x14ac:dyDescent="0.2">
      <c r="A27" s="106">
        <v>2</v>
      </c>
      <c r="B27" s="22" t="s">
        <v>59</v>
      </c>
      <c r="C27" s="106" t="s">
        <v>2</v>
      </c>
      <c r="D27" s="51">
        <v>4206</v>
      </c>
      <c r="E27" s="103">
        <v>2</v>
      </c>
      <c r="F27" s="17">
        <f>'Estudiodemercado DEF'!AL36</f>
        <v>2634</v>
      </c>
      <c r="G27" s="17">
        <f>ROUND((D27*E27*F27),0)</f>
        <v>22157208</v>
      </c>
      <c r="H27" s="17">
        <f>'Estudiodemercado DEF'!AN36</f>
        <v>2236</v>
      </c>
      <c r="I27" s="17">
        <f>ROUND((D27*E27*H27),0)</f>
        <v>18809232</v>
      </c>
      <c r="J27" s="17">
        <f>'Estudiodemercado DEF'!AP36</f>
        <v>2383</v>
      </c>
      <c r="K27" s="17">
        <f>ROUND((D27*E27*J27),0)</f>
        <v>20045796</v>
      </c>
      <c r="L27" s="17">
        <f>'Estudiodemercado DEF'!AR36</f>
        <v>2493</v>
      </c>
      <c r="M27" s="17">
        <f>ROUND((D27*E27*L27),0)</f>
        <v>20971116</v>
      </c>
    </row>
    <row r="28" spans="1:13" ht="76.5" x14ac:dyDescent="0.2">
      <c r="A28" s="106">
        <v>3</v>
      </c>
      <c r="B28" s="22" t="s">
        <v>14</v>
      </c>
      <c r="C28" s="108" t="s">
        <v>2</v>
      </c>
      <c r="D28" s="109">
        <v>2567</v>
      </c>
      <c r="E28" s="110">
        <v>2</v>
      </c>
      <c r="F28" s="17">
        <f>'Estudiodemercado DEF'!AL37</f>
        <v>2624</v>
      </c>
      <c r="G28" s="17">
        <f>ROUND((D28*E28*F28),0)</f>
        <v>13471616</v>
      </c>
      <c r="H28" s="17">
        <f>'Estudiodemercado DEF'!AN37</f>
        <v>2137</v>
      </c>
      <c r="I28" s="17">
        <f>ROUND((D28*E28*H28),0)</f>
        <v>10971358</v>
      </c>
      <c r="J28" s="17">
        <f>'Estudiodemercado DEF'!AP37</f>
        <v>2301</v>
      </c>
      <c r="K28" s="17">
        <f>ROUND((D28*E28*J28),0)</f>
        <v>11813334</v>
      </c>
      <c r="L28" s="17">
        <f>'Estudiodemercado DEF'!AR37</f>
        <v>2426</v>
      </c>
      <c r="M28" s="17">
        <f>ROUND((D28*E28*L28),0)</f>
        <v>12455084</v>
      </c>
    </row>
    <row r="29" spans="1:13" ht="38.25" x14ac:dyDescent="0.2">
      <c r="A29" s="106">
        <v>4</v>
      </c>
      <c r="B29" s="22" t="s">
        <v>46</v>
      </c>
      <c r="C29" s="19" t="s">
        <v>1</v>
      </c>
      <c r="D29" s="111">
        <v>14</v>
      </c>
      <c r="E29" s="52">
        <v>2</v>
      </c>
      <c r="F29" s="17">
        <f>'Estudiodemercado DEF'!AL38</f>
        <v>306143</v>
      </c>
      <c r="G29" s="17">
        <f>ROUND((D29*E29*F29),0)</f>
        <v>8572004</v>
      </c>
      <c r="H29" s="17">
        <f>'Estudiodemercado DEF'!AN38</f>
        <v>196064</v>
      </c>
      <c r="I29" s="17">
        <f>ROUND((D29*E29*H29),0)</f>
        <v>5489792</v>
      </c>
      <c r="J29" s="17">
        <f>'Estudiodemercado DEF'!AP38</f>
        <v>222553</v>
      </c>
      <c r="K29" s="17">
        <f>ROUND((D29*E29*J29),0)</f>
        <v>6231484</v>
      </c>
      <c r="L29" s="17">
        <f>'Estudiodemercado DEF'!AR38</f>
        <v>249489</v>
      </c>
      <c r="M29" s="17">
        <f>ROUND((D29*E29*L29),0)</f>
        <v>6985692</v>
      </c>
    </row>
    <row r="30" spans="1:13" ht="15.75" x14ac:dyDescent="0.2">
      <c r="A30" s="150"/>
      <c r="B30" s="193" t="s">
        <v>150</v>
      </c>
      <c r="C30" s="106"/>
      <c r="D30" s="51"/>
      <c r="E30" s="103"/>
      <c r="F30" s="143"/>
      <c r="G30" s="144">
        <f>SUM(G26:G29)</f>
        <v>86734095</v>
      </c>
      <c r="H30" s="143"/>
      <c r="I30" s="144">
        <f>SUM(I26:I29)</f>
        <v>75490380</v>
      </c>
      <c r="J30" s="143"/>
      <c r="K30" s="144">
        <f>SUM(K26:K29)</f>
        <v>79094780</v>
      </c>
      <c r="L30" s="143"/>
      <c r="M30" s="144">
        <f>SUM(M26:M29)</f>
        <v>82039296</v>
      </c>
    </row>
    <row r="31" spans="1:13" ht="15.75" x14ac:dyDescent="0.2">
      <c r="A31" s="150"/>
      <c r="B31" s="193" t="s">
        <v>151</v>
      </c>
      <c r="C31" s="52"/>
      <c r="D31" s="51"/>
      <c r="E31" s="52"/>
      <c r="F31" s="171">
        <v>0.19</v>
      </c>
      <c r="G31" s="170">
        <f>ROUND(G30*F31,0)</f>
        <v>16479478</v>
      </c>
      <c r="H31" s="171">
        <v>0.19</v>
      </c>
      <c r="I31" s="170">
        <f>ROUND(I30*H31,0)</f>
        <v>14343172</v>
      </c>
      <c r="J31" s="171">
        <v>0.19</v>
      </c>
      <c r="K31" s="170">
        <f>ROUND(K30*J31,0)</f>
        <v>15028008</v>
      </c>
      <c r="L31" s="171">
        <v>0.19</v>
      </c>
      <c r="M31" s="170">
        <f>ROUND(M30*L31,0)</f>
        <v>15587466</v>
      </c>
    </row>
    <row r="32" spans="1:13" ht="15.75" x14ac:dyDescent="0.2">
      <c r="A32" s="150"/>
      <c r="B32" s="165" t="s">
        <v>146</v>
      </c>
      <c r="C32" s="106"/>
      <c r="D32" s="51"/>
      <c r="E32" s="103"/>
      <c r="F32" s="143"/>
      <c r="G32" s="144">
        <f>SUM(G30:G31)</f>
        <v>103213573</v>
      </c>
      <c r="H32" s="143"/>
      <c r="I32" s="144">
        <f>SUM(I30:I31)</f>
        <v>89833552</v>
      </c>
      <c r="J32" s="143"/>
      <c r="K32" s="144">
        <f>SUM(K30:K31)</f>
        <v>94122788</v>
      </c>
      <c r="L32" s="143"/>
      <c r="M32" s="144">
        <f>SUM(M30:M31)</f>
        <v>97626762</v>
      </c>
    </row>
    <row r="33" spans="1:13" x14ac:dyDescent="0.2">
      <c r="A33" s="150"/>
      <c r="B33" s="22"/>
      <c r="C33" s="106"/>
      <c r="D33" s="51"/>
      <c r="E33" s="103"/>
      <c r="F33" s="143"/>
      <c r="G33" s="144"/>
      <c r="H33" s="143"/>
      <c r="I33" s="144"/>
      <c r="J33" s="143"/>
      <c r="K33" s="144"/>
      <c r="L33" s="143"/>
      <c r="M33" s="144"/>
    </row>
    <row r="34" spans="1:13" x14ac:dyDescent="0.2">
      <c r="A34" s="21"/>
      <c r="B34" s="196" t="str">
        <f>UPPER("aeropuerto El Pindo de Montelibano - Cordoba")</f>
        <v>AEROPUERTO EL PINDO DE MONTELIBANO - CORDOBA</v>
      </c>
      <c r="C34" s="52"/>
      <c r="D34" s="51"/>
      <c r="E34" s="52"/>
      <c r="F34" s="17"/>
      <c r="G34" s="17">
        <f>ROUND((D34*E34*F34),0)</f>
        <v>0</v>
      </c>
      <c r="H34" s="17"/>
      <c r="I34" s="17">
        <f>ROUND((D34*E34*H34),0)</f>
        <v>0</v>
      </c>
      <c r="J34" s="17"/>
      <c r="K34" s="17">
        <f>ROUND((D34*E34*J34),0)</f>
        <v>0</v>
      </c>
      <c r="L34" s="17"/>
      <c r="M34" s="17">
        <f>ROUND((D34*E34*L34),0)</f>
        <v>0</v>
      </c>
    </row>
    <row r="35" spans="1:13" ht="63.75" x14ac:dyDescent="0.2">
      <c r="A35" s="18">
        <v>5</v>
      </c>
      <c r="B35" s="22" t="s">
        <v>13</v>
      </c>
      <c r="C35" s="42" t="s">
        <v>1</v>
      </c>
      <c r="D35" s="112">
        <v>13</v>
      </c>
      <c r="E35" s="42">
        <v>4</v>
      </c>
      <c r="F35" s="17">
        <f>'Estudiodemercado DEF'!AJ49</f>
        <v>324289</v>
      </c>
      <c r="G35" s="17">
        <f>ROUND((D35*E35*F35),0)</f>
        <v>16863028</v>
      </c>
      <c r="H35" s="17">
        <f>'Estudiodemercado DEF'!AL49</f>
        <v>305632</v>
      </c>
      <c r="I35" s="17">
        <f>ROUND((D35*E35*H35),0)</f>
        <v>15892864</v>
      </c>
      <c r="J35" s="17">
        <f>'Estudiodemercado DEF'!AN49</f>
        <v>309804</v>
      </c>
      <c r="K35" s="17">
        <f>ROUND((D35*E35*J35),0)</f>
        <v>16109808</v>
      </c>
      <c r="L35" s="17">
        <f>'Estudiodemercado DEF'!AP49</f>
        <v>315763</v>
      </c>
      <c r="M35" s="17">
        <f>ROUND((D35*E35*L35),0)</f>
        <v>16419676</v>
      </c>
    </row>
    <row r="36" spans="1:13" ht="89.25" x14ac:dyDescent="0.2">
      <c r="A36" s="18">
        <v>6</v>
      </c>
      <c r="B36" s="22" t="s">
        <v>15</v>
      </c>
      <c r="C36" s="42" t="s">
        <v>2</v>
      </c>
      <c r="D36" s="112">
        <v>2792</v>
      </c>
      <c r="E36" s="42">
        <v>2</v>
      </c>
      <c r="F36" s="17">
        <f>'Estudiodemercado DEF'!AJ50</f>
        <v>2387</v>
      </c>
      <c r="G36" s="17">
        <f>ROUND((D36*E36*F36),0)</f>
        <v>13329008</v>
      </c>
      <c r="H36" s="17">
        <f>'Estudiodemercado DEF'!AL50</f>
        <v>2104</v>
      </c>
      <c r="I36" s="17">
        <f>ROUND((D36*E36*H36),0)</f>
        <v>11748736</v>
      </c>
      <c r="J36" s="17">
        <f>'Estudiodemercado DEF'!AN50</f>
        <v>2262</v>
      </c>
      <c r="K36" s="17">
        <f>ROUND((D36*E36*J36),0)</f>
        <v>12631008</v>
      </c>
      <c r="L36" s="17">
        <f>'Estudiodemercado DEF'!AP50</f>
        <v>2320</v>
      </c>
      <c r="M36" s="17">
        <f>ROUND((D36*E36*L36),0)</f>
        <v>12954880</v>
      </c>
    </row>
    <row r="37" spans="1:13" ht="38.25" x14ac:dyDescent="0.2">
      <c r="A37" s="18">
        <v>7</v>
      </c>
      <c r="B37" s="22" t="s">
        <v>46</v>
      </c>
      <c r="C37" s="42" t="s">
        <v>1</v>
      </c>
      <c r="D37" s="112">
        <v>12</v>
      </c>
      <c r="E37" s="42">
        <v>2</v>
      </c>
      <c r="F37" s="17">
        <f>'Estudiodemercado DEF'!AJ51</f>
        <v>293304</v>
      </c>
      <c r="G37" s="17">
        <f>ROUND((D37*E37*F37),0)</f>
        <v>7039296</v>
      </c>
      <c r="H37" s="17">
        <f>'Estudiodemercado DEF'!AL51</f>
        <v>180000</v>
      </c>
      <c r="I37" s="17">
        <f>ROUND((D37*E37*H37),0)</f>
        <v>4320000</v>
      </c>
      <c r="J37" s="17">
        <f>'Estudiodemercado DEF'!AN51</f>
        <v>204149</v>
      </c>
      <c r="K37" s="17">
        <f>ROUND((D37*E37*J37),0)</f>
        <v>4899576</v>
      </c>
      <c r="L37" s="17">
        <f>'Estudiodemercado DEF'!AP51</f>
        <v>229847</v>
      </c>
      <c r="M37" s="17">
        <f>ROUND((D37*E37*L37),0)</f>
        <v>5516328</v>
      </c>
    </row>
    <row r="38" spans="1:13" ht="63.75" x14ac:dyDescent="0.2">
      <c r="A38" s="18">
        <v>8</v>
      </c>
      <c r="B38" s="43" t="s">
        <v>149</v>
      </c>
      <c r="C38" s="42" t="s">
        <v>26</v>
      </c>
      <c r="D38" s="112">
        <f>1100*2</f>
        <v>2200</v>
      </c>
      <c r="E38" s="42">
        <v>2</v>
      </c>
      <c r="F38" s="17">
        <f>'Estudiodemercado DEF'!AJ52</f>
        <v>2808</v>
      </c>
      <c r="G38" s="17">
        <f>ROUND((D38*E38*F38),0)</f>
        <v>12355200</v>
      </c>
      <c r="H38" s="17">
        <f>'Estudiodemercado DEF'!AL52</f>
        <v>2800</v>
      </c>
      <c r="I38" s="17">
        <f>ROUND((D38*E38*H38),0)</f>
        <v>12320000</v>
      </c>
      <c r="J38" s="17">
        <f>'Estudiodemercado DEF'!AN52</f>
        <v>2514</v>
      </c>
      <c r="K38" s="17">
        <f>ROUND((D38*E38*J38),0)</f>
        <v>11061600</v>
      </c>
      <c r="L38" s="17">
        <f>'Estudiodemercado DEF'!AP52</f>
        <v>2660</v>
      </c>
      <c r="M38" s="17">
        <f>ROUND((D38*E38*L38),0)</f>
        <v>11704000</v>
      </c>
    </row>
    <row r="39" spans="1:13" ht="15.75" x14ac:dyDescent="0.2">
      <c r="A39" s="21"/>
      <c r="B39" s="193" t="s">
        <v>150</v>
      </c>
      <c r="C39" s="42"/>
      <c r="D39" s="112"/>
      <c r="E39" s="42"/>
      <c r="F39" s="143"/>
      <c r="G39" s="144">
        <f>SUM(G35:G38)</f>
        <v>49586532</v>
      </c>
      <c r="H39" s="143"/>
      <c r="I39" s="144">
        <f>SUM(I35:I38)</f>
        <v>44281600</v>
      </c>
      <c r="J39" s="143"/>
      <c r="K39" s="144">
        <f>SUM(K35:K38)</f>
        <v>44701992</v>
      </c>
      <c r="L39" s="143"/>
      <c r="M39" s="144">
        <f>SUM(M35:M38)</f>
        <v>46594884</v>
      </c>
    </row>
    <row r="40" spans="1:13" ht="15.75" x14ac:dyDescent="0.2">
      <c r="A40" s="21"/>
      <c r="B40" s="193" t="s">
        <v>151</v>
      </c>
      <c r="C40" s="52"/>
      <c r="D40" s="51"/>
      <c r="E40" s="52"/>
      <c r="F40" s="171">
        <v>0.19</v>
      </c>
      <c r="G40" s="170">
        <f>ROUND(G39*F40,0)</f>
        <v>9421441</v>
      </c>
      <c r="H40" s="171">
        <v>0.19</v>
      </c>
      <c r="I40" s="170">
        <f>ROUND(I39*H40,0)</f>
        <v>8413504</v>
      </c>
      <c r="J40" s="171">
        <v>0.19</v>
      </c>
      <c r="K40" s="170">
        <f>ROUND(K39*J40,0)</f>
        <v>8493378</v>
      </c>
      <c r="L40" s="171">
        <v>0.19</v>
      </c>
      <c r="M40" s="170">
        <f>ROUND(M39*L40,0)</f>
        <v>8853028</v>
      </c>
    </row>
    <row r="41" spans="1:13" ht="15.75" x14ac:dyDescent="0.2">
      <c r="A41" s="21"/>
      <c r="B41" s="165" t="s">
        <v>145</v>
      </c>
      <c r="C41" s="42"/>
      <c r="D41" s="112"/>
      <c r="E41" s="42"/>
      <c r="F41" s="143"/>
      <c r="G41" s="144">
        <f>SUM(G39:G40)</f>
        <v>59007973</v>
      </c>
      <c r="H41" s="143"/>
      <c r="I41" s="144">
        <f>SUM(I39:I40)</f>
        <v>52695104</v>
      </c>
      <c r="J41" s="143"/>
      <c r="K41" s="144">
        <f>SUM(K39:K40)</f>
        <v>53195370</v>
      </c>
      <c r="L41" s="143"/>
      <c r="M41" s="144">
        <f>SUM(M39:M40)</f>
        <v>55447912</v>
      </c>
    </row>
    <row r="42" spans="1:13" x14ac:dyDescent="0.2">
      <c r="A42" s="21"/>
      <c r="B42" s="22"/>
      <c r="C42" s="42"/>
      <c r="D42" s="112"/>
      <c r="E42" s="42"/>
      <c r="F42" s="143"/>
      <c r="G42" s="144"/>
      <c r="H42" s="143"/>
      <c r="I42" s="144"/>
      <c r="J42" s="143"/>
      <c r="K42" s="144"/>
      <c r="L42" s="143"/>
      <c r="M42" s="144"/>
    </row>
    <row r="43" spans="1:13" x14ac:dyDescent="0.2">
      <c r="A43" s="137"/>
      <c r="B43" s="196" t="str">
        <f>UPPER("aeropuerto Morela de Puerto Berrio - Antioquia")</f>
        <v>AEROPUERTO MORELA DE PUERTO BERRIO - ANTIOQUIA</v>
      </c>
      <c r="C43" s="42"/>
      <c r="D43" s="71"/>
      <c r="E43" s="3"/>
      <c r="F43" s="44"/>
      <c r="G43" s="17">
        <f>ROUND((D43*E43*F43),0)</f>
        <v>0</v>
      </c>
      <c r="H43" s="17"/>
      <c r="I43" s="17">
        <f>ROUND((D43*E43*H43),0)</f>
        <v>0</v>
      </c>
      <c r="J43" s="44"/>
      <c r="K43" s="17">
        <f>ROUND((D43*E43*J43),0)</f>
        <v>0</v>
      </c>
      <c r="L43" s="44"/>
      <c r="M43" s="17">
        <f>ROUND((D43*E43*L43),0)</f>
        <v>0</v>
      </c>
    </row>
    <row r="44" spans="1:13" ht="63.75" x14ac:dyDescent="0.2">
      <c r="A44" s="18">
        <v>1</v>
      </c>
      <c r="B44" s="102" t="s">
        <v>13</v>
      </c>
      <c r="C44" s="103" t="s">
        <v>1</v>
      </c>
      <c r="D44" s="51">
        <v>14</v>
      </c>
      <c r="E44" s="103">
        <v>4</v>
      </c>
      <c r="F44" s="17">
        <f>'Estudiodemercado DEF'!AJ64</f>
        <v>345702</v>
      </c>
      <c r="G44" s="17">
        <f>ROUND((D44*E44*F44),0)</f>
        <v>19359312</v>
      </c>
      <c r="H44" s="17">
        <f>'Estudiodemercado DEF'!AL64</f>
        <v>315000</v>
      </c>
      <c r="I44" s="17">
        <f>ROUND((D44*E44*H44),0)</f>
        <v>17640000</v>
      </c>
      <c r="J44" s="17">
        <f>'Estudiodemercado DEF'!AN64</f>
        <v>331981</v>
      </c>
      <c r="K44" s="17">
        <f>ROUND((D44*E44*J44),0)</f>
        <v>18590936</v>
      </c>
      <c r="L44" s="17">
        <f>'Estudiodemercado DEF'!AP64</f>
        <v>338056</v>
      </c>
      <c r="M44" s="17">
        <f>ROUND((D44*E44*L44),0)</f>
        <v>18931136</v>
      </c>
    </row>
    <row r="45" spans="1:13" ht="76.5" x14ac:dyDescent="0.2">
      <c r="A45" s="18">
        <v>2</v>
      </c>
      <c r="B45" s="102" t="s">
        <v>14</v>
      </c>
      <c r="C45" s="103" t="s">
        <v>2</v>
      </c>
      <c r="D45" s="104">
        <v>2787</v>
      </c>
      <c r="E45" s="103">
        <v>2</v>
      </c>
      <c r="F45" s="17">
        <f>'Estudiodemercado DEF'!AJ65</f>
        <v>2768</v>
      </c>
      <c r="G45" s="17">
        <f>ROUND((D45*E45*F45),0)</f>
        <v>15428832</v>
      </c>
      <c r="H45" s="17">
        <f>'Estudiodemercado DEF'!AL65</f>
        <v>2343</v>
      </c>
      <c r="I45" s="17">
        <f>ROUND((D45*E45*H45),0)</f>
        <v>13059882</v>
      </c>
      <c r="J45" s="17">
        <f>'Estudiodemercado DEF'!AN65</f>
        <v>2443</v>
      </c>
      <c r="K45" s="17">
        <f>ROUND((D45*E45*J45),0)</f>
        <v>13617282</v>
      </c>
      <c r="L45" s="17">
        <f>'Estudiodemercado DEF'!AP65</f>
        <v>2574</v>
      </c>
      <c r="M45" s="17">
        <f>ROUND((D45*E45*L45),0)</f>
        <v>14347476</v>
      </c>
    </row>
    <row r="46" spans="1:13" ht="89.25" x14ac:dyDescent="0.2">
      <c r="A46" s="18">
        <v>3</v>
      </c>
      <c r="B46" s="102" t="s">
        <v>15</v>
      </c>
      <c r="C46" s="103" t="s">
        <v>2</v>
      </c>
      <c r="D46" s="51">
        <v>3247</v>
      </c>
      <c r="E46" s="103">
        <v>2</v>
      </c>
      <c r="F46" s="17">
        <f>'Estudiodemercado DEF'!AJ66</f>
        <v>2360</v>
      </c>
      <c r="G46" s="17">
        <f>ROUND((D46*E46*F46),0)</f>
        <v>15325840</v>
      </c>
      <c r="H46" s="17">
        <f>'Estudiodemercado DEF'!AL66</f>
        <v>2200</v>
      </c>
      <c r="I46" s="17">
        <f>ROUND((D46*E46*H46),0)</f>
        <v>14286800</v>
      </c>
      <c r="J46" s="17">
        <f>'Estudiodemercado DEF'!AN66</f>
        <v>2242</v>
      </c>
      <c r="K46" s="17">
        <f>ROUND((D46*E46*J46),0)</f>
        <v>14559548</v>
      </c>
      <c r="L46" s="17">
        <f>'Estudiodemercado DEF'!AP66</f>
        <v>2298</v>
      </c>
      <c r="M46" s="17">
        <f>ROUND((D46*E46*L46),0)</f>
        <v>14923212</v>
      </c>
    </row>
    <row r="47" spans="1:13" ht="38.25" x14ac:dyDescent="0.2">
      <c r="A47" s="18">
        <v>4</v>
      </c>
      <c r="B47" s="105" t="s">
        <v>46</v>
      </c>
      <c r="C47" s="52" t="s">
        <v>1</v>
      </c>
      <c r="D47" s="51">
        <v>13</v>
      </c>
      <c r="E47" s="52">
        <v>3</v>
      </c>
      <c r="F47" s="17">
        <f>'Estudiodemercado DEF'!AJ67</f>
        <v>282182</v>
      </c>
      <c r="G47" s="17">
        <f>ROUND((D47*E47*F47),0)</f>
        <v>11005098</v>
      </c>
      <c r="H47" s="17">
        <f>'Estudiodemercado DEF'!AL67</f>
        <v>190891</v>
      </c>
      <c r="I47" s="17">
        <f>ROUND((D47*E47*H47),0)</f>
        <v>7444749</v>
      </c>
      <c r="J47" s="17">
        <f>'Estudiodemercado DEF'!AN67</f>
        <v>209775</v>
      </c>
      <c r="K47" s="17">
        <f>ROUND((D47*E47*J47),0)</f>
        <v>8181225</v>
      </c>
      <c r="L47" s="17">
        <f>'Estudiodemercado DEF'!AP67</f>
        <v>231213</v>
      </c>
      <c r="M47" s="17">
        <f>ROUND((D47*E47*L47),0)</f>
        <v>9017307</v>
      </c>
    </row>
    <row r="48" spans="1:13" ht="15.75" x14ac:dyDescent="0.2">
      <c r="A48" s="21"/>
      <c r="B48" s="193" t="s">
        <v>150</v>
      </c>
      <c r="C48" s="42"/>
      <c r="D48" s="112"/>
      <c r="E48" s="42"/>
      <c r="F48" s="143"/>
      <c r="G48" s="144">
        <f>SUM(G44:G47)</f>
        <v>61119082</v>
      </c>
      <c r="H48" s="143"/>
      <c r="I48" s="144">
        <f>SUM(I44:I47)</f>
        <v>52431431</v>
      </c>
      <c r="J48" s="143"/>
      <c r="K48" s="144">
        <f>SUM(K44:K47)</f>
        <v>54948991</v>
      </c>
      <c r="L48" s="143"/>
      <c r="M48" s="144">
        <f>SUM(M44:M47)</f>
        <v>57219131</v>
      </c>
    </row>
    <row r="49" spans="1:13" ht="15.75" x14ac:dyDescent="0.2">
      <c r="A49" s="21"/>
      <c r="B49" s="193" t="s">
        <v>151</v>
      </c>
      <c r="C49" s="52"/>
      <c r="D49" s="51"/>
      <c r="E49" s="52"/>
      <c r="F49" s="171">
        <v>0.19</v>
      </c>
      <c r="G49" s="170">
        <f>ROUND(G48*F49,0)</f>
        <v>11612626</v>
      </c>
      <c r="H49" s="171">
        <v>0.19</v>
      </c>
      <c r="I49" s="170">
        <f>ROUND(I48*H49,0)</f>
        <v>9961972</v>
      </c>
      <c r="J49" s="171">
        <v>0.19</v>
      </c>
      <c r="K49" s="170">
        <f>ROUND(K48*J49,0)</f>
        <v>10440308</v>
      </c>
      <c r="L49" s="171">
        <v>0.19</v>
      </c>
      <c r="M49" s="170">
        <f>ROUND(M48*L49,0)</f>
        <v>10871635</v>
      </c>
    </row>
    <row r="50" spans="1:13" ht="15.75" x14ac:dyDescent="0.2">
      <c r="A50" s="21"/>
      <c r="B50" s="165" t="s">
        <v>144</v>
      </c>
      <c r="C50" s="42"/>
      <c r="D50" s="112"/>
      <c r="E50" s="42"/>
      <c r="F50" s="143"/>
      <c r="G50" s="144">
        <f>SUM(G48:G49)</f>
        <v>72731708</v>
      </c>
      <c r="H50" s="143"/>
      <c r="I50" s="144">
        <f>SUM(I48:I49)</f>
        <v>62393403</v>
      </c>
      <c r="J50" s="143"/>
      <c r="K50" s="144">
        <f>SUM(K48:K49)</f>
        <v>65389299</v>
      </c>
      <c r="L50" s="143"/>
      <c r="M50" s="144">
        <f>SUM(M48:M49)</f>
        <v>68090766</v>
      </c>
    </row>
    <row r="51" spans="1:13" x14ac:dyDescent="0.2">
      <c r="A51" s="21"/>
      <c r="B51" s="102"/>
      <c r="C51" s="103"/>
      <c r="D51" s="51"/>
      <c r="E51" s="103"/>
      <c r="F51" s="17"/>
      <c r="G51" s="17"/>
      <c r="H51" s="17"/>
      <c r="I51" s="17"/>
      <c r="J51" s="17"/>
      <c r="K51" s="17"/>
      <c r="L51" s="17"/>
      <c r="M51" s="17"/>
    </row>
    <row r="52" spans="1:13" x14ac:dyDescent="0.2">
      <c r="A52" s="21"/>
      <c r="B52" s="196" t="str">
        <f>UPPER("aeropuerto de Gustavo Rojas Pinilla de Cimitarra - Santander")</f>
        <v>AEROPUERTO DE GUSTAVO ROJAS PINILLA DE CIMITARRA - SANTANDER</v>
      </c>
      <c r="C52" s="52"/>
      <c r="D52" s="51"/>
      <c r="E52" s="52"/>
      <c r="F52" s="17"/>
      <c r="G52" s="17">
        <f>ROUND((D52*E52*F52),0)</f>
        <v>0</v>
      </c>
      <c r="H52" s="17"/>
      <c r="I52" s="17">
        <f>ROUND((D52*E52*H52),0)</f>
        <v>0</v>
      </c>
      <c r="J52" s="17"/>
      <c r="K52" s="17">
        <f>ROUND((D52*E52*J52),0)</f>
        <v>0</v>
      </c>
      <c r="L52" s="17"/>
      <c r="M52" s="17">
        <f>ROUND((D52*E52*L52),0)</f>
        <v>0</v>
      </c>
    </row>
    <row r="53" spans="1:13" ht="63.75" x14ac:dyDescent="0.2">
      <c r="A53" s="113">
        <v>5</v>
      </c>
      <c r="B53" s="114" t="s">
        <v>13</v>
      </c>
      <c r="C53" s="115" t="s">
        <v>1</v>
      </c>
      <c r="D53" s="116">
        <v>24.85</v>
      </c>
      <c r="E53" s="42">
        <v>4</v>
      </c>
      <c r="F53" s="17">
        <f>'Estudiodemercado DEF'!AJ77</f>
        <v>329349</v>
      </c>
      <c r="G53" s="17">
        <f>ROUND((D53*E53*F53),0)</f>
        <v>32737291</v>
      </c>
      <c r="H53" s="17">
        <f>'Estudiodemercado DEF'!AL77</f>
        <v>310000</v>
      </c>
      <c r="I53" s="17">
        <f>ROUND((D53*E53*H53),0)</f>
        <v>30814000</v>
      </c>
      <c r="J53" s="17">
        <f>'Estudiodemercado DEF'!AN77</f>
        <v>316074</v>
      </c>
      <c r="K53" s="17">
        <f>ROUND((D53*E53*J53),0)</f>
        <v>31417756</v>
      </c>
      <c r="L53" s="17">
        <f>'Estudiodemercado DEF'!AP77</f>
        <v>321737</v>
      </c>
      <c r="M53" s="17">
        <f>ROUND((D53*E53*L53),0)</f>
        <v>31980658</v>
      </c>
    </row>
    <row r="54" spans="1:13" ht="76.5" x14ac:dyDescent="0.2">
      <c r="A54" s="113">
        <v>6</v>
      </c>
      <c r="B54" s="70" t="s">
        <v>14</v>
      </c>
      <c r="C54" s="117" t="s">
        <v>2</v>
      </c>
      <c r="D54" s="118">
        <v>2300</v>
      </c>
      <c r="E54" s="42">
        <v>2</v>
      </c>
      <c r="F54" s="17">
        <f>'Estudiodemercado DEF'!AJ78</f>
        <v>2322</v>
      </c>
      <c r="G54" s="17">
        <f>ROUND((D54*E54*F54),0)</f>
        <v>10681200</v>
      </c>
      <c r="H54" s="17">
        <f>'Estudiodemercado DEF'!AL78</f>
        <v>2019</v>
      </c>
      <c r="I54" s="17">
        <f>ROUND((D54*E54*H54),0)</f>
        <v>9287400</v>
      </c>
      <c r="J54" s="17">
        <f>'Estudiodemercado DEF'!AN78</f>
        <v>2001</v>
      </c>
      <c r="K54" s="17">
        <f>ROUND((D54*E54*J54),0)</f>
        <v>9204600</v>
      </c>
      <c r="L54" s="17">
        <f>'Estudiodemercado DEF'!AP78</f>
        <v>2128</v>
      </c>
      <c r="M54" s="17">
        <f>ROUND((D54*E54*L54),0)</f>
        <v>9788800</v>
      </c>
    </row>
    <row r="55" spans="1:13" ht="89.25" x14ac:dyDescent="0.2">
      <c r="A55" s="113">
        <v>7</v>
      </c>
      <c r="B55" s="70" t="s">
        <v>15</v>
      </c>
      <c r="C55" s="117" t="s">
        <v>2</v>
      </c>
      <c r="D55" s="119">
        <v>4000</v>
      </c>
      <c r="E55" s="42">
        <v>2</v>
      </c>
      <c r="F55" s="17">
        <f>'Estudiodemercado DEF'!AJ79</f>
        <v>2160</v>
      </c>
      <c r="G55" s="17">
        <f>ROUND((D55*E55*F55),0)</f>
        <v>17280000</v>
      </c>
      <c r="H55" s="17">
        <f>'Estudiodemercado DEF'!AL79</f>
        <v>1950</v>
      </c>
      <c r="I55" s="17">
        <f>ROUND((D55*E55*H55),0)</f>
        <v>15600000</v>
      </c>
      <c r="J55" s="17">
        <f>'Estudiodemercado DEF'!AN79</f>
        <v>1925</v>
      </c>
      <c r="K55" s="17">
        <f>ROUND((D55*E55*J55),0)</f>
        <v>15400000</v>
      </c>
      <c r="L55" s="17">
        <f>'Estudiodemercado DEF'!AP79</f>
        <v>2041</v>
      </c>
      <c r="M55" s="17">
        <f>ROUND((D55*E55*L55),0)</f>
        <v>16328000</v>
      </c>
    </row>
    <row r="56" spans="1:13" ht="38.25" x14ac:dyDescent="0.2">
      <c r="A56" s="113">
        <v>8</v>
      </c>
      <c r="B56" s="120" t="s">
        <v>46</v>
      </c>
      <c r="C56" s="117" t="s">
        <v>1</v>
      </c>
      <c r="D56" s="118">
        <v>18</v>
      </c>
      <c r="E56" s="42">
        <v>3</v>
      </c>
      <c r="F56" s="17">
        <f>'Estudiodemercado DEF'!AJ80</f>
        <v>268724</v>
      </c>
      <c r="G56" s="17">
        <f>ROUND((D56*E56*F56),0)</f>
        <v>14511096</v>
      </c>
      <c r="H56" s="17">
        <f>'Estudiodemercado DEF'!AL80</f>
        <v>179375</v>
      </c>
      <c r="I56" s="17">
        <f>ROUND((D56*E56*H56),0)</f>
        <v>9686250</v>
      </c>
      <c r="J56" s="17">
        <f>'Estudiodemercado DEF'!AN80</f>
        <v>194424</v>
      </c>
      <c r="K56" s="17">
        <f>ROUND((D56*E56*J56),0)</f>
        <v>10498896</v>
      </c>
      <c r="L56" s="17">
        <f>'Estudiodemercado DEF'!AP80</f>
        <v>215500</v>
      </c>
      <c r="M56" s="17">
        <f>ROUND((D56*E56*L56),0)</f>
        <v>11637000</v>
      </c>
    </row>
    <row r="57" spans="1:13" ht="15.75" x14ac:dyDescent="0.2">
      <c r="A57" s="151"/>
      <c r="B57" s="193" t="s">
        <v>150</v>
      </c>
      <c r="C57" s="42"/>
      <c r="D57" s="112"/>
      <c r="E57" s="42"/>
      <c r="F57" s="143"/>
      <c r="G57" s="144">
        <f>SUM(G53:G56)</f>
        <v>75209587</v>
      </c>
      <c r="H57" s="143"/>
      <c r="I57" s="144">
        <f>SUM(I53:I56)</f>
        <v>65387650</v>
      </c>
      <c r="J57" s="143"/>
      <c r="K57" s="144">
        <f>SUM(K53:K56)</f>
        <v>66521252</v>
      </c>
      <c r="L57" s="143"/>
      <c r="M57" s="144">
        <f>SUM(M53:M56)</f>
        <v>69734458</v>
      </c>
    </row>
    <row r="58" spans="1:13" ht="15.75" x14ac:dyDescent="0.2">
      <c r="A58" s="151"/>
      <c r="B58" s="193" t="s">
        <v>151</v>
      </c>
      <c r="C58" s="52"/>
      <c r="D58" s="51"/>
      <c r="E58" s="52"/>
      <c r="F58" s="171">
        <v>0.19</v>
      </c>
      <c r="G58" s="170">
        <f>ROUND(G57*F58,0)</f>
        <v>14289822</v>
      </c>
      <c r="H58" s="171">
        <v>0.19</v>
      </c>
      <c r="I58" s="170">
        <f>ROUND(I57*H58,0)</f>
        <v>12423654</v>
      </c>
      <c r="J58" s="171">
        <v>0.19</v>
      </c>
      <c r="K58" s="170">
        <f>ROUND(K57*J58,0)</f>
        <v>12639038</v>
      </c>
      <c r="L58" s="171">
        <v>0.19</v>
      </c>
      <c r="M58" s="170">
        <f>ROUND(M57*L58,0)</f>
        <v>13249547</v>
      </c>
    </row>
    <row r="59" spans="1:13" ht="15.75" x14ac:dyDescent="0.2">
      <c r="A59" s="151"/>
      <c r="B59" s="165" t="s">
        <v>143</v>
      </c>
      <c r="C59" s="42"/>
      <c r="D59" s="112"/>
      <c r="E59" s="42"/>
      <c r="F59" s="143"/>
      <c r="G59" s="144">
        <f>SUM(G57:G58)</f>
        <v>89499409</v>
      </c>
      <c r="H59" s="143"/>
      <c r="I59" s="144">
        <f>SUM(I57:I58)</f>
        <v>77811304</v>
      </c>
      <c r="J59" s="143"/>
      <c r="K59" s="144">
        <f>SUM(K57:K58)</f>
        <v>79160290</v>
      </c>
      <c r="L59" s="143"/>
      <c r="M59" s="144">
        <f>SUM(M57:M58)</f>
        <v>82984005</v>
      </c>
    </row>
    <row r="60" spans="1:13" x14ac:dyDescent="0.2">
      <c r="A60" s="151"/>
      <c r="B60" s="10"/>
      <c r="C60" s="42"/>
      <c r="D60" s="112"/>
      <c r="E60" s="42"/>
      <c r="F60" s="143"/>
      <c r="G60" s="144"/>
      <c r="H60" s="143"/>
      <c r="I60" s="144"/>
      <c r="J60" s="143"/>
      <c r="K60" s="144"/>
      <c r="L60" s="143"/>
      <c r="M60" s="144"/>
    </row>
    <row r="61" spans="1:13" x14ac:dyDescent="0.2">
      <c r="A61" s="137"/>
      <c r="B61" s="196" t="str">
        <f>UPPER("aeropuerto Mandinga de Condoto - Chocó")</f>
        <v>AEROPUERTO MANDINGA DE CONDOTO - CHOCÓ</v>
      </c>
      <c r="C61" s="42"/>
      <c r="D61" s="71"/>
      <c r="E61" s="3"/>
      <c r="F61" s="44"/>
      <c r="G61" s="17">
        <f t="shared" ref="G61:G68" si="4">ROUND((D61*E61*F61),0)</f>
        <v>0</v>
      </c>
      <c r="H61" s="17"/>
      <c r="I61" s="17">
        <f t="shared" ref="I61:I68" si="5">ROUND((D61*E61*H61),0)</f>
        <v>0</v>
      </c>
      <c r="J61" s="44"/>
      <c r="K61" s="17">
        <f t="shared" ref="K61:K68" si="6">ROUND((D61*E61*J61),0)</f>
        <v>0</v>
      </c>
      <c r="L61" s="44"/>
      <c r="M61" s="17">
        <f t="shared" ref="M61:M68" si="7">ROUND((D61*E61*L61),0)</f>
        <v>0</v>
      </c>
    </row>
    <row r="62" spans="1:13" ht="63.75" customHeight="1" x14ac:dyDescent="0.2">
      <c r="A62" s="18">
        <v>1</v>
      </c>
      <c r="B62" s="121" t="s">
        <v>13</v>
      </c>
      <c r="C62" s="42" t="s">
        <v>1</v>
      </c>
      <c r="D62" s="112">
        <v>32</v>
      </c>
      <c r="E62" s="42">
        <v>4</v>
      </c>
      <c r="F62" s="17">
        <f>'Estudiodemercado DEF'!AL91</f>
        <v>375447</v>
      </c>
      <c r="G62" s="17">
        <f t="shared" si="4"/>
        <v>48057216</v>
      </c>
      <c r="H62" s="17">
        <f>'Estudiodemercado DEF'!AN91</f>
        <v>335000</v>
      </c>
      <c r="I62" s="17">
        <f t="shared" si="5"/>
        <v>42880000</v>
      </c>
      <c r="J62" s="17">
        <f>'Estudiodemercado DEF'!AP91</f>
        <v>357079</v>
      </c>
      <c r="K62" s="17">
        <f t="shared" si="6"/>
        <v>45706112</v>
      </c>
      <c r="L62" s="17">
        <f>'Estudiodemercado DEF'!AR91</f>
        <v>364580</v>
      </c>
      <c r="M62" s="17">
        <f t="shared" si="7"/>
        <v>46666240</v>
      </c>
    </row>
    <row r="63" spans="1:13" ht="75.75" customHeight="1" x14ac:dyDescent="0.2">
      <c r="A63" s="18">
        <v>2</v>
      </c>
      <c r="B63" s="121" t="s">
        <v>14</v>
      </c>
      <c r="C63" s="42" t="s">
        <v>2</v>
      </c>
      <c r="D63" s="112">
        <v>2944</v>
      </c>
      <c r="E63" s="42">
        <v>2</v>
      </c>
      <c r="F63" s="17">
        <f>'Estudiodemercado DEF'!AL92</f>
        <v>2436</v>
      </c>
      <c r="G63" s="17">
        <f t="shared" si="4"/>
        <v>14343168</v>
      </c>
      <c r="H63" s="17">
        <f>'Estudiodemercado DEF'!AN92</f>
        <v>1984</v>
      </c>
      <c r="I63" s="17">
        <f t="shared" si="5"/>
        <v>11681792</v>
      </c>
      <c r="J63" s="17">
        <f>'Estudiodemercado DEF'!AP92</f>
        <v>2181</v>
      </c>
      <c r="K63" s="17">
        <f t="shared" si="6"/>
        <v>12841728</v>
      </c>
      <c r="L63" s="17">
        <f>'Estudiodemercado DEF'!AR92</f>
        <v>2277</v>
      </c>
      <c r="M63" s="17">
        <f t="shared" si="7"/>
        <v>13406976</v>
      </c>
    </row>
    <row r="64" spans="1:13" ht="79.5" customHeight="1" x14ac:dyDescent="0.2">
      <c r="A64" s="18">
        <v>3</v>
      </c>
      <c r="B64" s="121" t="s">
        <v>80</v>
      </c>
      <c r="C64" s="42" t="s">
        <v>26</v>
      </c>
      <c r="D64" s="112">
        <v>500</v>
      </c>
      <c r="E64" s="42">
        <v>1</v>
      </c>
      <c r="F64" s="17">
        <f>'Estudiodemercado DEF'!AL93</f>
        <v>10439</v>
      </c>
      <c r="G64" s="17">
        <f t="shared" si="4"/>
        <v>5219500</v>
      </c>
      <c r="H64" s="17">
        <f>'Estudiodemercado DEF'!AN93</f>
        <v>4285</v>
      </c>
      <c r="I64" s="17">
        <f t="shared" si="5"/>
        <v>2142500</v>
      </c>
      <c r="J64" s="17">
        <f>'Estudiodemercado DEF'!AP93</f>
        <v>4574</v>
      </c>
      <c r="K64" s="17">
        <f t="shared" si="6"/>
        <v>2287000</v>
      </c>
      <c r="L64" s="17">
        <f>'Estudiodemercado DEF'!AR93</f>
        <v>5510</v>
      </c>
      <c r="M64" s="17">
        <f t="shared" si="7"/>
        <v>2755000</v>
      </c>
    </row>
    <row r="65" spans="1:13" ht="84" x14ac:dyDescent="0.2">
      <c r="A65" s="18">
        <v>4</v>
      </c>
      <c r="B65" s="121" t="s">
        <v>15</v>
      </c>
      <c r="C65" s="42" t="s">
        <v>2</v>
      </c>
      <c r="D65" s="112">
        <v>4184</v>
      </c>
      <c r="E65" s="42">
        <v>2</v>
      </c>
      <c r="F65" s="17">
        <f>'Estudiodemercado DEF'!AL94</f>
        <v>2344</v>
      </c>
      <c r="G65" s="17">
        <f t="shared" si="4"/>
        <v>19614592</v>
      </c>
      <c r="H65" s="17">
        <f>'Estudiodemercado DEF'!AN94</f>
        <v>2195</v>
      </c>
      <c r="I65" s="17">
        <f t="shared" si="5"/>
        <v>18367760</v>
      </c>
      <c r="J65" s="17">
        <f>'Estudiodemercado DEF'!AP94</f>
        <v>2237</v>
      </c>
      <c r="K65" s="17">
        <f t="shared" si="6"/>
        <v>18719216</v>
      </c>
      <c r="L65" s="17">
        <f>'Estudiodemercado DEF'!AR94</f>
        <v>2287</v>
      </c>
      <c r="M65" s="17">
        <f t="shared" si="7"/>
        <v>19137616</v>
      </c>
    </row>
    <row r="66" spans="1:13" ht="43.5" customHeight="1" x14ac:dyDescent="0.2">
      <c r="A66" s="18">
        <v>5</v>
      </c>
      <c r="B66" s="121" t="s">
        <v>81</v>
      </c>
      <c r="C66" s="42" t="s">
        <v>1</v>
      </c>
      <c r="D66" s="112">
        <v>12</v>
      </c>
      <c r="E66" s="42">
        <v>2</v>
      </c>
      <c r="F66" s="17">
        <f>'Estudiodemercado DEF'!AL95</f>
        <v>281765</v>
      </c>
      <c r="G66" s="17">
        <f t="shared" si="4"/>
        <v>6762360</v>
      </c>
      <c r="H66" s="17">
        <f>'Estudiodemercado DEF'!AN95</f>
        <v>184267</v>
      </c>
      <c r="I66" s="17">
        <f t="shared" si="5"/>
        <v>4422408</v>
      </c>
      <c r="J66" s="17">
        <f>'Estudiodemercado DEF'!AP95</f>
        <v>204115</v>
      </c>
      <c r="K66" s="17">
        <f t="shared" si="6"/>
        <v>4898760</v>
      </c>
      <c r="L66" s="17">
        <f>'Estudiodemercado DEF'!AR95</f>
        <v>226503</v>
      </c>
      <c r="M66" s="17">
        <f t="shared" si="7"/>
        <v>5436072</v>
      </c>
    </row>
    <row r="67" spans="1:13" ht="53.25" customHeight="1" x14ac:dyDescent="0.2">
      <c r="A67" s="18">
        <v>6</v>
      </c>
      <c r="B67" s="121" t="s">
        <v>149</v>
      </c>
      <c r="C67" s="42" t="s">
        <v>26</v>
      </c>
      <c r="D67" s="112">
        <f>1150*2</f>
        <v>2300</v>
      </c>
      <c r="E67" s="42">
        <v>2</v>
      </c>
      <c r="F67" s="17">
        <f>'Estudiodemercado DEF'!AL96</f>
        <v>2825</v>
      </c>
      <c r="G67" s="17">
        <f t="shared" si="4"/>
        <v>12995000</v>
      </c>
      <c r="H67" s="17">
        <f>'Estudiodemercado DEF'!AN96</f>
        <v>3000</v>
      </c>
      <c r="I67" s="17">
        <f t="shared" si="5"/>
        <v>13800000</v>
      </c>
      <c r="J67" s="17">
        <f>'Estudiodemercado DEF'!AP96</f>
        <v>2540</v>
      </c>
      <c r="K67" s="17">
        <f t="shared" si="6"/>
        <v>11684000</v>
      </c>
      <c r="L67" s="17">
        <f>'Estudiodemercado DEF'!AR96</f>
        <v>2682</v>
      </c>
      <c r="M67" s="17">
        <f t="shared" si="7"/>
        <v>12337200</v>
      </c>
    </row>
    <row r="68" spans="1:13" ht="96" x14ac:dyDescent="0.2">
      <c r="A68" s="18">
        <v>7</v>
      </c>
      <c r="B68" s="121" t="s">
        <v>27</v>
      </c>
      <c r="C68" s="42" t="s">
        <v>1</v>
      </c>
      <c r="D68" s="122">
        <v>3</v>
      </c>
      <c r="E68" s="123">
        <v>1</v>
      </c>
      <c r="F68" s="17">
        <f>'Estudiodemercado DEF'!AL97</f>
        <v>1285881</v>
      </c>
      <c r="G68" s="17">
        <f t="shared" si="4"/>
        <v>3857643</v>
      </c>
      <c r="H68" s="17">
        <f>'Estudiodemercado DEF'!AN97</f>
        <v>1150000</v>
      </c>
      <c r="I68" s="17">
        <f t="shared" si="5"/>
        <v>3450000</v>
      </c>
      <c r="J68" s="17">
        <f>'Estudiodemercado DEF'!AP97</f>
        <v>1193706</v>
      </c>
      <c r="K68" s="17">
        <f t="shared" si="6"/>
        <v>3581118</v>
      </c>
      <c r="L68" s="17">
        <f>'Estudiodemercado DEF'!AR97</f>
        <v>1234030</v>
      </c>
      <c r="M68" s="17">
        <f t="shared" si="7"/>
        <v>3702090</v>
      </c>
    </row>
    <row r="69" spans="1:13" ht="15.75" x14ac:dyDescent="0.2">
      <c r="A69" s="21"/>
      <c r="B69" s="193" t="s">
        <v>150</v>
      </c>
      <c r="C69" s="42"/>
      <c r="D69" s="112"/>
      <c r="E69" s="42"/>
      <c r="F69" s="143"/>
      <c r="G69" s="144">
        <f>SUM(G62:G68)</f>
        <v>110849479</v>
      </c>
      <c r="H69" s="143"/>
      <c r="I69" s="144">
        <f>SUM(I62:I68)</f>
        <v>96744460</v>
      </c>
      <c r="J69" s="143"/>
      <c r="K69" s="144">
        <f>SUM(K62:K68)</f>
        <v>99717934</v>
      </c>
      <c r="L69" s="143"/>
      <c r="M69" s="144">
        <f>SUM(M62:M68)</f>
        <v>103441194</v>
      </c>
    </row>
    <row r="70" spans="1:13" ht="15.75" x14ac:dyDescent="0.2">
      <c r="A70" s="21"/>
      <c r="B70" s="193" t="s">
        <v>151</v>
      </c>
      <c r="C70" s="52"/>
      <c r="D70" s="51"/>
      <c r="E70" s="52"/>
      <c r="F70" s="171">
        <v>0.19</v>
      </c>
      <c r="G70" s="170">
        <f>ROUND(G69*F70,0)</f>
        <v>21061401</v>
      </c>
      <c r="H70" s="171">
        <v>0.19</v>
      </c>
      <c r="I70" s="170">
        <f>ROUND(I69*H70,0)</f>
        <v>18381447</v>
      </c>
      <c r="J70" s="171">
        <v>0.19</v>
      </c>
      <c r="K70" s="170">
        <f>ROUND(K69*J70,0)</f>
        <v>18946407</v>
      </c>
      <c r="L70" s="171">
        <v>0.19</v>
      </c>
      <c r="M70" s="170">
        <f>ROUND(M69*L70,0)</f>
        <v>19653827</v>
      </c>
    </row>
    <row r="71" spans="1:13" ht="15.75" x14ac:dyDescent="0.2">
      <c r="A71" s="21"/>
      <c r="B71" s="165" t="s">
        <v>142</v>
      </c>
      <c r="C71" s="42"/>
      <c r="D71" s="112"/>
      <c r="E71" s="42"/>
      <c r="F71" s="143"/>
      <c r="G71" s="144">
        <f>SUM(G69:G70)</f>
        <v>131910880</v>
      </c>
      <c r="H71" s="143"/>
      <c r="I71" s="144">
        <f>SUM(I69:I70)</f>
        <v>115125907</v>
      </c>
      <c r="J71" s="143"/>
      <c r="K71" s="144">
        <f>SUM(K69:K70)</f>
        <v>118664341</v>
      </c>
      <c r="L71" s="143"/>
      <c r="M71" s="144">
        <f>SUM(M69:M70)</f>
        <v>123095021</v>
      </c>
    </row>
    <row r="72" spans="1:13" x14ac:dyDescent="0.2">
      <c r="A72" s="21"/>
      <c r="B72" s="10"/>
      <c r="C72" s="42"/>
      <c r="D72" s="112"/>
      <c r="E72" s="42"/>
      <c r="F72" s="143"/>
      <c r="G72" s="144"/>
      <c r="H72" s="143"/>
      <c r="I72" s="144"/>
      <c r="J72" s="143"/>
      <c r="K72" s="144"/>
      <c r="L72" s="143"/>
      <c r="M72" s="144"/>
    </row>
    <row r="73" spans="1:13" x14ac:dyDescent="0.2">
      <c r="A73" s="21"/>
      <c r="B73" s="196" t="s">
        <v>105</v>
      </c>
      <c r="C73" s="52"/>
      <c r="D73" s="51"/>
      <c r="E73" s="52"/>
      <c r="F73" s="17"/>
      <c r="G73" s="17">
        <f>ROUND((D73*E73*F73),0)</f>
        <v>0</v>
      </c>
      <c r="H73" s="17"/>
      <c r="I73" s="17">
        <f>ROUND((D73*E73*H73),0)</f>
        <v>0</v>
      </c>
      <c r="J73" s="17"/>
      <c r="K73" s="17">
        <f>ROUND((D73*E73*J73),0)</f>
        <v>0</v>
      </c>
      <c r="L73" s="17"/>
      <c r="M73" s="17">
        <f>ROUND((D73*E73*L73),0)</f>
        <v>0</v>
      </c>
    </row>
    <row r="74" spans="1:13" ht="84" x14ac:dyDescent="0.2">
      <c r="A74" s="117">
        <v>8</v>
      </c>
      <c r="B74" s="121" t="s">
        <v>83</v>
      </c>
      <c r="C74" s="19" t="s">
        <v>1</v>
      </c>
      <c r="D74" s="41">
        <f>(20000+35000+1000*5*2)/10000</f>
        <v>6.5</v>
      </c>
      <c r="E74" s="42">
        <v>5</v>
      </c>
      <c r="F74" s="17">
        <f>'Estudiodemercado DEF'!AJ108</f>
        <v>319553</v>
      </c>
      <c r="G74" s="17">
        <f>ROUND((D74*E74*F74),0)</f>
        <v>10385473</v>
      </c>
      <c r="H74" s="17">
        <f>'Estudiodemercado DEF'!AL108</f>
        <v>295055</v>
      </c>
      <c r="I74" s="17">
        <f>ROUND((D74*E74*H74),0)</f>
        <v>9589288</v>
      </c>
      <c r="J74" s="17">
        <f>'Estudiodemercado DEF'!AN108</f>
        <v>302294</v>
      </c>
      <c r="K74" s="17">
        <f>ROUND((D74*E74*J74),0)</f>
        <v>9824555</v>
      </c>
      <c r="L74" s="17">
        <f>'Estudiodemercado DEF'!AP108</f>
        <v>309419</v>
      </c>
      <c r="M74" s="17">
        <f>ROUND((D74*E74*L74),0)</f>
        <v>10056118</v>
      </c>
    </row>
    <row r="75" spans="1:13" ht="84" x14ac:dyDescent="0.2">
      <c r="A75" s="117">
        <v>9</v>
      </c>
      <c r="B75" s="121" t="s">
        <v>84</v>
      </c>
      <c r="C75" s="19" t="s">
        <v>2</v>
      </c>
      <c r="D75" s="41">
        <f>960</f>
        <v>960</v>
      </c>
      <c r="E75" s="42">
        <v>2</v>
      </c>
      <c r="F75" s="17">
        <f>'Estudiodemercado DEF'!AJ109</f>
        <v>2551</v>
      </c>
      <c r="G75" s="17">
        <f>ROUND((D75*E75*F75),0)</f>
        <v>4897920</v>
      </c>
      <c r="H75" s="17">
        <f>'Estudiodemercado DEF'!AL109</f>
        <v>2100</v>
      </c>
      <c r="I75" s="17">
        <f>ROUND((D75*E75*H75),0)</f>
        <v>4032000</v>
      </c>
      <c r="J75" s="17">
        <f>'Estudiodemercado DEF'!AN109</f>
        <v>2195</v>
      </c>
      <c r="K75" s="17">
        <f>ROUND((D75*E75*J75),0)</f>
        <v>4214400</v>
      </c>
      <c r="L75" s="17">
        <f>'Estudiodemercado DEF'!AP109</f>
        <v>2333</v>
      </c>
      <c r="M75" s="17">
        <f>ROUND((D75*E75*L75),0)</f>
        <v>4479360</v>
      </c>
    </row>
    <row r="76" spans="1:13" ht="75.75" customHeight="1" x14ac:dyDescent="0.2">
      <c r="A76" s="117">
        <v>10</v>
      </c>
      <c r="B76" s="121" t="s">
        <v>85</v>
      </c>
      <c r="C76" s="19" t="s">
        <v>86</v>
      </c>
      <c r="D76" s="41">
        <v>1</v>
      </c>
      <c r="E76" s="42">
        <v>2</v>
      </c>
      <c r="F76" s="17">
        <f>'Estudiodemercado DEF'!AJ110</f>
        <v>2489141</v>
      </c>
      <c r="G76" s="17">
        <f>ROUND((D76*E76*F76),0)</f>
        <v>4978282</v>
      </c>
      <c r="H76" s="17">
        <f>'Estudiodemercado DEF'!AL110</f>
        <v>2300000</v>
      </c>
      <c r="I76" s="17">
        <f>ROUND((D76*E76*H76),0)</f>
        <v>4600000</v>
      </c>
      <c r="J76" s="17">
        <f>'Estudiodemercado DEF'!AN110</f>
        <v>2372626</v>
      </c>
      <c r="K76" s="17">
        <f>ROUND((D76*E76*J76),0)</f>
        <v>4745252</v>
      </c>
      <c r="L76" s="17">
        <f>'Estudiodemercado DEF'!AP110</f>
        <v>2422386</v>
      </c>
      <c r="M76" s="17">
        <f>ROUND((D76*E76*L76),0)</f>
        <v>4844772</v>
      </c>
    </row>
    <row r="77" spans="1:13" ht="15.75" x14ac:dyDescent="0.2">
      <c r="A77" s="140"/>
      <c r="B77" s="193" t="s">
        <v>150</v>
      </c>
      <c r="C77" s="42"/>
      <c r="D77" s="112"/>
      <c r="E77" s="42"/>
      <c r="F77" s="143"/>
      <c r="G77" s="144">
        <f>SUM(G74:G76)</f>
        <v>20261675</v>
      </c>
      <c r="H77" s="143"/>
      <c r="I77" s="144">
        <f>SUM(I74:I76)</f>
        <v>18221288</v>
      </c>
      <c r="J77" s="143"/>
      <c r="K77" s="144">
        <f>SUM(K74:K76)</f>
        <v>18784207</v>
      </c>
      <c r="L77" s="143"/>
      <c r="M77" s="144">
        <f>SUM(M74:M76)</f>
        <v>19380250</v>
      </c>
    </row>
    <row r="78" spans="1:13" ht="15.75" x14ac:dyDescent="0.2">
      <c r="A78" s="140"/>
      <c r="B78" s="193" t="s">
        <v>151</v>
      </c>
      <c r="C78" s="52"/>
      <c r="D78" s="51"/>
      <c r="E78" s="52"/>
      <c r="F78" s="171">
        <v>0.19</v>
      </c>
      <c r="G78" s="170">
        <f>ROUND(G77*F78,0)</f>
        <v>3849718</v>
      </c>
      <c r="H78" s="171">
        <v>0.19</v>
      </c>
      <c r="I78" s="170">
        <f>ROUND(I77*H78,0)</f>
        <v>3462045</v>
      </c>
      <c r="J78" s="171">
        <v>0.19</v>
      </c>
      <c r="K78" s="170">
        <f>ROUND(K77*J78,0)</f>
        <v>3568999</v>
      </c>
      <c r="L78" s="171">
        <v>0.19</v>
      </c>
      <c r="M78" s="170">
        <f>ROUND(M77*L78,0)</f>
        <v>3682248</v>
      </c>
    </row>
    <row r="79" spans="1:13" ht="15.75" x14ac:dyDescent="0.2">
      <c r="A79" s="140"/>
      <c r="B79" s="165" t="s">
        <v>141</v>
      </c>
      <c r="C79" s="42"/>
      <c r="D79" s="112"/>
      <c r="E79" s="42"/>
      <c r="F79" s="143"/>
      <c r="G79" s="144">
        <f>SUM(G77:G78)</f>
        <v>24111393</v>
      </c>
      <c r="H79" s="143"/>
      <c r="I79" s="144">
        <f>SUM(I77:I78)</f>
        <v>21683333</v>
      </c>
      <c r="J79" s="143"/>
      <c r="K79" s="144">
        <f>SUM(K77:K78)</f>
        <v>22353206</v>
      </c>
      <c r="L79" s="143"/>
      <c r="M79" s="144">
        <f>SUM(M77:M78)</f>
        <v>23062498</v>
      </c>
    </row>
    <row r="80" spans="1:13" x14ac:dyDescent="0.2">
      <c r="A80" s="140"/>
      <c r="B80" s="121"/>
      <c r="C80" s="19"/>
      <c r="D80" s="41"/>
      <c r="E80" s="42"/>
      <c r="F80" s="17"/>
      <c r="G80" s="17"/>
      <c r="H80" s="17"/>
      <c r="I80" s="17"/>
      <c r="J80" s="17"/>
      <c r="K80" s="17"/>
      <c r="L80" s="17"/>
      <c r="M80" s="17"/>
    </row>
    <row r="81" spans="1:13" x14ac:dyDescent="0.2">
      <c r="A81" s="137"/>
      <c r="B81" s="196" t="str">
        <f>UPPER("aeropuerto Reyes Murillo de Nuqui - Chocó")</f>
        <v>AEROPUERTO REYES MURILLO DE NUQUI - CHOCÓ</v>
      </c>
      <c r="C81" s="42"/>
      <c r="D81" s="71"/>
      <c r="E81" s="3"/>
      <c r="F81" s="44"/>
      <c r="G81" s="17">
        <f t="shared" ref="G81:G87" si="8">ROUND((D81*E81*F81),0)</f>
        <v>0</v>
      </c>
      <c r="H81" s="17"/>
      <c r="I81" s="17">
        <f t="shared" ref="I81:I87" si="9">ROUND((D81*E81*H81),0)</f>
        <v>0</v>
      </c>
      <c r="J81" s="44"/>
      <c r="K81" s="17">
        <f t="shared" ref="K81:K87" si="10">ROUND((D81*E81*J81),0)</f>
        <v>0</v>
      </c>
      <c r="L81" s="44"/>
      <c r="M81" s="17">
        <f t="shared" ref="M81:M87" si="11">ROUND((D81*E81*L81),0)</f>
        <v>0</v>
      </c>
    </row>
    <row r="82" spans="1:13" ht="63.75" x14ac:dyDescent="0.2">
      <c r="A82" s="124">
        <v>1</v>
      </c>
      <c r="B82" s="102" t="s">
        <v>13</v>
      </c>
      <c r="C82" s="125" t="s">
        <v>1</v>
      </c>
      <c r="D82" s="126">
        <v>16</v>
      </c>
      <c r="E82" s="125">
        <v>4</v>
      </c>
      <c r="F82" s="17">
        <f>'Estudiodemercado DEF'!AL121</f>
        <v>395051</v>
      </c>
      <c r="G82" s="17">
        <f t="shared" si="8"/>
        <v>25283264</v>
      </c>
      <c r="H82" s="17">
        <f>'Estudiodemercado DEF'!AN121</f>
        <v>373875</v>
      </c>
      <c r="I82" s="17">
        <f t="shared" si="9"/>
        <v>23928000</v>
      </c>
      <c r="J82" s="17">
        <f>'Estudiodemercado DEF'!AP121</f>
        <v>377267</v>
      </c>
      <c r="K82" s="17">
        <f t="shared" si="10"/>
        <v>24145088</v>
      </c>
      <c r="L82" s="17">
        <f>'Estudiodemercado DEF'!AR121</f>
        <v>384972</v>
      </c>
      <c r="M82" s="17">
        <f t="shared" si="11"/>
        <v>24638208</v>
      </c>
    </row>
    <row r="83" spans="1:13" ht="76.5" x14ac:dyDescent="0.2">
      <c r="A83" s="124">
        <v>2</v>
      </c>
      <c r="B83" s="102" t="s">
        <v>14</v>
      </c>
      <c r="C83" s="125" t="s">
        <v>2</v>
      </c>
      <c r="D83" s="126">
        <v>2900</v>
      </c>
      <c r="E83" s="125">
        <v>2</v>
      </c>
      <c r="F83" s="17">
        <f>'Estudiodemercado DEF'!AL122</f>
        <v>2575</v>
      </c>
      <c r="G83" s="17">
        <f t="shared" si="8"/>
        <v>14935000</v>
      </c>
      <c r="H83" s="17">
        <f>'Estudiodemercado DEF'!AN122</f>
        <v>2192</v>
      </c>
      <c r="I83" s="17">
        <f t="shared" si="9"/>
        <v>12713600</v>
      </c>
      <c r="J83" s="17">
        <f>'Estudiodemercado DEF'!AP122</f>
        <v>2326</v>
      </c>
      <c r="K83" s="17">
        <f t="shared" si="10"/>
        <v>13490800</v>
      </c>
      <c r="L83" s="17">
        <f>'Estudiodemercado DEF'!AR122</f>
        <v>2424</v>
      </c>
      <c r="M83" s="17">
        <f t="shared" si="11"/>
        <v>14059200</v>
      </c>
    </row>
    <row r="84" spans="1:13" ht="89.25" x14ac:dyDescent="0.2">
      <c r="A84" s="124">
        <v>3</v>
      </c>
      <c r="B84" s="102" t="s">
        <v>15</v>
      </c>
      <c r="C84" s="125" t="s">
        <v>2</v>
      </c>
      <c r="D84" s="126">
        <v>3266</v>
      </c>
      <c r="E84" s="125">
        <v>2</v>
      </c>
      <c r="F84" s="17">
        <f>'Estudiodemercado DEF'!AL123</f>
        <v>2402</v>
      </c>
      <c r="G84" s="17">
        <f t="shared" si="8"/>
        <v>15689864</v>
      </c>
      <c r="H84" s="17">
        <f>'Estudiodemercado DEF'!AN123</f>
        <v>2257</v>
      </c>
      <c r="I84" s="17">
        <f t="shared" si="9"/>
        <v>14742724</v>
      </c>
      <c r="J84" s="17">
        <f>'Estudiodemercado DEF'!AP123</f>
        <v>2288</v>
      </c>
      <c r="K84" s="17">
        <f t="shared" si="10"/>
        <v>14945216</v>
      </c>
      <c r="L84" s="17">
        <f>'Estudiodemercado DEF'!AR123</f>
        <v>2343</v>
      </c>
      <c r="M84" s="17">
        <f t="shared" si="11"/>
        <v>15304476</v>
      </c>
    </row>
    <row r="85" spans="1:13" ht="38.25" x14ac:dyDescent="0.2">
      <c r="A85" s="124">
        <v>4</v>
      </c>
      <c r="B85" s="102" t="s">
        <v>46</v>
      </c>
      <c r="C85" s="125" t="s">
        <v>1</v>
      </c>
      <c r="D85" s="126">
        <v>13</v>
      </c>
      <c r="E85" s="125">
        <v>2</v>
      </c>
      <c r="F85" s="17">
        <f>'Estudiodemercado DEF'!AL124</f>
        <v>335108</v>
      </c>
      <c r="G85" s="17">
        <f t="shared" si="8"/>
        <v>8712808</v>
      </c>
      <c r="H85" s="17">
        <f>'Estudiodemercado DEF'!AN124</f>
        <v>202771</v>
      </c>
      <c r="I85" s="17">
        <f t="shared" si="9"/>
        <v>5272046</v>
      </c>
      <c r="J85" s="17">
        <f>'Estudiodemercado DEF'!AP124</f>
        <v>234114</v>
      </c>
      <c r="K85" s="17">
        <f t="shared" si="10"/>
        <v>6086964</v>
      </c>
      <c r="L85" s="17">
        <f>'Estudiodemercado DEF'!AR124</f>
        <v>266813</v>
      </c>
      <c r="M85" s="17">
        <f t="shared" si="11"/>
        <v>6937138</v>
      </c>
    </row>
    <row r="86" spans="1:13" ht="67.5" customHeight="1" x14ac:dyDescent="0.2">
      <c r="A86" s="124">
        <v>5</v>
      </c>
      <c r="B86" s="43" t="s">
        <v>149</v>
      </c>
      <c r="C86" s="125" t="s">
        <v>26</v>
      </c>
      <c r="D86" s="126">
        <f>1200*2+100*2+50*2</f>
        <v>2700</v>
      </c>
      <c r="E86" s="125">
        <v>2</v>
      </c>
      <c r="F86" s="17">
        <f>'Estudiodemercado DEF'!AL125</f>
        <v>2969</v>
      </c>
      <c r="G86" s="17">
        <f t="shared" si="8"/>
        <v>16032600</v>
      </c>
      <c r="H86" s="17">
        <f>'Estudiodemercado DEF'!AN125</f>
        <v>3125</v>
      </c>
      <c r="I86" s="17">
        <f t="shared" si="9"/>
        <v>16875000</v>
      </c>
      <c r="J86" s="17">
        <f>'Estudiodemercado DEF'!AP125</f>
        <v>2713</v>
      </c>
      <c r="K86" s="17">
        <f t="shared" si="10"/>
        <v>14650200</v>
      </c>
      <c r="L86" s="17">
        <f>'Estudiodemercado DEF'!AR125</f>
        <v>2845</v>
      </c>
      <c r="M86" s="17">
        <f t="shared" si="11"/>
        <v>15363000</v>
      </c>
    </row>
    <row r="87" spans="1:13" ht="165.75" x14ac:dyDescent="0.2">
      <c r="A87" s="124">
        <v>6</v>
      </c>
      <c r="B87" s="70" t="s">
        <v>95</v>
      </c>
      <c r="C87" s="128" t="s">
        <v>1</v>
      </c>
      <c r="D87" s="126">
        <v>3</v>
      </c>
      <c r="E87" s="129">
        <v>1</v>
      </c>
      <c r="F87" s="17">
        <f>'Estudiodemercado DEF'!AL126</f>
        <v>1268822</v>
      </c>
      <c r="G87" s="17">
        <f t="shared" si="8"/>
        <v>3806466</v>
      </c>
      <c r="H87" s="17">
        <f>'Estudiodemercado DEF'!AN126</f>
        <v>1144242</v>
      </c>
      <c r="I87" s="17">
        <f t="shared" si="9"/>
        <v>3432726</v>
      </c>
      <c r="J87" s="17">
        <f>'Estudiodemercado DEF'!AP126</f>
        <v>1153262</v>
      </c>
      <c r="K87" s="17">
        <f t="shared" si="10"/>
        <v>3459786</v>
      </c>
      <c r="L87" s="17">
        <f>'Estudiodemercado DEF'!AR126</f>
        <v>1199958</v>
      </c>
      <c r="M87" s="17">
        <f t="shared" si="11"/>
        <v>3599874</v>
      </c>
    </row>
    <row r="88" spans="1:13" ht="15.75" x14ac:dyDescent="0.2">
      <c r="A88" s="152"/>
      <c r="B88" s="193" t="s">
        <v>150</v>
      </c>
      <c r="C88" s="42"/>
      <c r="D88" s="112"/>
      <c r="E88" s="42"/>
      <c r="F88" s="143"/>
      <c r="G88" s="144">
        <f>SUM(G82:G87)</f>
        <v>84460002</v>
      </c>
      <c r="H88" s="143"/>
      <c r="I88" s="144">
        <f>SUM(I82:I87)</f>
        <v>76964096</v>
      </c>
      <c r="J88" s="143"/>
      <c r="K88" s="144">
        <f>SUM(K82:K87)</f>
        <v>76778054</v>
      </c>
      <c r="L88" s="143"/>
      <c r="M88" s="144">
        <f>SUM(M82:M87)</f>
        <v>79901896</v>
      </c>
    </row>
    <row r="89" spans="1:13" ht="15.75" x14ac:dyDescent="0.2">
      <c r="A89" s="152"/>
      <c r="B89" s="193" t="s">
        <v>151</v>
      </c>
      <c r="C89" s="52"/>
      <c r="D89" s="51"/>
      <c r="E89" s="52"/>
      <c r="F89" s="171">
        <v>0.19</v>
      </c>
      <c r="G89" s="170">
        <f>ROUND(G88*F89,0)</f>
        <v>16047400</v>
      </c>
      <c r="H89" s="171">
        <v>0.19</v>
      </c>
      <c r="I89" s="170">
        <f>ROUND(I88*H89,0)</f>
        <v>14623178</v>
      </c>
      <c r="J89" s="171">
        <v>0.19</v>
      </c>
      <c r="K89" s="170">
        <f>ROUND(K88*J89,0)</f>
        <v>14587830</v>
      </c>
      <c r="L89" s="171">
        <v>0.19</v>
      </c>
      <c r="M89" s="170">
        <f>ROUND(M88*L89,0)</f>
        <v>15181360</v>
      </c>
    </row>
    <row r="90" spans="1:13" ht="15.75" x14ac:dyDescent="0.2">
      <c r="A90" s="152"/>
      <c r="B90" s="165" t="s">
        <v>140</v>
      </c>
      <c r="C90" s="42"/>
      <c r="D90" s="112"/>
      <c r="E90" s="42"/>
      <c r="F90" s="143"/>
      <c r="G90" s="144">
        <f>SUM(G88:G89)</f>
        <v>100507402</v>
      </c>
      <c r="H90" s="143"/>
      <c r="I90" s="144">
        <f>SUM(I88:I89)</f>
        <v>91587274</v>
      </c>
      <c r="J90" s="143"/>
      <c r="K90" s="144">
        <f>SUM(K88:K89)</f>
        <v>91365884</v>
      </c>
      <c r="L90" s="143"/>
      <c r="M90" s="144">
        <f>SUM(M88:M89)</f>
        <v>95083256</v>
      </c>
    </row>
    <row r="91" spans="1:13" x14ac:dyDescent="0.2">
      <c r="A91" s="152"/>
      <c r="B91" s="102"/>
      <c r="C91" s="103"/>
      <c r="D91" s="51"/>
      <c r="E91" s="125"/>
      <c r="F91" s="17"/>
      <c r="G91" s="17"/>
      <c r="H91" s="17"/>
      <c r="I91" s="17"/>
      <c r="J91" s="17"/>
      <c r="K91" s="17"/>
      <c r="L91" s="17"/>
      <c r="M91" s="17"/>
    </row>
    <row r="92" spans="1:13" x14ac:dyDescent="0.2">
      <c r="A92" s="4"/>
      <c r="B92" s="196" t="s">
        <v>106</v>
      </c>
      <c r="C92" s="3"/>
      <c r="D92" s="5"/>
      <c r="E92" s="3"/>
      <c r="F92" s="14"/>
      <c r="G92" s="17">
        <f t="shared" ref="G92:G97" si="12">ROUND((D92*E92*F92),0)</f>
        <v>0</v>
      </c>
      <c r="H92" s="14"/>
      <c r="I92" s="17">
        <f t="shared" ref="I92:I97" si="13">ROUND((D92*E92*H92),0)</f>
        <v>0</v>
      </c>
      <c r="J92" s="14"/>
      <c r="K92" s="17">
        <f t="shared" ref="K92:K97" si="14">ROUND((D92*E92*J92),0)</f>
        <v>0</v>
      </c>
      <c r="L92" s="14"/>
      <c r="M92" s="17">
        <f t="shared" ref="M92:M97" si="15">ROUND((D92*E92*L92),0)</f>
        <v>0</v>
      </c>
    </row>
    <row r="93" spans="1:13" ht="63.75" x14ac:dyDescent="0.2">
      <c r="A93" s="130">
        <v>7</v>
      </c>
      <c r="B93" s="102" t="s">
        <v>13</v>
      </c>
      <c r="C93" s="125" t="s">
        <v>1</v>
      </c>
      <c r="D93" s="131">
        <v>23</v>
      </c>
      <c r="E93" s="125">
        <v>4</v>
      </c>
      <c r="F93" s="17">
        <f>'Estudiodemercado DEF'!AL137</f>
        <v>326549</v>
      </c>
      <c r="G93" s="17">
        <f t="shared" si="12"/>
        <v>30042508</v>
      </c>
      <c r="H93" s="17">
        <f>'Estudiodemercado DEF'!AN137</f>
        <v>305559</v>
      </c>
      <c r="I93" s="17">
        <f t="shared" si="13"/>
        <v>28111428</v>
      </c>
      <c r="J93" s="17">
        <f>'Estudiodemercado DEF'!AP137</f>
        <v>313016</v>
      </c>
      <c r="K93" s="17">
        <f t="shared" si="14"/>
        <v>28797472</v>
      </c>
      <c r="L93" s="17">
        <f>'Estudiodemercado DEF'!AR137</f>
        <v>318843</v>
      </c>
      <c r="M93" s="17">
        <f t="shared" si="15"/>
        <v>29333556</v>
      </c>
    </row>
    <row r="94" spans="1:13" ht="76.5" x14ac:dyDescent="0.2">
      <c r="A94" s="113">
        <v>8</v>
      </c>
      <c r="B94" s="102" t="s">
        <v>14</v>
      </c>
      <c r="C94" s="125" t="s">
        <v>2</v>
      </c>
      <c r="D94" s="131">
        <v>3000</v>
      </c>
      <c r="E94" s="125">
        <v>2</v>
      </c>
      <c r="F94" s="17">
        <f>'Estudiodemercado DEF'!AL138</f>
        <v>2462</v>
      </c>
      <c r="G94" s="17">
        <f t="shared" si="12"/>
        <v>14772000</v>
      </c>
      <c r="H94" s="17">
        <f>'Estudiodemercado DEF'!AN138</f>
        <v>2096</v>
      </c>
      <c r="I94" s="17">
        <f t="shared" si="13"/>
        <v>12576000</v>
      </c>
      <c r="J94" s="17">
        <f>'Estudiodemercado DEF'!AP138</f>
        <v>2142</v>
      </c>
      <c r="K94" s="17">
        <f t="shared" si="14"/>
        <v>12852000</v>
      </c>
      <c r="L94" s="17">
        <f>'Estudiodemercado DEF'!AR138</f>
        <v>2270</v>
      </c>
      <c r="M94" s="17">
        <f t="shared" si="15"/>
        <v>13620000</v>
      </c>
    </row>
    <row r="95" spans="1:13" ht="89.25" x14ac:dyDescent="0.2">
      <c r="A95" s="130">
        <v>9</v>
      </c>
      <c r="B95" s="70" t="s">
        <v>15</v>
      </c>
      <c r="C95" s="128" t="s">
        <v>2</v>
      </c>
      <c r="D95" s="131">
        <v>2582</v>
      </c>
      <c r="E95" s="125">
        <v>2</v>
      </c>
      <c r="F95" s="17">
        <f>'Estudiodemercado DEF'!AL139</f>
        <v>2396</v>
      </c>
      <c r="G95" s="17">
        <f t="shared" si="12"/>
        <v>12372944</v>
      </c>
      <c r="H95" s="17">
        <f>'Estudiodemercado DEF'!AN139</f>
        <v>2219</v>
      </c>
      <c r="I95" s="17">
        <f t="shared" si="13"/>
        <v>11458916</v>
      </c>
      <c r="J95" s="17">
        <f>'Estudiodemercado DEF'!AP139</f>
        <v>2284</v>
      </c>
      <c r="K95" s="17">
        <f t="shared" si="14"/>
        <v>11794576</v>
      </c>
      <c r="L95" s="17">
        <f>'Estudiodemercado DEF'!AR139</f>
        <v>2337</v>
      </c>
      <c r="M95" s="17">
        <f t="shared" si="15"/>
        <v>12068268</v>
      </c>
    </row>
    <row r="96" spans="1:13" ht="63.75" x14ac:dyDescent="0.2">
      <c r="A96" s="113">
        <v>10</v>
      </c>
      <c r="B96" s="43" t="s">
        <v>149</v>
      </c>
      <c r="C96" s="128" t="s">
        <v>26</v>
      </c>
      <c r="D96" s="131">
        <f>865*2+50*2</f>
        <v>1830</v>
      </c>
      <c r="E96" s="125">
        <v>2</v>
      </c>
      <c r="F96" s="17">
        <f>'Estudiodemercado DEF'!AL140</f>
        <v>2765</v>
      </c>
      <c r="G96" s="17">
        <f t="shared" si="12"/>
        <v>10119900</v>
      </c>
      <c r="H96" s="17">
        <f>'Estudiodemercado DEF'!AN140</f>
        <v>2925</v>
      </c>
      <c r="I96" s="17">
        <f t="shared" si="13"/>
        <v>10705500</v>
      </c>
      <c r="J96" s="17">
        <f>'Estudiodemercado DEF'!AP140</f>
        <v>2480</v>
      </c>
      <c r="K96" s="17">
        <f t="shared" si="14"/>
        <v>9076800</v>
      </c>
      <c r="L96" s="17">
        <f>'Estudiodemercado DEF'!AR140</f>
        <v>2619</v>
      </c>
      <c r="M96" s="17">
        <f t="shared" si="15"/>
        <v>9585540</v>
      </c>
    </row>
    <row r="97" spans="1:13" ht="38.25" x14ac:dyDescent="0.2">
      <c r="A97" s="130">
        <v>11</v>
      </c>
      <c r="B97" s="120" t="s">
        <v>46</v>
      </c>
      <c r="C97" s="128" t="s">
        <v>1</v>
      </c>
      <c r="D97" s="131">
        <v>12</v>
      </c>
      <c r="E97" s="125">
        <v>2</v>
      </c>
      <c r="F97" s="17">
        <f>'Estudiodemercado DEF'!AL141</f>
        <v>270227</v>
      </c>
      <c r="G97" s="17">
        <f t="shared" si="12"/>
        <v>6485448</v>
      </c>
      <c r="H97" s="17">
        <f>'Estudiodemercado DEF'!AN141</f>
        <v>188031</v>
      </c>
      <c r="I97" s="17">
        <f t="shared" si="13"/>
        <v>4512744</v>
      </c>
      <c r="J97" s="17">
        <f>'Estudiodemercado DEF'!AP141</f>
        <v>202515</v>
      </c>
      <c r="K97" s="17">
        <f t="shared" si="14"/>
        <v>4860360</v>
      </c>
      <c r="L97" s="17">
        <f>'Estudiodemercado DEF'!AR141</f>
        <v>221861</v>
      </c>
      <c r="M97" s="17">
        <f t="shared" si="15"/>
        <v>5324664</v>
      </c>
    </row>
    <row r="98" spans="1:13" ht="15.75" x14ac:dyDescent="0.2">
      <c r="A98" s="153"/>
      <c r="B98" s="193" t="s">
        <v>150</v>
      </c>
      <c r="C98" s="42"/>
      <c r="D98" s="112"/>
      <c r="E98" s="42"/>
      <c r="F98" s="143"/>
      <c r="G98" s="144">
        <f>SUM(G93:G97)</f>
        <v>73792800</v>
      </c>
      <c r="H98" s="143"/>
      <c r="I98" s="144">
        <f>SUM(I93:I97)</f>
        <v>67364588</v>
      </c>
      <c r="J98" s="143"/>
      <c r="K98" s="144">
        <f>SUM(K93:K97)</f>
        <v>67381208</v>
      </c>
      <c r="L98" s="143"/>
      <c r="M98" s="144">
        <f>SUM(M93:M97)</f>
        <v>69932028</v>
      </c>
    </row>
    <row r="99" spans="1:13" ht="15.75" x14ac:dyDescent="0.2">
      <c r="A99" s="153"/>
      <c r="B99" s="193" t="s">
        <v>151</v>
      </c>
      <c r="C99" s="52"/>
      <c r="D99" s="51"/>
      <c r="E99" s="52"/>
      <c r="F99" s="171">
        <v>0.19</v>
      </c>
      <c r="G99" s="170">
        <f>ROUND(G98*F99,0)</f>
        <v>14020632</v>
      </c>
      <c r="H99" s="171">
        <v>0.19</v>
      </c>
      <c r="I99" s="170">
        <f>ROUND(I98*H99,0)</f>
        <v>12799272</v>
      </c>
      <c r="J99" s="171">
        <v>0.19</v>
      </c>
      <c r="K99" s="170">
        <f>ROUND(K98*J99,0)</f>
        <v>12802430</v>
      </c>
      <c r="L99" s="171">
        <v>0.19</v>
      </c>
      <c r="M99" s="170">
        <f>ROUND(M98*L99,0)</f>
        <v>13287085</v>
      </c>
    </row>
    <row r="100" spans="1:13" ht="15.75" x14ac:dyDescent="0.2">
      <c r="A100" s="153"/>
      <c r="B100" s="165" t="s">
        <v>140</v>
      </c>
      <c r="C100" s="42"/>
      <c r="D100" s="112"/>
      <c r="E100" s="42"/>
      <c r="F100" s="143"/>
      <c r="G100" s="144">
        <f>SUM(G98:G99)</f>
        <v>87813432</v>
      </c>
      <c r="H100" s="143"/>
      <c r="I100" s="144">
        <f>SUM(I98:I99)</f>
        <v>80163860</v>
      </c>
      <c r="J100" s="143"/>
      <c r="K100" s="144">
        <f>SUM(K98:K99)</f>
        <v>80183638</v>
      </c>
      <c r="L100" s="143"/>
      <c r="M100" s="144">
        <f>SUM(M98:M99)</f>
        <v>83219113</v>
      </c>
    </row>
    <row r="101" spans="1:13" x14ac:dyDescent="0.2">
      <c r="A101" s="153"/>
      <c r="B101" s="102"/>
      <c r="C101" s="103"/>
      <c r="D101" s="51"/>
      <c r="E101" s="125"/>
      <c r="F101" s="17"/>
      <c r="G101" s="17"/>
      <c r="H101" s="17"/>
      <c r="I101" s="17"/>
      <c r="J101" s="17"/>
      <c r="K101" s="17"/>
      <c r="L101" s="17"/>
      <c r="M101" s="17"/>
    </row>
    <row r="102" spans="1:13" x14ac:dyDescent="0.2">
      <c r="A102" s="4"/>
      <c r="B102" s="70"/>
      <c r="C102" s="42"/>
      <c r="D102" s="71"/>
      <c r="E102" s="3"/>
      <c r="F102" s="44"/>
      <c r="G102" s="17">
        <f>ROUND((D102*E102*F102),0)</f>
        <v>0</v>
      </c>
      <c r="H102" s="17"/>
      <c r="I102" s="17">
        <f>ROUND((F102*G102*H102),0)</f>
        <v>0</v>
      </c>
      <c r="J102" s="44"/>
      <c r="K102" s="17">
        <f>ROUND((H102*I102*J102),0)</f>
        <v>0</v>
      </c>
      <c r="L102" s="44"/>
      <c r="M102" s="17">
        <f>ROUND((J102*K102*L102),0)</f>
        <v>0</v>
      </c>
    </row>
    <row r="103" spans="1:13" ht="50.25" customHeight="1" x14ac:dyDescent="0.2">
      <c r="A103" s="4"/>
      <c r="B103" s="193" t="s">
        <v>152</v>
      </c>
      <c r="C103" s="10"/>
      <c r="D103" s="141"/>
      <c r="E103" s="141"/>
      <c r="F103" s="143"/>
      <c r="G103" s="144">
        <f>G10+G21+G30+G39+G48+G57+G69+G77+G88+G98</f>
        <v>691685981</v>
      </c>
      <c r="H103" s="143"/>
      <c r="I103" s="144">
        <f>I10+I21+I30+I39+I48+I57+I69+I77+I88+I98</f>
        <v>609842716</v>
      </c>
      <c r="J103" s="143"/>
      <c r="K103" s="144">
        <f>K10+K21+K30+K39+K48+K57+K69+K77+K88+K98</f>
        <v>625500235</v>
      </c>
      <c r="L103" s="143"/>
      <c r="M103" s="144">
        <f>M10+M21+M30+M39+M48+M57+M69+M77+M88+M98</f>
        <v>650448521</v>
      </c>
    </row>
    <row r="104" spans="1:13" ht="15.75" x14ac:dyDescent="0.2">
      <c r="A104" s="4"/>
      <c r="B104" s="165" t="s">
        <v>134</v>
      </c>
      <c r="C104" s="52"/>
      <c r="D104" s="51"/>
      <c r="E104" s="52"/>
      <c r="F104" s="171">
        <v>0.19</v>
      </c>
      <c r="G104" s="170">
        <f>ROUND(G103*F104,0)</f>
        <v>131420336</v>
      </c>
      <c r="H104" s="171">
        <v>0.19</v>
      </c>
      <c r="I104" s="170">
        <f>ROUND(I103*H104,0)</f>
        <v>115870116</v>
      </c>
      <c r="J104" s="171">
        <v>0.19</v>
      </c>
      <c r="K104" s="170">
        <f>ROUND(K103*J104,0)</f>
        <v>118845045</v>
      </c>
      <c r="L104" s="171">
        <v>0.19</v>
      </c>
      <c r="M104" s="170">
        <f>ROUND(M103*L104,0)</f>
        <v>123585219</v>
      </c>
    </row>
    <row r="105" spans="1:13" ht="56.25" customHeight="1" x14ac:dyDescent="0.2">
      <c r="A105" s="4"/>
      <c r="B105" s="193" t="s">
        <v>153</v>
      </c>
      <c r="C105" s="10"/>
      <c r="D105" s="141"/>
      <c r="E105" s="141"/>
      <c r="F105" s="143"/>
      <c r="G105" s="154">
        <f>SUM(G103:G104)</f>
        <v>823106317</v>
      </c>
      <c r="H105" s="155"/>
      <c r="I105" s="154">
        <f>SUM(I103:I104)</f>
        <v>725712832</v>
      </c>
      <c r="J105" s="155"/>
      <c r="K105" s="154">
        <f>SUM(K103:K104)</f>
        <v>744345280</v>
      </c>
      <c r="L105" s="155"/>
      <c r="M105" s="154">
        <f>SUM(M103:M104)</f>
        <v>774033740</v>
      </c>
    </row>
    <row r="110" spans="1:13" ht="28.5" x14ac:dyDescent="0.2">
      <c r="B110" s="133"/>
      <c r="I110" s="2"/>
      <c r="K110" s="2"/>
      <c r="M110" s="2"/>
    </row>
  </sheetData>
  <mergeCells count="6">
    <mergeCell ref="A1:M1"/>
    <mergeCell ref="A2:I2"/>
    <mergeCell ref="F3:G3"/>
    <mergeCell ref="H3:I3"/>
    <mergeCell ref="J3:K3"/>
    <mergeCell ref="L3:M3"/>
  </mergeCells>
  <pageMargins left="0.11811023622047245" right="0.11811023622047245" top="0.23622047244094491" bottom="0.23622047244094491" header="0.15748031496062992" footer="0.15748031496062992"/>
  <pageSetup scale="27" fitToHeight="0" orientation="landscape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0000"/>
  </sheetPr>
  <dimension ref="A1:N67"/>
  <sheetViews>
    <sheetView showGridLines="0" topLeftCell="A43" zoomScale="60" zoomScaleNormal="60" workbookViewId="0">
      <pane ySplit="6945" topLeftCell="A52" activePane="bottomLeft"/>
      <selection activeCell="D45" sqref="D45:E47"/>
      <selection pane="bottomLeft" activeCell="K59" sqref="K59"/>
    </sheetView>
  </sheetViews>
  <sheetFormatPr baseColWidth="10" defaultColWidth="11.42578125" defaultRowHeight="15" x14ac:dyDescent="0.2"/>
  <cols>
    <col min="1" max="1" width="8.7109375" style="8" customWidth="1"/>
    <col min="2" max="2" width="49.42578125" style="1" customWidth="1"/>
    <col min="3" max="3" width="4.85546875" style="1" customWidth="1"/>
    <col min="4" max="4" width="14.42578125" style="1" customWidth="1"/>
    <col min="5" max="5" width="5.42578125" style="1" customWidth="1"/>
    <col min="6" max="6" width="13.42578125" style="1" customWidth="1"/>
    <col min="7" max="7" width="25.28515625" style="1" customWidth="1"/>
    <col min="8" max="8" width="13.42578125" style="1" customWidth="1"/>
    <col min="9" max="9" width="26.7109375" style="1" customWidth="1"/>
    <col min="10" max="10" width="13.42578125" style="1" customWidth="1"/>
    <col min="11" max="11" width="26.28515625" style="1" customWidth="1"/>
    <col min="12" max="12" width="13.42578125" style="1" customWidth="1"/>
    <col min="13" max="13" width="25.28515625" style="1" customWidth="1"/>
    <col min="14" max="16384" width="11.42578125" style="1"/>
  </cols>
  <sheetData>
    <row r="1" spans="1:13" ht="70.5" customHeight="1" x14ac:dyDescent="0.2">
      <c r="A1" s="317" t="s">
        <v>154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13" ht="23.25" customHeight="1" x14ac:dyDescent="0.2">
      <c r="A2" s="318" t="s">
        <v>9</v>
      </c>
      <c r="B2" s="318"/>
      <c r="C2" s="318"/>
      <c r="D2" s="318"/>
      <c r="E2" s="318"/>
      <c r="F2" s="318"/>
      <c r="G2" s="318"/>
      <c r="H2" s="318"/>
      <c r="I2" s="318"/>
    </row>
    <row r="3" spans="1:13" ht="166.5" customHeight="1" x14ac:dyDescent="0.2">
      <c r="B3" s="12" t="s">
        <v>136</v>
      </c>
      <c r="F3" s="313" t="s">
        <v>12</v>
      </c>
      <c r="G3" s="314"/>
      <c r="H3" s="313" t="s">
        <v>16</v>
      </c>
      <c r="I3" s="314"/>
      <c r="J3" s="313" t="s">
        <v>17</v>
      </c>
      <c r="K3" s="314"/>
      <c r="L3" s="296" t="s">
        <v>18</v>
      </c>
      <c r="M3" s="297"/>
    </row>
    <row r="4" spans="1:13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7" t="s">
        <v>4</v>
      </c>
      <c r="I4" s="56" t="s">
        <v>0</v>
      </c>
      <c r="J4" s="57" t="s">
        <v>4</v>
      </c>
      <c r="K4" s="56" t="s">
        <v>0</v>
      </c>
      <c r="L4" s="57" t="s">
        <v>4</v>
      </c>
      <c r="M4" s="56" t="s">
        <v>0</v>
      </c>
    </row>
    <row r="5" spans="1:13" ht="36.75" customHeight="1" x14ac:dyDescent="0.2">
      <c r="A5" s="139"/>
      <c r="B5" s="196" t="s">
        <v>103</v>
      </c>
      <c r="C5" s="134"/>
      <c r="D5" s="134"/>
      <c r="E5" s="134"/>
      <c r="F5" s="135"/>
      <c r="G5" s="134"/>
      <c r="H5" s="135"/>
      <c r="I5" s="134"/>
      <c r="J5" s="135"/>
      <c r="K5" s="134"/>
      <c r="L5" s="135"/>
      <c r="M5" s="134"/>
    </row>
    <row r="6" spans="1:13" ht="67.5" customHeight="1" x14ac:dyDescent="0.2">
      <c r="A6" s="18">
        <v>1</v>
      </c>
      <c r="B6" s="102" t="s">
        <v>13</v>
      </c>
      <c r="C6" s="103" t="s">
        <v>1</v>
      </c>
      <c r="D6" s="51">
        <v>17</v>
      </c>
      <c r="E6" s="103">
        <v>4</v>
      </c>
      <c r="F6" s="17">
        <f>'Estudiodemercado DEF'!AL5</f>
        <v>324317</v>
      </c>
      <c r="G6" s="17">
        <f>ROUND((D6*E6*F6),0)</f>
        <v>22053556</v>
      </c>
      <c r="H6" s="17">
        <f>'Estudiodemercado DEF'!AN5</f>
        <v>296224</v>
      </c>
      <c r="I6" s="17">
        <f>ROUND((D6*E6*H6),0)</f>
        <v>20143232</v>
      </c>
      <c r="J6" s="17">
        <f>'Estudiodemercado DEF'!AP5</f>
        <v>310207</v>
      </c>
      <c r="K6" s="17">
        <f>ROUND((D6*E6*J6),0)</f>
        <v>21094076</v>
      </c>
      <c r="L6" s="17">
        <f>'Estudiodemercado DEF'!AR5</f>
        <v>316235</v>
      </c>
      <c r="M6" s="17">
        <f>ROUND((D6*E6*L6),0)</f>
        <v>21503980</v>
      </c>
    </row>
    <row r="7" spans="1:13" ht="76.5" x14ac:dyDescent="0.2">
      <c r="A7" s="18">
        <v>2</v>
      </c>
      <c r="B7" s="102" t="s">
        <v>14</v>
      </c>
      <c r="C7" s="103" t="s">
        <v>2</v>
      </c>
      <c r="D7" s="104">
        <v>3450</v>
      </c>
      <c r="E7" s="103">
        <v>2</v>
      </c>
      <c r="F7" s="17">
        <f>'Estudiodemercado DEF'!AL6</f>
        <v>2265</v>
      </c>
      <c r="G7" s="17">
        <f>ROUND((D7*E7*F7),0)</f>
        <v>15628500</v>
      </c>
      <c r="H7" s="17">
        <f>'Estudiodemercado DEF'!AN6</f>
        <v>1837</v>
      </c>
      <c r="I7" s="17">
        <f>ROUND((D7*E7*H7),0)</f>
        <v>12675300</v>
      </c>
      <c r="J7" s="17">
        <f>'Estudiodemercado DEF'!AP6</f>
        <v>1971</v>
      </c>
      <c r="K7" s="17">
        <f>ROUND((D7*E7*J7),0)</f>
        <v>13599900</v>
      </c>
      <c r="L7" s="17">
        <f>'Estudiodemercado DEF'!AR6</f>
        <v>2083</v>
      </c>
      <c r="M7" s="17">
        <f>ROUND((D7*E7*L7),0)</f>
        <v>14372700</v>
      </c>
    </row>
    <row r="8" spans="1:13" ht="89.25" x14ac:dyDescent="0.2">
      <c r="A8" s="18">
        <v>3</v>
      </c>
      <c r="B8" s="102" t="s">
        <v>15</v>
      </c>
      <c r="C8" s="103" t="s">
        <v>2</v>
      </c>
      <c r="D8" s="51">
        <v>2623</v>
      </c>
      <c r="E8" s="103">
        <v>1</v>
      </c>
      <c r="F8" s="17">
        <f>'Estudiodemercado DEF'!AL7</f>
        <v>2148</v>
      </c>
      <c r="G8" s="17">
        <f>ROUND((D8*E8*F8),0)</f>
        <v>5634204</v>
      </c>
      <c r="H8" s="17">
        <f>'Estudiodemercado DEF'!AN7</f>
        <v>1890</v>
      </c>
      <c r="I8" s="17">
        <f>ROUND((D8*E8*H8),0)</f>
        <v>4957470</v>
      </c>
      <c r="J8" s="17">
        <f>'Estudiodemercado DEF'!AP7</f>
        <v>2022</v>
      </c>
      <c r="K8" s="17">
        <f>ROUND((D8*E8*J8),0)</f>
        <v>5303706</v>
      </c>
      <c r="L8" s="17">
        <f>'Estudiodemercado DEF'!AR7</f>
        <v>2078</v>
      </c>
      <c r="M8" s="17">
        <f>ROUND((D8*E8*L8),0)</f>
        <v>5450594</v>
      </c>
    </row>
    <row r="9" spans="1:13" ht="38.25" x14ac:dyDescent="0.2">
      <c r="A9" s="18">
        <v>4</v>
      </c>
      <c r="B9" s="105" t="s">
        <v>46</v>
      </c>
      <c r="C9" s="52" t="s">
        <v>1</v>
      </c>
      <c r="D9" s="51">
        <v>15</v>
      </c>
      <c r="E9" s="52">
        <v>2</v>
      </c>
      <c r="F9" s="17">
        <f>'Estudiodemercado DEF'!AL8</f>
        <v>280802</v>
      </c>
      <c r="G9" s="17">
        <f>ROUND((D9*E9*F9),0)</f>
        <v>8424060</v>
      </c>
      <c r="H9" s="17">
        <f>'Estudiodemercado DEF'!AN8</f>
        <v>175862</v>
      </c>
      <c r="I9" s="17">
        <f>ROUND((D9*E9*H9),0)</f>
        <v>5275860</v>
      </c>
      <c r="J9" s="17">
        <f>'Estudiodemercado DEF'!AP8</f>
        <v>196838</v>
      </c>
      <c r="K9" s="17">
        <f>ROUND((D9*E9*J9),0)</f>
        <v>5905140</v>
      </c>
      <c r="L9" s="17">
        <f>'Estudiodemercado DEF'!AR8</f>
        <v>220596</v>
      </c>
      <c r="M9" s="17">
        <f>ROUND((D9*E9*L9),0)</f>
        <v>6617880</v>
      </c>
    </row>
    <row r="10" spans="1:13" ht="15.75" x14ac:dyDescent="0.2">
      <c r="A10" s="21"/>
      <c r="B10" s="193" t="s">
        <v>150</v>
      </c>
      <c r="C10" s="52"/>
      <c r="D10" s="51"/>
      <c r="E10" s="52"/>
      <c r="F10" s="143"/>
      <c r="G10" s="144">
        <f>SUM(G6:G9)</f>
        <v>51740320</v>
      </c>
      <c r="H10" s="143"/>
      <c r="I10" s="144">
        <f>SUM(I6:I9)</f>
        <v>43051862</v>
      </c>
      <c r="J10" s="143"/>
      <c r="K10" s="144">
        <f>SUM(K6:K9)</f>
        <v>45902822</v>
      </c>
      <c r="L10" s="143"/>
      <c r="M10" s="144">
        <f>SUM(M6:M9)</f>
        <v>47945154</v>
      </c>
    </row>
    <row r="11" spans="1:13" ht="15.75" x14ac:dyDescent="0.2">
      <c r="A11" s="21"/>
      <c r="B11" s="193" t="s">
        <v>151</v>
      </c>
      <c r="C11" s="52"/>
      <c r="D11" s="51"/>
      <c r="E11" s="52"/>
      <c r="F11" s="171">
        <v>0.19</v>
      </c>
      <c r="G11" s="170">
        <f>ROUND(G10*F11,0)</f>
        <v>9830661</v>
      </c>
      <c r="H11" s="171">
        <v>0.19</v>
      </c>
      <c r="I11" s="170">
        <f>ROUND(I10*H11,0)</f>
        <v>8179854</v>
      </c>
      <c r="J11" s="171">
        <v>0.19</v>
      </c>
      <c r="K11" s="170">
        <f>ROUND(K10*J11,0)</f>
        <v>8721536</v>
      </c>
      <c r="L11" s="171">
        <v>0.19</v>
      </c>
      <c r="M11" s="170">
        <f>ROUND(M10*L11,0)</f>
        <v>9109579</v>
      </c>
    </row>
    <row r="12" spans="1:13" ht="15.75" x14ac:dyDescent="0.2">
      <c r="A12" s="21"/>
      <c r="B12" s="165" t="s">
        <v>135</v>
      </c>
      <c r="C12" s="52"/>
      <c r="D12" s="51"/>
      <c r="E12" s="52"/>
      <c r="F12" s="143"/>
      <c r="G12" s="144">
        <f>SUM(G10:G11)</f>
        <v>61570981</v>
      </c>
      <c r="H12" s="143"/>
      <c r="I12" s="144">
        <f>SUM(I10:I11)</f>
        <v>51231716</v>
      </c>
      <c r="J12" s="143"/>
      <c r="K12" s="144">
        <f>SUM(K10:K11)</f>
        <v>54624358</v>
      </c>
      <c r="L12" s="143"/>
      <c r="M12" s="144">
        <f>SUM(M10:M11)</f>
        <v>57054733</v>
      </c>
    </row>
    <row r="13" spans="1:13" x14ac:dyDescent="0.2">
      <c r="A13" s="21"/>
      <c r="B13" s="105"/>
      <c r="C13" s="52"/>
      <c r="D13" s="51"/>
      <c r="E13" s="52"/>
      <c r="F13" s="143"/>
      <c r="G13" s="144"/>
      <c r="H13" s="143"/>
      <c r="I13" s="144"/>
      <c r="J13" s="143"/>
      <c r="K13" s="144"/>
      <c r="L13" s="143"/>
      <c r="M13" s="144"/>
    </row>
    <row r="14" spans="1:13" ht="15" customHeight="1" x14ac:dyDescent="0.2">
      <c r="A14" s="21"/>
      <c r="B14" s="196" t="s">
        <v>104</v>
      </c>
      <c r="C14" s="52"/>
      <c r="D14" s="51"/>
      <c r="E14" s="52"/>
      <c r="F14" s="17"/>
      <c r="G14" s="17">
        <f t="shared" ref="G14:G20" si="0">ROUND((D14*E14*F14),0)</f>
        <v>0</v>
      </c>
      <c r="H14" s="17"/>
      <c r="I14" s="17">
        <f t="shared" ref="I14:I20" si="1">ROUND((D14*E14*H14),0)</f>
        <v>0</v>
      </c>
      <c r="J14" s="17"/>
      <c r="K14" s="17">
        <f t="shared" ref="K14:K39" si="2">ROUND((D14*E14*J14),0)</f>
        <v>0</v>
      </c>
      <c r="L14" s="17"/>
      <c r="M14" s="17">
        <f t="shared" ref="M14:M39" si="3">ROUND((D14*E14*L14),0)</f>
        <v>0</v>
      </c>
    </row>
    <row r="15" spans="1:13" ht="63.75" x14ac:dyDescent="0.2">
      <c r="A15" s="42">
        <v>5</v>
      </c>
      <c r="B15" s="22" t="s">
        <v>21</v>
      </c>
      <c r="C15" s="19" t="s">
        <v>1</v>
      </c>
      <c r="D15" s="41">
        <v>20.6</v>
      </c>
      <c r="E15" s="42">
        <v>4</v>
      </c>
      <c r="F15" s="17">
        <f>'Estudiodemercado DEF'!AJ17</f>
        <v>344478</v>
      </c>
      <c r="G15" s="17">
        <f t="shared" si="0"/>
        <v>28384987</v>
      </c>
      <c r="H15" s="17">
        <f>'Estudiodemercado DEF'!AL17</f>
        <v>315193</v>
      </c>
      <c r="I15" s="17">
        <f t="shared" si="1"/>
        <v>25971903</v>
      </c>
      <c r="J15" s="17">
        <f>'Estudiodemercado DEF'!AN17</f>
        <v>330163</v>
      </c>
      <c r="K15" s="17">
        <f t="shared" si="2"/>
        <v>27205431</v>
      </c>
      <c r="L15" s="17">
        <f>'Estudiodemercado DEF'!AP17</f>
        <v>336545</v>
      </c>
      <c r="M15" s="17">
        <f t="shared" si="3"/>
        <v>27731308</v>
      </c>
    </row>
    <row r="16" spans="1:13" ht="76.5" x14ac:dyDescent="0.2">
      <c r="A16" s="42">
        <v>6</v>
      </c>
      <c r="B16" s="22" t="s">
        <v>14</v>
      </c>
      <c r="C16" s="19" t="s">
        <v>2</v>
      </c>
      <c r="D16" s="41">
        <v>2940</v>
      </c>
      <c r="E16" s="42">
        <v>2</v>
      </c>
      <c r="F16" s="17">
        <f>'Estudiodemercado DEF'!AJ18</f>
        <v>2356</v>
      </c>
      <c r="G16" s="17">
        <f t="shared" si="0"/>
        <v>13853280</v>
      </c>
      <c r="H16" s="17">
        <f>'Estudiodemercado DEF'!AL18</f>
        <v>2100</v>
      </c>
      <c r="I16" s="17">
        <f t="shared" si="1"/>
        <v>12348000</v>
      </c>
      <c r="J16" s="17">
        <f>'Estudiodemercado DEF'!AN18</f>
        <v>2056</v>
      </c>
      <c r="K16" s="17">
        <f t="shared" si="2"/>
        <v>12089280</v>
      </c>
      <c r="L16" s="17">
        <f>'Estudiodemercado DEF'!AP18</f>
        <v>2173</v>
      </c>
      <c r="M16" s="17">
        <f t="shared" si="3"/>
        <v>12777240</v>
      </c>
    </row>
    <row r="17" spans="1:13" ht="89.25" x14ac:dyDescent="0.2">
      <c r="A17" s="42">
        <v>7</v>
      </c>
      <c r="B17" s="22" t="s">
        <v>23</v>
      </c>
      <c r="C17" s="19" t="s">
        <v>2</v>
      </c>
      <c r="D17" s="41">
        <v>3110</v>
      </c>
      <c r="E17" s="42">
        <v>1</v>
      </c>
      <c r="F17" s="17">
        <f>'Estudiodemercado DEF'!AJ19</f>
        <v>2222</v>
      </c>
      <c r="G17" s="17">
        <f t="shared" si="0"/>
        <v>6910420</v>
      </c>
      <c r="H17" s="17">
        <f>'Estudiodemercado DEF'!AL19</f>
        <v>1953</v>
      </c>
      <c r="I17" s="17">
        <f t="shared" si="1"/>
        <v>6073830</v>
      </c>
      <c r="J17" s="17">
        <f>'Estudiodemercado DEF'!AN19</f>
        <v>2089</v>
      </c>
      <c r="K17" s="17">
        <f t="shared" si="2"/>
        <v>6496790</v>
      </c>
      <c r="L17" s="17">
        <f>'Estudiodemercado DEF'!AP19</f>
        <v>2150</v>
      </c>
      <c r="M17" s="17">
        <f t="shared" si="3"/>
        <v>6686500</v>
      </c>
    </row>
    <row r="18" spans="1:13" ht="54.75" customHeight="1" x14ac:dyDescent="0.2">
      <c r="A18" s="42">
        <v>8</v>
      </c>
      <c r="B18" s="22" t="s">
        <v>24</v>
      </c>
      <c r="C18" s="19" t="s">
        <v>1</v>
      </c>
      <c r="D18" s="41">
        <v>16</v>
      </c>
      <c r="E18" s="42">
        <v>2</v>
      </c>
      <c r="F18" s="17">
        <f>'Estudiodemercado DEF'!AJ20</f>
        <v>276575</v>
      </c>
      <c r="G18" s="17">
        <f t="shared" si="0"/>
        <v>8850400</v>
      </c>
      <c r="H18" s="17">
        <f>'Estudiodemercado DEF'!AL20</f>
        <v>180000</v>
      </c>
      <c r="I18" s="17">
        <f t="shared" si="1"/>
        <v>5760000</v>
      </c>
      <c r="J18" s="17">
        <f>'Estudiodemercado DEF'!AN20</f>
        <v>204677</v>
      </c>
      <c r="K18" s="17">
        <f t="shared" si="2"/>
        <v>6549664</v>
      </c>
      <c r="L18" s="17">
        <f>'Estudiodemercado DEF'!AP20</f>
        <v>225374</v>
      </c>
      <c r="M18" s="17">
        <f t="shared" si="3"/>
        <v>7211968</v>
      </c>
    </row>
    <row r="19" spans="1:13" ht="79.5" customHeight="1" x14ac:dyDescent="0.2">
      <c r="A19" s="42">
        <v>9</v>
      </c>
      <c r="B19" s="43" t="s">
        <v>149</v>
      </c>
      <c r="C19" s="19" t="s">
        <v>26</v>
      </c>
      <c r="D19" s="41">
        <f>ROUND(944*2+17.6*2,0)+2</f>
        <v>1925</v>
      </c>
      <c r="E19" s="42">
        <v>2</v>
      </c>
      <c r="F19" s="17">
        <f>'Estudiodemercado DEF'!AJ21</f>
        <v>2847</v>
      </c>
      <c r="G19" s="17">
        <f t="shared" si="0"/>
        <v>10960950</v>
      </c>
      <c r="H19" s="17">
        <f>'Estudiodemercado DEF'!AL21</f>
        <v>2800</v>
      </c>
      <c r="I19" s="17">
        <f t="shared" si="1"/>
        <v>10780000</v>
      </c>
      <c r="J19" s="17">
        <f>'Estudiodemercado DEF'!AN21</f>
        <v>2582</v>
      </c>
      <c r="K19" s="17">
        <f t="shared" si="2"/>
        <v>9940700</v>
      </c>
      <c r="L19" s="17">
        <f>'Estudiodemercado DEF'!AP21</f>
        <v>2715</v>
      </c>
      <c r="M19" s="17">
        <f t="shared" si="3"/>
        <v>10452750</v>
      </c>
    </row>
    <row r="20" spans="1:13" ht="102" x14ac:dyDescent="0.2">
      <c r="A20" s="156">
        <v>10</v>
      </c>
      <c r="B20" s="70" t="s">
        <v>27</v>
      </c>
      <c r="C20" s="42" t="s">
        <v>1</v>
      </c>
      <c r="D20" s="41">
        <v>3.4</v>
      </c>
      <c r="E20" s="42">
        <v>1</v>
      </c>
      <c r="F20" s="17">
        <f>'Estudiodemercado DEF'!AJ22</f>
        <v>1187524</v>
      </c>
      <c r="G20" s="17">
        <f t="shared" si="0"/>
        <v>4037582</v>
      </c>
      <c r="H20" s="17">
        <f>'Estudiodemercado DEF'!AL22</f>
        <v>1050000</v>
      </c>
      <c r="I20" s="17">
        <f t="shared" si="1"/>
        <v>3570000</v>
      </c>
      <c r="J20" s="17">
        <f>'Estudiodemercado DEF'!AN22</f>
        <v>1094653</v>
      </c>
      <c r="K20" s="17">
        <f t="shared" si="2"/>
        <v>3721820</v>
      </c>
      <c r="L20" s="17">
        <f>'Estudiodemercado DEF'!AP22</f>
        <v>1137749</v>
      </c>
      <c r="M20" s="17">
        <f t="shared" si="3"/>
        <v>3868347</v>
      </c>
    </row>
    <row r="21" spans="1:13" ht="15.75" x14ac:dyDescent="0.2">
      <c r="A21" s="42"/>
      <c r="B21" s="193" t="s">
        <v>150</v>
      </c>
      <c r="C21" s="19"/>
      <c r="D21" s="41"/>
      <c r="E21" s="42"/>
      <c r="F21" s="143"/>
      <c r="G21" s="144">
        <f>SUM(G15:G20)</f>
        <v>72997619</v>
      </c>
      <c r="H21" s="143"/>
      <c r="I21" s="144">
        <f>SUM(I15:I20)</f>
        <v>64503733</v>
      </c>
      <c r="J21" s="143"/>
      <c r="K21" s="144">
        <f>SUM(K15:K20)</f>
        <v>66003685</v>
      </c>
      <c r="L21" s="143"/>
      <c r="M21" s="144">
        <f>SUM(M15:M20)</f>
        <v>68728113</v>
      </c>
    </row>
    <row r="22" spans="1:13" ht="15.75" x14ac:dyDescent="0.2">
      <c r="A22" s="42"/>
      <c r="B22" s="193" t="s">
        <v>151</v>
      </c>
      <c r="C22" s="52"/>
      <c r="D22" s="51"/>
      <c r="E22" s="52"/>
      <c r="F22" s="171">
        <v>0.19</v>
      </c>
      <c r="G22" s="170">
        <f>ROUND(G21*F22,0)</f>
        <v>13869548</v>
      </c>
      <c r="H22" s="171">
        <v>0.19</v>
      </c>
      <c r="I22" s="170">
        <f>ROUND(I21*H22,0)</f>
        <v>12255709</v>
      </c>
      <c r="J22" s="171">
        <v>0.19</v>
      </c>
      <c r="K22" s="170">
        <f>ROUND(K21*J22,0)</f>
        <v>12540700</v>
      </c>
      <c r="L22" s="171">
        <v>0.19</v>
      </c>
      <c r="M22" s="170">
        <f>ROUND(M21*L22,0)</f>
        <v>13058341</v>
      </c>
    </row>
    <row r="23" spans="1:13" ht="15.75" x14ac:dyDescent="0.2">
      <c r="A23" s="42"/>
      <c r="B23" s="165" t="s">
        <v>147</v>
      </c>
      <c r="C23" s="19"/>
      <c r="D23" s="41"/>
      <c r="E23" s="42"/>
      <c r="F23" s="143"/>
      <c r="G23" s="144">
        <f>SUM(G21:G22)</f>
        <v>86867167</v>
      </c>
      <c r="H23" s="143"/>
      <c r="I23" s="144">
        <f>SUM(I21:I22)</f>
        <v>76759442</v>
      </c>
      <c r="J23" s="143"/>
      <c r="K23" s="144">
        <f>SUM(K21:K22)</f>
        <v>78544385</v>
      </c>
      <c r="L23" s="143"/>
      <c r="M23" s="144">
        <f>SUM(M21:M22)</f>
        <v>81786454</v>
      </c>
    </row>
    <row r="24" spans="1:13" ht="18.75" customHeight="1" x14ac:dyDescent="0.2">
      <c r="A24" s="42"/>
      <c r="B24" s="22"/>
      <c r="C24" s="19"/>
      <c r="D24" s="41"/>
      <c r="E24" s="42"/>
      <c r="F24" s="17"/>
      <c r="G24" s="17"/>
      <c r="H24" s="17"/>
      <c r="I24" s="17"/>
      <c r="J24" s="17"/>
      <c r="K24" s="17"/>
      <c r="L24" s="17"/>
      <c r="M24" s="17"/>
    </row>
    <row r="25" spans="1:13" x14ac:dyDescent="0.2">
      <c r="A25" s="21"/>
      <c r="B25" s="22"/>
      <c r="C25" s="42"/>
      <c r="D25" s="112"/>
      <c r="E25" s="42"/>
      <c r="F25" s="143"/>
      <c r="G25" s="144"/>
      <c r="H25" s="143"/>
      <c r="I25" s="144"/>
      <c r="J25" s="143"/>
      <c r="K25" s="144"/>
      <c r="L25" s="143"/>
      <c r="M25" s="144"/>
    </row>
    <row r="26" spans="1:13" x14ac:dyDescent="0.2">
      <c r="A26" s="137"/>
      <c r="B26" s="196" t="str">
        <f>UPPER("aeropuerto Morela de Puerto Berrio - Antioquia")</f>
        <v>AEROPUERTO MORELA DE PUERTO BERRIO - ANTIOQUIA</v>
      </c>
      <c r="C26" s="42"/>
      <c r="D26" s="71"/>
      <c r="E26" s="3"/>
      <c r="F26" s="44"/>
      <c r="G26" s="17">
        <f>ROUND((D26*E26*F26),0)</f>
        <v>0</v>
      </c>
      <c r="H26" s="17"/>
      <c r="I26" s="17">
        <f>ROUND((D26*E26*H26),0)</f>
        <v>0</v>
      </c>
      <c r="J26" s="44"/>
      <c r="K26" s="17">
        <f t="shared" si="2"/>
        <v>0</v>
      </c>
      <c r="L26" s="44"/>
      <c r="M26" s="17">
        <f t="shared" si="3"/>
        <v>0</v>
      </c>
    </row>
    <row r="27" spans="1:13" ht="63.75" x14ac:dyDescent="0.2">
      <c r="A27" s="18">
        <v>11</v>
      </c>
      <c r="B27" s="102" t="s">
        <v>13</v>
      </c>
      <c r="C27" s="103" t="s">
        <v>1</v>
      </c>
      <c r="D27" s="51">
        <v>15</v>
      </c>
      <c r="E27" s="103">
        <v>4</v>
      </c>
      <c r="F27" s="17">
        <f>'Estudiodemercado DEF'!AJ64</f>
        <v>345702</v>
      </c>
      <c r="G27" s="17">
        <f>ROUND((D27*E27*F27),0)</f>
        <v>20742120</v>
      </c>
      <c r="H27" s="17">
        <f>'Estudiodemercado DEF'!AL64</f>
        <v>315000</v>
      </c>
      <c r="I27" s="17">
        <f>ROUND((D27*E27*H27),0)</f>
        <v>18900000</v>
      </c>
      <c r="J27" s="17">
        <f>'Estudiodemercado DEF'!AN64</f>
        <v>331981</v>
      </c>
      <c r="K27" s="17">
        <f t="shared" si="2"/>
        <v>19918860</v>
      </c>
      <c r="L27" s="17">
        <f>'Estudiodemercado DEF'!AP64</f>
        <v>338056</v>
      </c>
      <c r="M27" s="17">
        <f t="shared" si="3"/>
        <v>20283360</v>
      </c>
    </row>
    <row r="28" spans="1:13" ht="76.5" x14ac:dyDescent="0.2">
      <c r="A28" s="18">
        <v>12</v>
      </c>
      <c r="B28" s="102" t="s">
        <v>14</v>
      </c>
      <c r="C28" s="103" t="s">
        <v>2</v>
      </c>
      <c r="D28" s="104">
        <v>2721</v>
      </c>
      <c r="E28" s="103">
        <v>2</v>
      </c>
      <c r="F28" s="17">
        <f>'Estudiodemercado DEF'!AJ65</f>
        <v>2768</v>
      </c>
      <c r="G28" s="17">
        <f>ROUND((D28*E28*F28),0)</f>
        <v>15063456</v>
      </c>
      <c r="H28" s="17">
        <f>'Estudiodemercado DEF'!AL65</f>
        <v>2343</v>
      </c>
      <c r="I28" s="17">
        <f>ROUND((D28*E28*H28),0)</f>
        <v>12750606</v>
      </c>
      <c r="J28" s="17">
        <f>'Estudiodemercado DEF'!AN65</f>
        <v>2443</v>
      </c>
      <c r="K28" s="17">
        <f t="shared" si="2"/>
        <v>13294806</v>
      </c>
      <c r="L28" s="17">
        <f>'Estudiodemercado DEF'!AP65</f>
        <v>2574</v>
      </c>
      <c r="M28" s="17">
        <f t="shared" si="3"/>
        <v>14007708</v>
      </c>
    </row>
    <row r="29" spans="1:13" ht="89.25" x14ac:dyDescent="0.2">
      <c r="A29" s="18">
        <v>13</v>
      </c>
      <c r="B29" s="102" t="s">
        <v>15</v>
      </c>
      <c r="C29" s="103" t="s">
        <v>2</v>
      </c>
      <c r="D29" s="51">
        <v>3200</v>
      </c>
      <c r="E29" s="103">
        <v>2</v>
      </c>
      <c r="F29" s="17">
        <f>'Estudiodemercado DEF'!AJ66</f>
        <v>2360</v>
      </c>
      <c r="G29" s="17">
        <f>ROUND((D29*E29*F29),0)</f>
        <v>15104000</v>
      </c>
      <c r="H29" s="17">
        <f>'Estudiodemercado DEF'!AL66</f>
        <v>2200</v>
      </c>
      <c r="I29" s="17">
        <f>ROUND((D29*E29*H29),0)</f>
        <v>14080000</v>
      </c>
      <c r="J29" s="17">
        <f>'Estudiodemercado DEF'!AN66</f>
        <v>2242</v>
      </c>
      <c r="K29" s="17">
        <f t="shared" si="2"/>
        <v>14348800</v>
      </c>
      <c r="L29" s="17">
        <f>'Estudiodemercado DEF'!AP66</f>
        <v>2298</v>
      </c>
      <c r="M29" s="17">
        <f t="shared" si="3"/>
        <v>14707200</v>
      </c>
    </row>
    <row r="30" spans="1:13" ht="38.25" x14ac:dyDescent="0.2">
      <c r="A30" s="18">
        <v>14</v>
      </c>
      <c r="B30" s="105" t="s">
        <v>46</v>
      </c>
      <c r="C30" s="52" t="s">
        <v>1</v>
      </c>
      <c r="D30" s="51">
        <v>15</v>
      </c>
      <c r="E30" s="52">
        <v>3</v>
      </c>
      <c r="F30" s="17">
        <f>'Estudiodemercado DEF'!AJ67</f>
        <v>282182</v>
      </c>
      <c r="G30" s="17">
        <f>ROUND((D30*E30*F30),0)</f>
        <v>12698190</v>
      </c>
      <c r="H30" s="17">
        <f>'Estudiodemercado DEF'!AL67</f>
        <v>190891</v>
      </c>
      <c r="I30" s="17">
        <f>ROUND((D30*E30*H30),0)</f>
        <v>8590095</v>
      </c>
      <c r="J30" s="17">
        <f>'Estudiodemercado DEF'!AN67</f>
        <v>209775</v>
      </c>
      <c r="K30" s="17">
        <f t="shared" si="2"/>
        <v>9439875</v>
      </c>
      <c r="L30" s="17">
        <f>'Estudiodemercado DEF'!AP67</f>
        <v>231213</v>
      </c>
      <c r="M30" s="17">
        <f t="shared" si="3"/>
        <v>10404585</v>
      </c>
    </row>
    <row r="31" spans="1:13" ht="15.75" x14ac:dyDescent="0.2">
      <c r="A31" s="21"/>
      <c r="B31" s="193" t="s">
        <v>150</v>
      </c>
      <c r="C31" s="42"/>
      <c r="D31" s="112"/>
      <c r="E31" s="42"/>
      <c r="F31" s="143"/>
      <c r="G31" s="144">
        <f>SUM(G27:G30)</f>
        <v>63607766</v>
      </c>
      <c r="H31" s="143"/>
      <c r="I31" s="144">
        <f>SUM(I27:I30)</f>
        <v>54320701</v>
      </c>
      <c r="J31" s="143"/>
      <c r="K31" s="144">
        <f>SUM(K27:K30)</f>
        <v>57002341</v>
      </c>
      <c r="L31" s="143"/>
      <c r="M31" s="144">
        <f>SUM(M27:M30)</f>
        <v>59402853</v>
      </c>
    </row>
    <row r="32" spans="1:13" ht="15.75" x14ac:dyDescent="0.2">
      <c r="A32" s="21"/>
      <c r="B32" s="193" t="s">
        <v>151</v>
      </c>
      <c r="C32" s="52"/>
      <c r="D32" s="51"/>
      <c r="E32" s="52"/>
      <c r="F32" s="171">
        <v>0.19</v>
      </c>
      <c r="G32" s="170">
        <f>ROUND(G31*F32,0)</f>
        <v>12085476</v>
      </c>
      <c r="H32" s="171">
        <v>0.19</v>
      </c>
      <c r="I32" s="170">
        <f>ROUND(I31*H32,0)</f>
        <v>10320933</v>
      </c>
      <c r="J32" s="171">
        <v>0.19</v>
      </c>
      <c r="K32" s="170">
        <f>ROUND(K31*J32,0)</f>
        <v>10830445</v>
      </c>
      <c r="L32" s="171">
        <v>0.19</v>
      </c>
      <c r="M32" s="170">
        <f>ROUND(M31*L32,0)</f>
        <v>11286542</v>
      </c>
    </row>
    <row r="33" spans="1:13" ht="15.75" x14ac:dyDescent="0.2">
      <c r="A33" s="21"/>
      <c r="B33" s="165" t="s">
        <v>146</v>
      </c>
      <c r="C33" s="42"/>
      <c r="D33" s="112"/>
      <c r="E33" s="42"/>
      <c r="F33" s="143"/>
      <c r="G33" s="144">
        <f>SUM(G31:G32)</f>
        <v>75693242</v>
      </c>
      <c r="H33" s="143"/>
      <c r="I33" s="144">
        <f>SUM(I31:I32)</f>
        <v>64641634</v>
      </c>
      <c r="J33" s="143"/>
      <c r="K33" s="144">
        <f>SUM(K31:K32)</f>
        <v>67832786</v>
      </c>
      <c r="L33" s="143"/>
      <c r="M33" s="144">
        <f>SUM(M31:M32)</f>
        <v>70689395</v>
      </c>
    </row>
    <row r="34" spans="1:13" x14ac:dyDescent="0.2">
      <c r="A34" s="21"/>
      <c r="B34" s="102"/>
      <c r="C34" s="103"/>
      <c r="D34" s="51"/>
      <c r="E34" s="103"/>
      <c r="F34" s="17"/>
      <c r="G34" s="17"/>
      <c r="H34" s="17"/>
      <c r="I34" s="17"/>
      <c r="J34" s="17"/>
      <c r="K34" s="17"/>
      <c r="L34" s="17"/>
      <c r="M34" s="17"/>
    </row>
    <row r="35" spans="1:13" x14ac:dyDescent="0.2">
      <c r="A35" s="21"/>
      <c r="B35" s="196" t="str">
        <f>UPPER("aeropuerto de Gustavo Rojas Pinilla de Cimitarra - Santander")</f>
        <v>AEROPUERTO DE GUSTAVO ROJAS PINILLA DE CIMITARRA - SANTANDER</v>
      </c>
      <c r="C35" s="52"/>
      <c r="D35" s="51"/>
      <c r="E35" s="52"/>
      <c r="F35" s="17"/>
      <c r="G35" s="17">
        <f>ROUND((D35*E35*F35),0)</f>
        <v>0</v>
      </c>
      <c r="H35" s="17"/>
      <c r="I35" s="17">
        <f>ROUND((D35*E35*H35),0)</f>
        <v>0</v>
      </c>
      <c r="J35" s="17"/>
      <c r="K35" s="17">
        <f t="shared" si="2"/>
        <v>0</v>
      </c>
      <c r="L35" s="17"/>
      <c r="M35" s="17">
        <f t="shared" si="3"/>
        <v>0</v>
      </c>
    </row>
    <row r="36" spans="1:13" ht="63.75" x14ac:dyDescent="0.2">
      <c r="A36" s="138">
        <v>15</v>
      </c>
      <c r="B36" s="114" t="s">
        <v>13</v>
      </c>
      <c r="C36" s="115" t="s">
        <v>1</v>
      </c>
      <c r="D36" s="116">
        <v>20</v>
      </c>
      <c r="E36" s="42">
        <v>4</v>
      </c>
      <c r="F36" s="17">
        <f>'Estudiodemercado DEF'!AJ77</f>
        <v>329349</v>
      </c>
      <c r="G36" s="17">
        <f>ROUND((D36*E36*F36),0)</f>
        <v>26347920</v>
      </c>
      <c r="H36" s="17">
        <f>'Estudiodemercado DEF'!AL77</f>
        <v>310000</v>
      </c>
      <c r="I36" s="17">
        <f>ROUND((D36*E36*H36),0)</f>
        <v>24800000</v>
      </c>
      <c r="J36" s="17">
        <f>'Estudiodemercado DEF'!AN77</f>
        <v>316074</v>
      </c>
      <c r="K36" s="17">
        <f t="shared" si="2"/>
        <v>25285920</v>
      </c>
      <c r="L36" s="17">
        <f>'Estudiodemercado DEF'!AP77</f>
        <v>321737</v>
      </c>
      <c r="M36" s="17">
        <f t="shared" si="3"/>
        <v>25738960</v>
      </c>
    </row>
    <row r="37" spans="1:13" ht="76.5" x14ac:dyDescent="0.2">
      <c r="A37" s="138">
        <v>16</v>
      </c>
      <c r="B37" s="70" t="s">
        <v>14</v>
      </c>
      <c r="C37" s="117" t="s">
        <v>2</v>
      </c>
      <c r="D37" s="118">
        <v>2300</v>
      </c>
      <c r="E37" s="42">
        <v>2</v>
      </c>
      <c r="F37" s="17">
        <f>'Estudiodemercado DEF'!AJ78</f>
        <v>2322</v>
      </c>
      <c r="G37" s="17">
        <f>ROUND((D37*E37*F37),0)</f>
        <v>10681200</v>
      </c>
      <c r="H37" s="17">
        <f>'Estudiodemercado DEF'!AL78</f>
        <v>2019</v>
      </c>
      <c r="I37" s="17">
        <f>ROUND((D37*E37*H37),0)</f>
        <v>9287400</v>
      </c>
      <c r="J37" s="17">
        <f>'Estudiodemercado DEF'!AN78</f>
        <v>2001</v>
      </c>
      <c r="K37" s="17">
        <f t="shared" si="2"/>
        <v>9204600</v>
      </c>
      <c r="L37" s="17">
        <f>'Estudiodemercado DEF'!AP78</f>
        <v>2128</v>
      </c>
      <c r="M37" s="17">
        <f t="shared" si="3"/>
        <v>9788800</v>
      </c>
    </row>
    <row r="38" spans="1:13" ht="89.25" x14ac:dyDescent="0.2">
      <c r="A38" s="138">
        <v>17</v>
      </c>
      <c r="B38" s="70" t="s">
        <v>15</v>
      </c>
      <c r="C38" s="117" t="s">
        <v>2</v>
      </c>
      <c r="D38" s="119">
        <v>3866</v>
      </c>
      <c r="E38" s="42">
        <v>1</v>
      </c>
      <c r="F38" s="17">
        <f>'Estudiodemercado DEF'!AJ79</f>
        <v>2160</v>
      </c>
      <c r="G38" s="17">
        <f>ROUND((D38*E38*F38),0)</f>
        <v>8350560</v>
      </c>
      <c r="H38" s="17">
        <f>'Estudiodemercado DEF'!AL79</f>
        <v>1950</v>
      </c>
      <c r="I38" s="17">
        <f>ROUND((D38*E38*H38),0)</f>
        <v>7538700</v>
      </c>
      <c r="J38" s="17">
        <f>'Estudiodemercado DEF'!AN79</f>
        <v>1925</v>
      </c>
      <c r="K38" s="17">
        <f t="shared" si="2"/>
        <v>7442050</v>
      </c>
      <c r="L38" s="17">
        <f>'Estudiodemercado DEF'!AP79</f>
        <v>2041</v>
      </c>
      <c r="M38" s="17">
        <f t="shared" si="3"/>
        <v>7890506</v>
      </c>
    </row>
    <row r="39" spans="1:13" ht="38.25" x14ac:dyDescent="0.2">
      <c r="A39" s="138">
        <v>18</v>
      </c>
      <c r="B39" s="120" t="s">
        <v>46</v>
      </c>
      <c r="C39" s="117" t="s">
        <v>1</v>
      </c>
      <c r="D39" s="118">
        <v>15</v>
      </c>
      <c r="E39" s="42">
        <v>2</v>
      </c>
      <c r="F39" s="17">
        <f>'Estudiodemercado DEF'!AJ80</f>
        <v>268724</v>
      </c>
      <c r="G39" s="17">
        <f>ROUND((D39*E39*F39),0)</f>
        <v>8061720</v>
      </c>
      <c r="H39" s="17">
        <f>'Estudiodemercado DEF'!AL80</f>
        <v>179375</v>
      </c>
      <c r="I39" s="17">
        <f>ROUND((D39*E39*H39),0)</f>
        <v>5381250</v>
      </c>
      <c r="J39" s="17">
        <f>'Estudiodemercado DEF'!AN80</f>
        <v>194424</v>
      </c>
      <c r="K39" s="17">
        <f t="shared" si="2"/>
        <v>5832720</v>
      </c>
      <c r="L39" s="17">
        <f>'Estudiodemercado DEF'!AP80</f>
        <v>215500</v>
      </c>
      <c r="M39" s="17">
        <f t="shared" si="3"/>
        <v>6465000</v>
      </c>
    </row>
    <row r="40" spans="1:13" ht="15.75" x14ac:dyDescent="0.2">
      <c r="A40" s="151"/>
      <c r="B40" s="193" t="s">
        <v>150</v>
      </c>
      <c r="C40" s="42"/>
      <c r="D40" s="112"/>
      <c r="E40" s="42"/>
      <c r="F40" s="143"/>
      <c r="G40" s="144">
        <f>SUM(G36:G39)</f>
        <v>53441400</v>
      </c>
      <c r="H40" s="143"/>
      <c r="I40" s="144">
        <f>SUM(I36:I39)</f>
        <v>47007350</v>
      </c>
      <c r="J40" s="143"/>
      <c r="K40" s="144">
        <f>SUM(K36:K39)</f>
        <v>47765290</v>
      </c>
      <c r="L40" s="143"/>
      <c r="M40" s="144">
        <f>SUM(M36:M39)</f>
        <v>49883266</v>
      </c>
    </row>
    <row r="41" spans="1:13" ht="15.75" x14ac:dyDescent="0.2">
      <c r="A41" s="151"/>
      <c r="B41" s="193" t="s">
        <v>151</v>
      </c>
      <c r="C41" s="52"/>
      <c r="D41" s="51"/>
      <c r="E41" s="52"/>
      <c r="F41" s="171">
        <v>0.19</v>
      </c>
      <c r="G41" s="170">
        <f>ROUND(G40*F41,0)</f>
        <v>10153866</v>
      </c>
      <c r="H41" s="171">
        <v>0.19</v>
      </c>
      <c r="I41" s="170">
        <f>ROUND(I40*H41,0)</f>
        <v>8931397</v>
      </c>
      <c r="J41" s="171">
        <v>0.19</v>
      </c>
      <c r="K41" s="170">
        <f>ROUND(K40*J41,0)</f>
        <v>9075405</v>
      </c>
      <c r="L41" s="171">
        <v>0.19</v>
      </c>
      <c r="M41" s="170">
        <f>ROUND(M40*L41,0)</f>
        <v>9477821</v>
      </c>
    </row>
    <row r="42" spans="1:13" ht="15.75" x14ac:dyDescent="0.2">
      <c r="A42" s="151"/>
      <c r="B42" s="165" t="s">
        <v>145</v>
      </c>
      <c r="C42" s="42"/>
      <c r="D42" s="112"/>
      <c r="E42" s="42"/>
      <c r="F42" s="143"/>
      <c r="G42" s="144">
        <f>SUM(G40:G41)</f>
        <v>63595266</v>
      </c>
      <c r="H42" s="143"/>
      <c r="I42" s="144">
        <f>SUM(I40:I41)</f>
        <v>55938747</v>
      </c>
      <c r="J42" s="143"/>
      <c r="K42" s="144">
        <f>SUM(K40:K41)</f>
        <v>56840695</v>
      </c>
      <c r="L42" s="143"/>
      <c r="M42" s="144">
        <f>SUM(M40:M41)</f>
        <v>59361087</v>
      </c>
    </row>
    <row r="43" spans="1:13" x14ac:dyDescent="0.2">
      <c r="A43" s="151"/>
      <c r="B43" s="10"/>
      <c r="C43" s="42"/>
      <c r="D43" s="112"/>
      <c r="E43" s="42"/>
      <c r="F43" s="143"/>
      <c r="G43" s="144"/>
      <c r="H43" s="143"/>
      <c r="I43" s="144"/>
      <c r="J43" s="143"/>
      <c r="K43" s="144"/>
      <c r="L43" s="143"/>
      <c r="M43" s="144"/>
    </row>
    <row r="44" spans="1:13" x14ac:dyDescent="0.2">
      <c r="A44" s="21"/>
      <c r="B44" s="136" t="s">
        <v>105</v>
      </c>
      <c r="C44" s="52"/>
      <c r="D44" s="51"/>
      <c r="E44" s="52"/>
      <c r="F44" s="17"/>
      <c r="G44" s="17">
        <f>ROUND((D44*E44*F44),0)</f>
        <v>0</v>
      </c>
      <c r="H44" s="17"/>
      <c r="I44" s="17">
        <f>ROUND((D44*E44*H44),0)</f>
        <v>0</v>
      </c>
      <c r="J44" s="17"/>
      <c r="K44" s="17">
        <f>ROUND((D44*E44*J44),0)</f>
        <v>0</v>
      </c>
      <c r="L44" s="17"/>
      <c r="M44" s="17">
        <f>ROUND((D44*E44*L44),0)</f>
        <v>0</v>
      </c>
    </row>
    <row r="45" spans="1:13" ht="89.25" x14ac:dyDescent="0.2">
      <c r="A45" s="140">
        <v>19</v>
      </c>
      <c r="B45" s="22" t="s">
        <v>83</v>
      </c>
      <c r="C45" s="19" t="s">
        <v>1</v>
      </c>
      <c r="D45" s="41">
        <v>7</v>
      </c>
      <c r="E45" s="42">
        <v>5</v>
      </c>
      <c r="F45" s="17">
        <f>EstudiodemercadoTotaldef!F74</f>
        <v>319553</v>
      </c>
      <c r="G45" s="17">
        <f>ROUND((D45*E45*F45),0)</f>
        <v>11184355</v>
      </c>
      <c r="H45" s="17">
        <f>EstudiodemercadoTotaldef!H74</f>
        <v>295055</v>
      </c>
      <c r="I45" s="17">
        <f>ROUND((D45*E45*H45),0)</f>
        <v>10326925</v>
      </c>
      <c r="J45" s="17">
        <f>EstudiodemercadoTotaldef!J74</f>
        <v>302294</v>
      </c>
      <c r="K45" s="17">
        <f>ROUND((D45*E45*J45),0)</f>
        <v>10580290</v>
      </c>
      <c r="L45" s="17">
        <f>EstudiodemercadoTotaldef!L74</f>
        <v>309419</v>
      </c>
      <c r="M45" s="17">
        <f>ROUND((D45*E45*L45),0)</f>
        <v>10829665</v>
      </c>
    </row>
    <row r="46" spans="1:13" ht="99" customHeight="1" x14ac:dyDescent="0.2">
      <c r="A46" s="140">
        <v>20</v>
      </c>
      <c r="B46" s="22" t="s">
        <v>84</v>
      </c>
      <c r="C46" s="19" t="s">
        <v>2</v>
      </c>
      <c r="D46" s="41">
        <v>960</v>
      </c>
      <c r="E46" s="42">
        <v>2</v>
      </c>
      <c r="F46" s="17">
        <f>EstudiodemercadoTotaldef!F75</f>
        <v>2551</v>
      </c>
      <c r="G46" s="17">
        <f>ROUND((D46*E46*F46),0)</f>
        <v>4897920</v>
      </c>
      <c r="H46" s="17">
        <f>EstudiodemercadoTotaldef!H75</f>
        <v>2100</v>
      </c>
      <c r="I46" s="17">
        <f>ROUND((D46*E46*H46),0)</f>
        <v>4032000</v>
      </c>
      <c r="J46" s="17">
        <f>EstudiodemercadoTotaldef!J75</f>
        <v>2195</v>
      </c>
      <c r="K46" s="17">
        <f>ROUND((D46*E46*J46),0)</f>
        <v>4214400</v>
      </c>
      <c r="L46" s="17">
        <f>EstudiodemercadoTotaldef!L75</f>
        <v>2333</v>
      </c>
      <c r="M46" s="17">
        <f>ROUND((D46*E46*L46),0)</f>
        <v>4479360</v>
      </c>
    </row>
    <row r="47" spans="1:13" ht="94.5" customHeight="1" x14ac:dyDescent="0.2">
      <c r="A47" s="140">
        <v>21</v>
      </c>
      <c r="B47" s="22" t="s">
        <v>85</v>
      </c>
      <c r="C47" s="19" t="s">
        <v>86</v>
      </c>
      <c r="D47" s="41">
        <v>1</v>
      </c>
      <c r="E47" s="42">
        <v>2</v>
      </c>
      <c r="F47" s="17">
        <f>EstudiodemercadoTotaldef!F76</f>
        <v>2489141</v>
      </c>
      <c r="G47" s="17">
        <f>ROUND((D47*E47*F47),0)</f>
        <v>4978282</v>
      </c>
      <c r="H47" s="17">
        <f>EstudiodemercadoTotaldef!H76</f>
        <v>2300000</v>
      </c>
      <c r="I47" s="17">
        <f>ROUND((D47*E47*H47),0)</f>
        <v>4600000</v>
      </c>
      <c r="J47" s="17">
        <f>EstudiodemercadoTotaldef!J76</f>
        <v>2372626</v>
      </c>
      <c r="K47" s="17">
        <f>ROUND((D47*E47*J47),0)</f>
        <v>4745252</v>
      </c>
      <c r="L47" s="17">
        <f>EstudiodemercadoTotaldef!L76</f>
        <v>2422386</v>
      </c>
      <c r="M47" s="17">
        <f>ROUND((D47*E47*L47),0)</f>
        <v>4844772</v>
      </c>
    </row>
    <row r="48" spans="1:13" ht="15.75" x14ac:dyDescent="0.2">
      <c r="A48" s="140"/>
      <c r="B48" s="193" t="s">
        <v>150</v>
      </c>
      <c r="C48" s="42"/>
      <c r="D48" s="112"/>
      <c r="E48" s="42"/>
      <c r="F48" s="143"/>
      <c r="G48" s="144">
        <f>SUM(G45:G47)</f>
        <v>21060557</v>
      </c>
      <c r="H48" s="143"/>
      <c r="I48" s="144">
        <f>SUM(I45:I47)</f>
        <v>18958925</v>
      </c>
      <c r="J48" s="143"/>
      <c r="K48" s="144">
        <f>SUM(K45:K47)</f>
        <v>19539942</v>
      </c>
      <c r="L48" s="143"/>
      <c r="M48" s="144">
        <f>SUM(M45:M47)</f>
        <v>20153797</v>
      </c>
    </row>
    <row r="49" spans="1:13" ht="15.75" x14ac:dyDescent="0.2">
      <c r="A49" s="140"/>
      <c r="B49" s="193" t="s">
        <v>151</v>
      </c>
      <c r="C49" s="52"/>
      <c r="D49" s="51"/>
      <c r="E49" s="52"/>
      <c r="F49" s="171">
        <v>0.19</v>
      </c>
      <c r="G49" s="170">
        <f>ROUND(G48*F49,0)</f>
        <v>4001506</v>
      </c>
      <c r="H49" s="171">
        <v>0.19</v>
      </c>
      <c r="I49" s="170">
        <f>ROUND(I48*H49,0)</f>
        <v>3602196</v>
      </c>
      <c r="J49" s="171">
        <v>0.19</v>
      </c>
      <c r="K49" s="170">
        <f>ROUND(K48*J49,0)</f>
        <v>3712589</v>
      </c>
      <c r="L49" s="171">
        <v>0.19</v>
      </c>
      <c r="M49" s="170">
        <f>ROUND(M48*L49,0)</f>
        <v>3829221</v>
      </c>
    </row>
    <row r="50" spans="1:13" ht="15.75" x14ac:dyDescent="0.2">
      <c r="A50" s="140"/>
      <c r="B50" s="165" t="s">
        <v>144</v>
      </c>
      <c r="C50" s="42"/>
      <c r="D50" s="112"/>
      <c r="E50" s="42"/>
      <c r="F50" s="143"/>
      <c r="G50" s="144">
        <f>SUM(G48:G49)</f>
        <v>25062063</v>
      </c>
      <c r="H50" s="143"/>
      <c r="I50" s="144">
        <f>SUM(I48:I49)</f>
        <v>22561121</v>
      </c>
      <c r="J50" s="143"/>
      <c r="K50" s="144">
        <f>SUM(K48:K49)</f>
        <v>23252531</v>
      </c>
      <c r="L50" s="143"/>
      <c r="M50" s="144">
        <f>SUM(M48:M49)</f>
        <v>23983018</v>
      </c>
    </row>
    <row r="51" spans="1:13" x14ac:dyDescent="0.2">
      <c r="A51" s="151"/>
      <c r="B51" s="10"/>
      <c r="C51" s="42"/>
      <c r="D51" s="112"/>
      <c r="E51" s="42"/>
      <c r="F51" s="143"/>
      <c r="G51" s="144"/>
      <c r="H51" s="143"/>
      <c r="I51" s="144"/>
      <c r="J51" s="143"/>
      <c r="K51" s="144"/>
      <c r="L51" s="143"/>
      <c r="M51" s="144"/>
    </row>
    <row r="52" spans="1:13" x14ac:dyDescent="0.2">
      <c r="A52" s="151"/>
      <c r="B52" s="10"/>
      <c r="C52" s="42"/>
      <c r="D52" s="112"/>
      <c r="E52" s="42"/>
      <c r="F52" s="143"/>
      <c r="G52" s="144"/>
      <c r="H52" s="143"/>
      <c r="I52" s="144"/>
      <c r="J52" s="143"/>
      <c r="K52" s="144"/>
      <c r="L52" s="143"/>
      <c r="M52" s="144"/>
    </row>
    <row r="53" spans="1:13" x14ac:dyDescent="0.2">
      <c r="A53" s="151"/>
      <c r="B53" s="10"/>
      <c r="C53" s="42"/>
      <c r="D53" s="112"/>
      <c r="E53" s="42"/>
      <c r="F53" s="143"/>
      <c r="G53" s="144"/>
      <c r="H53" s="143"/>
      <c r="I53" s="144"/>
      <c r="J53" s="143"/>
      <c r="K53" s="144"/>
      <c r="L53" s="143"/>
      <c r="M53" s="144"/>
    </row>
    <row r="54" spans="1:13" x14ac:dyDescent="0.2">
      <c r="A54" s="4"/>
      <c r="B54" s="70"/>
      <c r="C54" s="42"/>
      <c r="D54" s="71"/>
      <c r="E54" s="3"/>
      <c r="F54" s="44"/>
      <c r="G54" s="17">
        <f>ROUND((D54*E54*F54),0)</f>
        <v>0</v>
      </c>
      <c r="H54" s="17"/>
      <c r="I54" s="17">
        <f>ROUND((D54*E54*H54),0)</f>
        <v>0</v>
      </c>
      <c r="J54" s="44"/>
      <c r="K54" s="44"/>
      <c r="L54" s="44"/>
      <c r="M54" s="44"/>
    </row>
    <row r="55" spans="1:13" ht="27.75" customHeight="1" x14ac:dyDescent="0.2">
      <c r="A55" s="4"/>
      <c r="B55" s="141" t="s">
        <v>155</v>
      </c>
      <c r="C55" s="10"/>
      <c r="D55" s="141"/>
      <c r="E55" s="141"/>
      <c r="F55" s="143"/>
      <c r="G55" s="144">
        <f>G10+G21+G31+G40+G48</f>
        <v>262847662</v>
      </c>
      <c r="H55" s="143"/>
      <c r="I55" s="144">
        <f>I10+I21+I31+I40+I48</f>
        <v>227842571</v>
      </c>
      <c r="J55" s="143"/>
      <c r="K55" s="144">
        <f>K10+K21+K31+K40+K48</f>
        <v>236214080</v>
      </c>
      <c r="L55" s="143"/>
      <c r="M55" s="144">
        <f>M10+M21+M31+M40+M48</f>
        <v>246113183</v>
      </c>
    </row>
    <row r="56" spans="1:13" ht="15.75" x14ac:dyDescent="0.2">
      <c r="A56" s="4"/>
      <c r="B56" s="193" t="s">
        <v>151</v>
      </c>
      <c r="C56" s="52"/>
      <c r="D56" s="51"/>
      <c r="E56" s="52"/>
      <c r="F56" s="171">
        <v>0.19</v>
      </c>
      <c r="G56" s="170">
        <f>ROUND(G55*F56,0)</f>
        <v>49941056</v>
      </c>
      <c r="H56" s="171">
        <v>0.19</v>
      </c>
      <c r="I56" s="170">
        <f>ROUND(I55*H56,0)</f>
        <v>43290088</v>
      </c>
      <c r="J56" s="171">
        <v>0.19</v>
      </c>
      <c r="K56" s="170">
        <f>ROUND(K55*J56,0)</f>
        <v>44880675</v>
      </c>
      <c r="L56" s="171">
        <v>0.19</v>
      </c>
      <c r="M56" s="170">
        <f>ROUND(M55*L56,0)</f>
        <v>46761505</v>
      </c>
    </row>
    <row r="57" spans="1:13" ht="31.5" customHeight="1" x14ac:dyDescent="0.2">
      <c r="A57" s="4"/>
      <c r="B57" s="141" t="s">
        <v>156</v>
      </c>
      <c r="C57" s="10"/>
      <c r="D57" s="141"/>
      <c r="E57" s="141"/>
      <c r="F57" s="143"/>
      <c r="G57" s="154">
        <f>SUM(G55:G56)</f>
        <v>312788718</v>
      </c>
      <c r="H57" s="143"/>
      <c r="I57" s="154">
        <f>SUM(I55:I56)</f>
        <v>271132659</v>
      </c>
      <c r="J57" s="143"/>
      <c r="K57" s="154">
        <f>SUM(K55:K56)</f>
        <v>281094755</v>
      </c>
      <c r="L57" s="143"/>
      <c r="M57" s="154">
        <f>SUM(M55:M56)</f>
        <v>292874688</v>
      </c>
    </row>
    <row r="60" spans="1:13" x14ac:dyDescent="0.2">
      <c r="G60" s="2">
        <f>'CN,ML,CO,NU,UR'!G60</f>
        <v>356176690</v>
      </c>
      <c r="H60" s="2"/>
      <c r="I60" s="2">
        <f>'CN,ML,CO,NU,UR'!I60</f>
        <v>312667620</v>
      </c>
      <c r="J60" s="2"/>
      <c r="K60" s="2">
        <f>'CN,ML,CO,NU,UR'!K60</f>
        <v>320904747</v>
      </c>
      <c r="L60" s="2">
        <f>'CN,ML,CO,NU,UR'!L60</f>
        <v>0</v>
      </c>
      <c r="M60" s="2">
        <f>'CN,ML,CO,NU,UR'!M60</f>
        <v>333517823</v>
      </c>
    </row>
    <row r="62" spans="1:13" ht="28.5" x14ac:dyDescent="0.2">
      <c r="B62" s="133"/>
      <c r="G62" s="2">
        <f>G57+G60</f>
        <v>668965408</v>
      </c>
      <c r="H62" s="2"/>
      <c r="I62" s="2">
        <f>I57+I60</f>
        <v>583800279</v>
      </c>
      <c r="J62" s="2"/>
      <c r="K62" s="2">
        <f>K57+K60</f>
        <v>601999502</v>
      </c>
      <c r="L62" s="2">
        <f>L57+L60</f>
        <v>0</v>
      </c>
      <c r="M62" s="2">
        <f>M57+M60</f>
        <v>626392511</v>
      </c>
    </row>
    <row r="65" spans="7:14" x14ac:dyDescent="0.2">
      <c r="G65" s="9">
        <v>602000000</v>
      </c>
      <c r="I65" s="9">
        <v>602000000</v>
      </c>
      <c r="K65" s="9">
        <v>602000000</v>
      </c>
      <c r="M65" s="9">
        <v>602000000</v>
      </c>
    </row>
    <row r="67" spans="7:14" x14ac:dyDescent="0.2">
      <c r="G67" s="198">
        <f>G65-G62</f>
        <v>-66965408</v>
      </c>
      <c r="H67" s="198">
        <f t="shared" ref="H67:M67" si="4">H65-H62</f>
        <v>0</v>
      </c>
      <c r="I67" s="198">
        <f t="shared" si="4"/>
        <v>18199721</v>
      </c>
      <c r="J67" s="198">
        <f t="shared" si="4"/>
        <v>0</v>
      </c>
      <c r="K67" s="198">
        <f t="shared" si="4"/>
        <v>498</v>
      </c>
      <c r="L67" s="198">
        <f t="shared" si="4"/>
        <v>0</v>
      </c>
      <c r="M67" s="198">
        <f t="shared" si="4"/>
        <v>-24392511</v>
      </c>
      <c r="N67" s="198"/>
    </row>
  </sheetData>
  <mergeCells count="6">
    <mergeCell ref="A1:M1"/>
    <mergeCell ref="A2:I2"/>
    <mergeCell ref="F3:G3"/>
    <mergeCell ref="H3:I3"/>
    <mergeCell ref="J3:K3"/>
    <mergeCell ref="L3:M3"/>
  </mergeCells>
  <pageMargins left="0.11811023622047245" right="0.11811023622047245" top="0.23622047244094491" bottom="0.23622047244094491" header="0.15748031496062992" footer="0.15748031496062992"/>
  <pageSetup scale="27" fitToHeight="0" orientation="landscape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0000"/>
  </sheetPr>
  <dimension ref="A1:H59"/>
  <sheetViews>
    <sheetView showGridLines="0" zoomScale="60" zoomScaleNormal="60" workbookViewId="0">
      <selection sqref="A1:G1"/>
    </sheetView>
  </sheetViews>
  <sheetFormatPr baseColWidth="10" defaultColWidth="11.42578125" defaultRowHeight="15" x14ac:dyDescent="0.2"/>
  <cols>
    <col min="1" max="1" width="5.85546875" style="8" customWidth="1"/>
    <col min="2" max="2" width="66.28515625" style="1" customWidth="1"/>
    <col min="3" max="3" width="7" style="1" customWidth="1"/>
    <col min="4" max="4" width="10.140625" style="1" customWidth="1"/>
    <col min="5" max="5" width="5.42578125" style="1" customWidth="1"/>
    <col min="6" max="6" width="13.42578125" style="172" customWidth="1"/>
    <col min="7" max="7" width="22.140625" style="1" customWidth="1"/>
    <col min="8" max="8" width="19.85546875" style="1" customWidth="1"/>
    <col min="9" max="16384" width="11.42578125" style="1"/>
  </cols>
  <sheetData>
    <row r="1" spans="1:7" ht="113.25" customHeight="1" x14ac:dyDescent="0.2">
      <c r="A1" s="317" t="s">
        <v>158</v>
      </c>
      <c r="B1" s="317"/>
      <c r="C1" s="317"/>
      <c r="D1" s="317"/>
      <c r="E1" s="317"/>
      <c r="F1" s="317"/>
      <c r="G1" s="317"/>
    </row>
    <row r="2" spans="1:7" ht="23.25" customHeight="1" x14ac:dyDescent="0.2">
      <c r="A2" s="318" t="s">
        <v>148</v>
      </c>
      <c r="B2" s="318"/>
      <c r="C2" s="318"/>
      <c r="D2" s="318"/>
      <c r="E2" s="318"/>
    </row>
    <row r="3" spans="1:7" ht="37.5" customHeight="1" x14ac:dyDescent="0.2">
      <c r="B3" s="12" t="s">
        <v>136</v>
      </c>
      <c r="F3" s="313"/>
      <c r="G3" s="314"/>
    </row>
    <row r="4" spans="1:7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</row>
    <row r="5" spans="1:7" ht="25.5" customHeight="1" x14ac:dyDescent="0.2">
      <c r="A5" s="139"/>
      <c r="B5" s="196" t="s">
        <v>103</v>
      </c>
      <c r="C5" s="134"/>
      <c r="D5" s="134"/>
      <c r="E5" s="134"/>
      <c r="F5" s="135"/>
      <c r="G5" s="134"/>
    </row>
    <row r="6" spans="1:7" ht="51" x14ac:dyDescent="0.2">
      <c r="A6" s="18">
        <v>1</v>
      </c>
      <c r="B6" s="102" t="s">
        <v>13</v>
      </c>
      <c r="C6" s="123" t="s">
        <v>1</v>
      </c>
      <c r="D6" s="51">
        <v>17</v>
      </c>
      <c r="E6" s="103">
        <v>4</v>
      </c>
      <c r="F6" s="17">
        <v>310207</v>
      </c>
      <c r="G6" s="17">
        <f>ROUND((D6*E6*F6),0)</f>
        <v>21094076</v>
      </c>
    </row>
    <row r="7" spans="1:7" ht="63.75" x14ac:dyDescent="0.2">
      <c r="A7" s="18">
        <v>2</v>
      </c>
      <c r="B7" s="102" t="s">
        <v>14</v>
      </c>
      <c r="C7" s="123" t="s">
        <v>2</v>
      </c>
      <c r="D7" s="104">
        <v>3450</v>
      </c>
      <c r="E7" s="103">
        <v>2</v>
      </c>
      <c r="F7" s="17">
        <v>1971</v>
      </c>
      <c r="G7" s="17">
        <f>ROUND((D7*E7*F7),0)</f>
        <v>13599900</v>
      </c>
    </row>
    <row r="8" spans="1:7" ht="63.75" x14ac:dyDescent="0.2">
      <c r="A8" s="18">
        <v>3</v>
      </c>
      <c r="B8" s="102" t="s">
        <v>15</v>
      </c>
      <c r="C8" s="123" t="s">
        <v>2</v>
      </c>
      <c r="D8" s="51">
        <v>2623</v>
      </c>
      <c r="E8" s="103">
        <v>1</v>
      </c>
      <c r="F8" s="17">
        <v>2022</v>
      </c>
      <c r="G8" s="17">
        <f>ROUND((D8*E8*F8),0)</f>
        <v>5303706</v>
      </c>
    </row>
    <row r="9" spans="1:7" ht="25.5" x14ac:dyDescent="0.2">
      <c r="A9" s="18">
        <v>4</v>
      </c>
      <c r="B9" s="105" t="s">
        <v>46</v>
      </c>
      <c r="C9" s="163" t="s">
        <v>1</v>
      </c>
      <c r="D9" s="51">
        <v>15</v>
      </c>
      <c r="E9" s="52">
        <v>2</v>
      </c>
      <c r="F9" s="17">
        <v>196838</v>
      </c>
      <c r="G9" s="17">
        <f>ROUND((D9*E9*F9),0)</f>
        <v>5905140</v>
      </c>
    </row>
    <row r="10" spans="1:7" ht="15.75" x14ac:dyDescent="0.2">
      <c r="A10" s="21"/>
      <c r="B10" s="193" t="s">
        <v>150</v>
      </c>
      <c r="C10" s="52"/>
      <c r="D10" s="51"/>
      <c r="E10" s="52"/>
      <c r="F10" s="143"/>
      <c r="G10" s="144">
        <f>SUM(G6:G9)</f>
        <v>45902822</v>
      </c>
    </row>
    <row r="11" spans="1:7" ht="15.75" x14ac:dyDescent="0.2">
      <c r="A11" s="21"/>
      <c r="B11" s="193" t="s">
        <v>151</v>
      </c>
      <c r="C11" s="52"/>
      <c r="D11" s="51"/>
      <c r="E11" s="52"/>
      <c r="F11" s="173">
        <v>0.19</v>
      </c>
      <c r="G11" s="170">
        <f>ROUND(G10*F11,0)</f>
        <v>8721536</v>
      </c>
    </row>
    <row r="12" spans="1:7" ht="15.75" x14ac:dyDescent="0.2">
      <c r="A12" s="21"/>
      <c r="B12" s="165" t="s">
        <v>135</v>
      </c>
      <c r="C12" s="52"/>
      <c r="D12" s="51"/>
      <c r="E12" s="52"/>
      <c r="F12" s="143"/>
      <c r="G12" s="144">
        <f>SUM(G10:G11)</f>
        <v>54624358</v>
      </c>
    </row>
    <row r="13" spans="1:7" x14ac:dyDescent="0.2">
      <c r="A13" s="21"/>
      <c r="B13" s="105"/>
      <c r="C13" s="52"/>
      <c r="D13" s="51"/>
      <c r="E13" s="52"/>
      <c r="F13" s="143"/>
      <c r="G13" s="144"/>
    </row>
    <row r="14" spans="1:7" ht="15" customHeight="1" x14ac:dyDescent="0.2">
      <c r="A14" s="21"/>
      <c r="B14" s="196" t="s">
        <v>104</v>
      </c>
      <c r="C14" s="52"/>
      <c r="D14" s="51"/>
      <c r="E14" s="52"/>
      <c r="F14" s="17"/>
      <c r="G14" s="17">
        <f t="shared" ref="G14:G20" si="0">ROUND((D14*E14*F14),0)</f>
        <v>0</v>
      </c>
    </row>
    <row r="15" spans="1:7" ht="51" x14ac:dyDescent="0.2">
      <c r="A15" s="42">
        <v>5</v>
      </c>
      <c r="B15" s="22" t="s">
        <v>21</v>
      </c>
      <c r="C15" s="19" t="s">
        <v>1</v>
      </c>
      <c r="D15" s="41">
        <v>20.6</v>
      </c>
      <c r="E15" s="42">
        <v>4</v>
      </c>
      <c r="F15" s="17">
        <v>330163</v>
      </c>
      <c r="G15" s="17">
        <f t="shared" si="0"/>
        <v>27205431</v>
      </c>
    </row>
    <row r="16" spans="1:7" ht="63.75" x14ac:dyDescent="0.2">
      <c r="A16" s="42">
        <v>6</v>
      </c>
      <c r="B16" s="22" t="s">
        <v>14</v>
      </c>
      <c r="C16" s="19" t="s">
        <v>2</v>
      </c>
      <c r="D16" s="41">
        <v>2940</v>
      </c>
      <c r="E16" s="42">
        <v>2</v>
      </c>
      <c r="F16" s="17">
        <v>2056</v>
      </c>
      <c r="G16" s="17">
        <f t="shared" si="0"/>
        <v>12089280</v>
      </c>
    </row>
    <row r="17" spans="1:7" ht="76.5" x14ac:dyDescent="0.2">
      <c r="A17" s="42">
        <v>7</v>
      </c>
      <c r="B17" s="22" t="s">
        <v>23</v>
      </c>
      <c r="C17" s="19" t="s">
        <v>2</v>
      </c>
      <c r="D17" s="41">
        <v>3110</v>
      </c>
      <c r="E17" s="42">
        <v>1</v>
      </c>
      <c r="F17" s="17">
        <v>2089</v>
      </c>
      <c r="G17" s="17">
        <f t="shared" si="0"/>
        <v>6496790</v>
      </c>
    </row>
    <row r="18" spans="1:7" ht="25.5" x14ac:dyDescent="0.2">
      <c r="A18" s="42">
        <v>8</v>
      </c>
      <c r="B18" s="43" t="s">
        <v>24</v>
      </c>
      <c r="C18" s="19" t="s">
        <v>1</v>
      </c>
      <c r="D18" s="41">
        <v>16</v>
      </c>
      <c r="E18" s="42">
        <v>2</v>
      </c>
      <c r="F18" s="17">
        <v>204677</v>
      </c>
      <c r="G18" s="17">
        <f t="shared" si="0"/>
        <v>6549664</v>
      </c>
    </row>
    <row r="19" spans="1:7" ht="78.75" customHeight="1" x14ac:dyDescent="0.2">
      <c r="A19" s="42">
        <v>9</v>
      </c>
      <c r="B19" s="43" t="s">
        <v>149</v>
      </c>
      <c r="C19" s="19" t="s">
        <v>26</v>
      </c>
      <c r="D19" s="41">
        <f>ROUND(944*2+17.6*2,0)+2</f>
        <v>1925</v>
      </c>
      <c r="E19" s="42">
        <v>2</v>
      </c>
      <c r="F19" s="17">
        <v>2582</v>
      </c>
      <c r="G19" s="17">
        <f t="shared" si="0"/>
        <v>9940700</v>
      </c>
    </row>
    <row r="20" spans="1:7" ht="76.5" x14ac:dyDescent="0.2">
      <c r="A20" s="156">
        <v>10</v>
      </c>
      <c r="B20" s="70" t="s">
        <v>27</v>
      </c>
      <c r="C20" s="42" t="s">
        <v>1</v>
      </c>
      <c r="D20" s="41">
        <v>3.4</v>
      </c>
      <c r="E20" s="42">
        <v>1</v>
      </c>
      <c r="F20" s="17">
        <v>1094653</v>
      </c>
      <c r="G20" s="17">
        <f t="shared" si="0"/>
        <v>3721820</v>
      </c>
    </row>
    <row r="21" spans="1:7" ht="15.75" x14ac:dyDescent="0.2">
      <c r="A21" s="42"/>
      <c r="B21" s="193" t="s">
        <v>150</v>
      </c>
      <c r="C21" s="19"/>
      <c r="D21" s="41"/>
      <c r="E21" s="42"/>
      <c r="F21" s="143"/>
      <c r="G21" s="144">
        <f>SUM(G15:G20)</f>
        <v>66003685</v>
      </c>
    </row>
    <row r="22" spans="1:7" ht="15.75" x14ac:dyDescent="0.2">
      <c r="A22" s="42"/>
      <c r="B22" s="193" t="s">
        <v>151</v>
      </c>
      <c r="C22" s="52"/>
      <c r="D22" s="51"/>
      <c r="E22" s="52"/>
      <c r="F22" s="173">
        <v>0.19</v>
      </c>
      <c r="G22" s="170">
        <f>ROUND(G21*F22,0)</f>
        <v>12540700</v>
      </c>
    </row>
    <row r="23" spans="1:7" ht="15.75" x14ac:dyDescent="0.2">
      <c r="A23" s="42"/>
      <c r="B23" s="165" t="s">
        <v>147</v>
      </c>
      <c r="C23" s="19"/>
      <c r="D23" s="41"/>
      <c r="E23" s="42"/>
      <c r="F23" s="143"/>
      <c r="G23" s="144">
        <f>SUM(G21:G22)</f>
        <v>78544385</v>
      </c>
    </row>
    <row r="24" spans="1:7" ht="18.75" customHeight="1" x14ac:dyDescent="0.2">
      <c r="A24" s="42"/>
      <c r="B24" s="22"/>
      <c r="C24" s="19"/>
      <c r="D24" s="41"/>
      <c r="E24" s="42"/>
      <c r="F24" s="17"/>
      <c r="G24" s="17"/>
    </row>
    <row r="25" spans="1:7" x14ac:dyDescent="0.2">
      <c r="A25" s="137"/>
      <c r="B25" s="196" t="str">
        <f>UPPER("aeropuerto Morela de Puerto Berrio - Antioquia")</f>
        <v>AEROPUERTO MORELA DE PUERTO BERRIO - ANTIOQUIA</v>
      </c>
      <c r="C25" s="42"/>
      <c r="D25" s="71"/>
      <c r="E25" s="3"/>
      <c r="F25" s="44"/>
      <c r="G25" s="17">
        <f>ROUND((D25*E25*F25),0)</f>
        <v>0</v>
      </c>
    </row>
    <row r="26" spans="1:7" ht="51" x14ac:dyDescent="0.2">
      <c r="A26" s="18">
        <v>11</v>
      </c>
      <c r="B26" s="102" t="s">
        <v>13</v>
      </c>
      <c r="C26" s="103" t="s">
        <v>1</v>
      </c>
      <c r="D26" s="51">
        <v>15</v>
      </c>
      <c r="E26" s="103">
        <v>4</v>
      </c>
      <c r="F26" s="17">
        <f>'AM,OT,BE,CI,RG'!J27</f>
        <v>331981</v>
      </c>
      <c r="G26" s="17">
        <f>ROUND((D26*E26*F26),0)</f>
        <v>19918860</v>
      </c>
    </row>
    <row r="27" spans="1:7" ht="63.75" x14ac:dyDescent="0.2">
      <c r="A27" s="18">
        <v>12</v>
      </c>
      <c r="B27" s="102" t="s">
        <v>14</v>
      </c>
      <c r="C27" s="103" t="s">
        <v>2</v>
      </c>
      <c r="D27" s="104">
        <v>2721</v>
      </c>
      <c r="E27" s="103">
        <v>2</v>
      </c>
      <c r="F27" s="17">
        <f>'AM,OT,BE,CI,RG'!J28</f>
        <v>2443</v>
      </c>
      <c r="G27" s="17">
        <f>ROUND((D27*E27*F27),0)</f>
        <v>13294806</v>
      </c>
    </row>
    <row r="28" spans="1:7" ht="63.75" x14ac:dyDescent="0.2">
      <c r="A28" s="18">
        <v>13</v>
      </c>
      <c r="B28" s="102" t="s">
        <v>15</v>
      </c>
      <c r="C28" s="103" t="s">
        <v>2</v>
      </c>
      <c r="D28" s="51">
        <v>3200</v>
      </c>
      <c r="E28" s="103">
        <v>2</v>
      </c>
      <c r="F28" s="17">
        <f>'AM,OT,BE,CI,RG'!J29</f>
        <v>2242</v>
      </c>
      <c r="G28" s="17">
        <f>ROUND((D28*E28*F28),0)</f>
        <v>14348800</v>
      </c>
    </row>
    <row r="29" spans="1:7" ht="25.5" x14ac:dyDescent="0.2">
      <c r="A29" s="18">
        <v>14</v>
      </c>
      <c r="B29" s="105" t="s">
        <v>46</v>
      </c>
      <c r="C29" s="52" t="s">
        <v>1</v>
      </c>
      <c r="D29" s="51">
        <v>15</v>
      </c>
      <c r="E29" s="52">
        <v>3</v>
      </c>
      <c r="F29" s="17">
        <f>'AM,OT,BE,CI,RG'!J30</f>
        <v>209775</v>
      </c>
      <c r="G29" s="17">
        <f>ROUND((D29*E29*F29),0)</f>
        <v>9439875</v>
      </c>
    </row>
    <row r="30" spans="1:7" ht="15.75" x14ac:dyDescent="0.2">
      <c r="A30" s="21"/>
      <c r="B30" s="193" t="s">
        <v>150</v>
      </c>
      <c r="C30" s="42"/>
      <c r="D30" s="112"/>
      <c r="E30" s="42"/>
      <c r="F30" s="143"/>
      <c r="G30" s="144">
        <f>SUM(G26:G29)</f>
        <v>57002341</v>
      </c>
    </row>
    <row r="31" spans="1:7" ht="15.75" x14ac:dyDescent="0.2">
      <c r="A31" s="21"/>
      <c r="B31" s="193" t="s">
        <v>151</v>
      </c>
      <c r="C31" s="52"/>
      <c r="D31" s="51"/>
      <c r="E31" s="52"/>
      <c r="F31" s="173">
        <v>0.19</v>
      </c>
      <c r="G31" s="170">
        <f>ROUND(G30*F31,0)</f>
        <v>10830445</v>
      </c>
    </row>
    <row r="32" spans="1:7" ht="15.75" x14ac:dyDescent="0.2">
      <c r="A32" s="21"/>
      <c r="B32" s="165" t="s">
        <v>146</v>
      </c>
      <c r="C32" s="42"/>
      <c r="D32" s="112"/>
      <c r="E32" s="42"/>
      <c r="F32" s="143"/>
      <c r="G32" s="144">
        <f>SUM(G30:G31)</f>
        <v>67832786</v>
      </c>
    </row>
    <row r="33" spans="1:7" x14ac:dyDescent="0.2">
      <c r="A33" s="21"/>
      <c r="B33" s="102"/>
      <c r="C33" s="103"/>
      <c r="D33" s="51"/>
      <c r="E33" s="103"/>
      <c r="F33" s="17"/>
      <c r="G33" s="17"/>
    </row>
    <row r="34" spans="1:7" x14ac:dyDescent="0.2">
      <c r="A34" s="21"/>
      <c r="B34" s="196" t="str">
        <f>UPPER("aeropuerto de Gustavo Rojas Pinilla de Cimitarra - Santander")</f>
        <v>AEROPUERTO DE GUSTAVO ROJAS PINILLA DE CIMITARRA - SANTANDER</v>
      </c>
      <c r="C34" s="52"/>
      <c r="D34" s="51"/>
      <c r="E34" s="52"/>
      <c r="F34" s="17"/>
      <c r="G34" s="17">
        <f>ROUND((D34*E34*F34),0)</f>
        <v>0</v>
      </c>
    </row>
    <row r="35" spans="1:7" ht="51" x14ac:dyDescent="0.2">
      <c r="A35" s="138">
        <v>15</v>
      </c>
      <c r="B35" s="114" t="s">
        <v>13</v>
      </c>
      <c r="C35" s="115" t="s">
        <v>1</v>
      </c>
      <c r="D35" s="116">
        <v>20</v>
      </c>
      <c r="E35" s="42">
        <v>4</v>
      </c>
      <c r="F35" s="17">
        <f>'AM,OT,BE,CI,RG'!J36</f>
        <v>316074</v>
      </c>
      <c r="G35" s="17">
        <f>ROUND((D35*E35*F35),0)</f>
        <v>25285920</v>
      </c>
    </row>
    <row r="36" spans="1:7" ht="63.75" x14ac:dyDescent="0.2">
      <c r="A36" s="138">
        <v>16</v>
      </c>
      <c r="B36" s="70" t="s">
        <v>14</v>
      </c>
      <c r="C36" s="117" t="s">
        <v>2</v>
      </c>
      <c r="D36" s="118">
        <v>2300</v>
      </c>
      <c r="E36" s="42">
        <v>2</v>
      </c>
      <c r="F36" s="17">
        <f>'AM,OT,BE,CI,RG'!J37</f>
        <v>2001</v>
      </c>
      <c r="G36" s="17">
        <f>ROUND((D36*E36*F36),0)</f>
        <v>9204600</v>
      </c>
    </row>
    <row r="37" spans="1:7" ht="63.75" x14ac:dyDescent="0.2">
      <c r="A37" s="138">
        <v>17</v>
      </c>
      <c r="B37" s="70" t="s">
        <v>15</v>
      </c>
      <c r="C37" s="117" t="s">
        <v>2</v>
      </c>
      <c r="D37" s="119">
        <v>3866</v>
      </c>
      <c r="E37" s="42">
        <v>1</v>
      </c>
      <c r="F37" s="17">
        <f>'AM,OT,BE,CI,RG'!J38</f>
        <v>1925</v>
      </c>
      <c r="G37" s="17">
        <f>ROUND((D37*E37*F37),0)</f>
        <v>7442050</v>
      </c>
    </row>
    <row r="38" spans="1:7" ht="25.5" x14ac:dyDescent="0.2">
      <c r="A38" s="138">
        <v>18</v>
      </c>
      <c r="B38" s="120" t="s">
        <v>46</v>
      </c>
      <c r="C38" s="117" t="s">
        <v>1</v>
      </c>
      <c r="D38" s="118">
        <v>15</v>
      </c>
      <c r="E38" s="42">
        <v>2</v>
      </c>
      <c r="F38" s="17">
        <f>'AM,OT,BE,CI,RG'!J39</f>
        <v>194424</v>
      </c>
      <c r="G38" s="17">
        <f>ROUND((D38*E38*F38),0)</f>
        <v>5832720</v>
      </c>
    </row>
    <row r="39" spans="1:7" ht="15.75" x14ac:dyDescent="0.2">
      <c r="A39" s="151"/>
      <c r="B39" s="193" t="s">
        <v>150</v>
      </c>
      <c r="C39" s="42"/>
      <c r="D39" s="112"/>
      <c r="E39" s="42"/>
      <c r="F39" s="143"/>
      <c r="G39" s="144">
        <f>SUM(G35:G38)</f>
        <v>47765290</v>
      </c>
    </row>
    <row r="40" spans="1:7" ht="15.75" x14ac:dyDescent="0.2">
      <c r="A40" s="151"/>
      <c r="B40" s="193" t="s">
        <v>151</v>
      </c>
      <c r="C40" s="52"/>
      <c r="D40" s="51"/>
      <c r="E40" s="52"/>
      <c r="F40" s="173">
        <v>0.19</v>
      </c>
      <c r="G40" s="170">
        <f>ROUND(G39*F40,0)</f>
        <v>9075405</v>
      </c>
    </row>
    <row r="41" spans="1:7" ht="15.75" x14ac:dyDescent="0.2">
      <c r="A41" s="151"/>
      <c r="B41" s="165" t="s">
        <v>145</v>
      </c>
      <c r="C41" s="42"/>
      <c r="D41" s="112"/>
      <c r="E41" s="42"/>
      <c r="F41" s="143"/>
      <c r="G41" s="144">
        <f>SUM(G39:G40)</f>
        <v>56840695</v>
      </c>
    </row>
    <row r="42" spans="1:7" x14ac:dyDescent="0.2">
      <c r="A42" s="151"/>
      <c r="B42" s="10"/>
      <c r="C42" s="42"/>
      <c r="D42" s="112"/>
      <c r="E42" s="42"/>
      <c r="F42" s="143"/>
      <c r="G42" s="144"/>
    </row>
    <row r="43" spans="1:7" x14ac:dyDescent="0.2">
      <c r="A43" s="21"/>
      <c r="B43" s="196" t="s">
        <v>105</v>
      </c>
      <c r="C43" s="52"/>
      <c r="D43" s="51"/>
      <c r="E43" s="52"/>
      <c r="F43" s="17"/>
      <c r="G43" s="17">
        <f>ROUND((D43*E43*F43),0)</f>
        <v>0</v>
      </c>
    </row>
    <row r="44" spans="1:7" ht="63.75" x14ac:dyDescent="0.2">
      <c r="A44" s="140">
        <v>19</v>
      </c>
      <c r="B44" s="22" t="s">
        <v>83</v>
      </c>
      <c r="C44" s="19" t="s">
        <v>1</v>
      </c>
      <c r="D44" s="41">
        <v>7</v>
      </c>
      <c r="E44" s="42">
        <v>5</v>
      </c>
      <c r="F44" s="17">
        <f>'AM,OT,BE,CI,RG'!J45</f>
        <v>302294</v>
      </c>
      <c r="G44" s="17">
        <f>ROUND((D44*E44*F44),0)</f>
        <v>10580290</v>
      </c>
    </row>
    <row r="45" spans="1:7" ht="76.5" x14ac:dyDescent="0.2">
      <c r="A45" s="140">
        <v>20</v>
      </c>
      <c r="B45" s="22" t="s">
        <v>84</v>
      </c>
      <c r="C45" s="19" t="s">
        <v>2</v>
      </c>
      <c r="D45" s="41">
        <v>960</v>
      </c>
      <c r="E45" s="42">
        <v>2</v>
      </c>
      <c r="F45" s="17">
        <f>'AM,OT,BE,CI,RG'!J46</f>
        <v>2195</v>
      </c>
      <c r="G45" s="17">
        <f>ROUND((D45*E45*F45),0)</f>
        <v>4214400</v>
      </c>
    </row>
    <row r="46" spans="1:7" ht="63.75" x14ac:dyDescent="0.2">
      <c r="A46" s="140">
        <v>21</v>
      </c>
      <c r="B46" s="22" t="s">
        <v>85</v>
      </c>
      <c r="C46" s="19" t="s">
        <v>86</v>
      </c>
      <c r="D46" s="41">
        <v>1</v>
      </c>
      <c r="E46" s="42">
        <v>2</v>
      </c>
      <c r="F46" s="17">
        <f>'AM,OT,BE,CI,RG'!J47</f>
        <v>2372626</v>
      </c>
      <c r="G46" s="17">
        <f>ROUND((D46*E46*F46),0)</f>
        <v>4745252</v>
      </c>
    </row>
    <row r="47" spans="1:7" ht="15.75" x14ac:dyDescent="0.2">
      <c r="A47" s="140"/>
      <c r="B47" s="193" t="s">
        <v>150</v>
      </c>
      <c r="C47" s="42"/>
      <c r="D47" s="112"/>
      <c r="E47" s="42"/>
      <c r="F47" s="143"/>
      <c r="G47" s="144">
        <f>SUM(G44:G46)</f>
        <v>19539942</v>
      </c>
    </row>
    <row r="48" spans="1:7" ht="15.75" x14ac:dyDescent="0.2">
      <c r="A48" s="140"/>
      <c r="B48" s="193" t="s">
        <v>151</v>
      </c>
      <c r="C48" s="52"/>
      <c r="D48" s="51"/>
      <c r="E48" s="52"/>
      <c r="F48" s="173">
        <v>0.19</v>
      </c>
      <c r="G48" s="170">
        <f>ROUND(G47*F48,0)</f>
        <v>3712589</v>
      </c>
    </row>
    <row r="49" spans="1:8" ht="15.75" x14ac:dyDescent="0.2">
      <c r="A49" s="140"/>
      <c r="B49" s="165" t="s">
        <v>144</v>
      </c>
      <c r="C49" s="42"/>
      <c r="D49" s="112"/>
      <c r="E49" s="42"/>
      <c r="F49" s="143"/>
      <c r="G49" s="144">
        <f>SUM(G47:G48)</f>
        <v>23252531</v>
      </c>
    </row>
    <row r="50" spans="1:8" x14ac:dyDescent="0.2">
      <c r="A50" s="151"/>
      <c r="B50" s="10"/>
      <c r="C50" s="42"/>
      <c r="D50" s="112"/>
      <c r="E50" s="42"/>
      <c r="F50" s="143"/>
      <c r="G50" s="144"/>
    </row>
    <row r="51" spans="1:8" x14ac:dyDescent="0.2">
      <c r="A51" s="151"/>
      <c r="B51" s="10"/>
      <c r="C51" s="42"/>
      <c r="D51" s="112"/>
      <c r="E51" s="42"/>
      <c r="F51" s="143"/>
      <c r="G51" s="144"/>
    </row>
    <row r="52" spans="1:8" ht="27.75" customHeight="1" x14ac:dyDescent="0.2">
      <c r="A52" s="4"/>
      <c r="B52" s="141" t="s">
        <v>155</v>
      </c>
      <c r="C52" s="10"/>
      <c r="D52" s="141"/>
      <c r="E52" s="141"/>
      <c r="F52" s="143"/>
      <c r="G52" s="144">
        <f>G10+G21+G30+G39+G47</f>
        <v>236214080</v>
      </c>
    </row>
    <row r="53" spans="1:8" ht="15.75" x14ac:dyDescent="0.2">
      <c r="A53" s="4"/>
      <c r="B53" s="193" t="s">
        <v>151</v>
      </c>
      <c r="C53" s="52"/>
      <c r="D53" s="51"/>
      <c r="E53" s="52"/>
      <c r="F53" s="173">
        <v>0.19</v>
      </c>
      <c r="G53" s="170">
        <f>ROUND(G52*F53,0)</f>
        <v>44880675</v>
      </c>
    </row>
    <row r="54" spans="1:8" ht="31.5" customHeight="1" x14ac:dyDescent="0.2">
      <c r="A54" s="4"/>
      <c r="B54" s="141" t="s">
        <v>156</v>
      </c>
      <c r="C54" s="10"/>
      <c r="D54" s="141"/>
      <c r="E54" s="141"/>
      <c r="F54" s="143"/>
      <c r="G54" s="176">
        <f>SUM(G52:G53)</f>
        <v>281094755</v>
      </c>
      <c r="H54" s="9">
        <f>G54/4</f>
        <v>70273688.75</v>
      </c>
    </row>
    <row r="57" spans="1:8" x14ac:dyDescent="0.2">
      <c r="F57" s="174"/>
      <c r="G57" s="2">
        <f>'CN,ML,CO,NU,UR'!K60</f>
        <v>320904747</v>
      </c>
    </row>
    <row r="59" spans="1:8" ht="28.5" x14ac:dyDescent="0.2">
      <c r="B59" s="133"/>
      <c r="F59" s="174"/>
      <c r="G59" s="2">
        <f>G54+G57</f>
        <v>601999502</v>
      </c>
    </row>
  </sheetData>
  <mergeCells count="3">
    <mergeCell ref="A1:G1"/>
    <mergeCell ref="A2:E2"/>
    <mergeCell ref="F3:G3"/>
  </mergeCells>
  <pageMargins left="0.11811023622047245" right="0.11811023622047245" top="0.23622047244094491" bottom="0.78740157480314965" header="0.15748031496062992" footer="0.55118110236220474"/>
  <pageSetup scale="80" fitToHeight="0" orientation="portrait"/>
  <headerFooter alignWithMargins="0">
    <oddFooter>&amp;R&amp;P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FF0000"/>
  </sheetPr>
  <dimension ref="A1:O69"/>
  <sheetViews>
    <sheetView showGridLines="0" zoomScale="60" zoomScaleNormal="60" workbookViewId="0">
      <pane ySplit="7185" topLeftCell="A59"/>
      <selection activeCell="B58" sqref="B58:B60"/>
      <selection pane="bottomLeft" activeCell="G70" sqref="G70"/>
    </sheetView>
  </sheetViews>
  <sheetFormatPr baseColWidth="10" defaultColWidth="11.42578125" defaultRowHeight="15" x14ac:dyDescent="0.2"/>
  <cols>
    <col min="1" max="1" width="8.7109375" style="8" customWidth="1"/>
    <col min="2" max="2" width="49.42578125" style="1" customWidth="1"/>
    <col min="3" max="3" width="4.85546875" style="1" customWidth="1"/>
    <col min="4" max="4" width="14.42578125" style="1" customWidth="1"/>
    <col min="5" max="5" width="5.42578125" style="1" customWidth="1"/>
    <col min="6" max="6" width="13.42578125" style="1" customWidth="1"/>
    <col min="7" max="7" width="25.28515625" style="1" customWidth="1"/>
    <col min="8" max="8" width="13.42578125" style="1" customWidth="1"/>
    <col min="9" max="9" width="26.7109375" style="1" customWidth="1"/>
    <col min="10" max="10" width="13.42578125" style="1" customWidth="1"/>
    <col min="11" max="11" width="26.28515625" style="1" customWidth="1"/>
    <col min="12" max="12" width="13.42578125" style="1" customWidth="1"/>
    <col min="13" max="13" width="25.28515625" style="1" customWidth="1"/>
    <col min="14" max="16384" width="11.42578125" style="1"/>
  </cols>
  <sheetData>
    <row r="1" spans="1:13" ht="70.5" customHeight="1" x14ac:dyDescent="0.2">
      <c r="A1" s="317" t="s">
        <v>108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</row>
    <row r="2" spans="1:13" ht="23.25" customHeight="1" x14ac:dyDescent="0.2">
      <c r="A2" s="318" t="s">
        <v>9</v>
      </c>
      <c r="B2" s="318"/>
      <c r="C2" s="318"/>
      <c r="D2" s="318"/>
      <c r="E2" s="318"/>
      <c r="F2" s="318"/>
      <c r="G2" s="318"/>
      <c r="H2" s="318"/>
      <c r="I2" s="318"/>
    </row>
    <row r="3" spans="1:13" ht="166.5" customHeight="1" x14ac:dyDescent="0.2">
      <c r="B3" s="12" t="s">
        <v>136</v>
      </c>
      <c r="F3" s="313" t="s">
        <v>12</v>
      </c>
      <c r="G3" s="314"/>
      <c r="H3" s="313" t="s">
        <v>16</v>
      </c>
      <c r="I3" s="314"/>
      <c r="J3" s="313" t="s">
        <v>17</v>
      </c>
      <c r="K3" s="314"/>
      <c r="L3" s="296" t="s">
        <v>18</v>
      </c>
      <c r="M3" s="297"/>
    </row>
    <row r="4" spans="1:13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  <c r="H4" s="57" t="s">
        <v>4</v>
      </c>
      <c r="I4" s="56" t="s">
        <v>0</v>
      </c>
      <c r="J4" s="57" t="s">
        <v>4</v>
      </c>
      <c r="K4" s="56" t="s">
        <v>0</v>
      </c>
      <c r="L4" s="57" t="s">
        <v>4</v>
      </c>
      <c r="M4" s="56" t="s">
        <v>0</v>
      </c>
    </row>
    <row r="5" spans="1:13" ht="18.75" customHeight="1" x14ac:dyDescent="0.2">
      <c r="A5" s="42"/>
      <c r="B5" s="22"/>
      <c r="C5" s="19"/>
      <c r="D5" s="41"/>
      <c r="E5" s="42"/>
      <c r="F5" s="17"/>
      <c r="G5" s="17"/>
      <c r="H5" s="17"/>
      <c r="I5" s="17"/>
      <c r="J5" s="17"/>
      <c r="K5" s="17"/>
      <c r="L5" s="17"/>
      <c r="M5" s="17"/>
    </row>
    <row r="6" spans="1:13" x14ac:dyDescent="0.2">
      <c r="A6" s="137"/>
      <c r="B6" s="196" t="str">
        <f>UPPER("aeropuerto Berastegui de Cienaga de Oro - Cordoba")</f>
        <v>AEROPUERTO BERASTEGUI DE CIENAGA DE ORO - CORDOBA</v>
      </c>
      <c r="C6" s="42"/>
      <c r="D6" s="71"/>
      <c r="E6" s="3"/>
      <c r="F6" s="44"/>
      <c r="G6" s="17">
        <f>ROUND((D6*E6*F6),0)</f>
        <v>0</v>
      </c>
      <c r="H6" s="17"/>
      <c r="I6" s="17">
        <f>ROUND((D6*E6*H6),0)</f>
        <v>0</v>
      </c>
      <c r="J6" s="44"/>
      <c r="K6" s="17">
        <f t="shared" ref="K6:K48" si="0">ROUND((D6*E6*J6),0)</f>
        <v>0</v>
      </c>
      <c r="L6" s="44"/>
      <c r="M6" s="17">
        <f t="shared" ref="M6:M48" si="1">ROUND((D6*E6*L6),0)</f>
        <v>0</v>
      </c>
    </row>
    <row r="7" spans="1:13" ht="63.75" x14ac:dyDescent="0.2">
      <c r="A7" s="137">
        <v>1</v>
      </c>
      <c r="B7" s="22" t="s">
        <v>13</v>
      </c>
      <c r="C7" s="137" t="s">
        <v>1</v>
      </c>
      <c r="D7" s="158">
        <v>25</v>
      </c>
      <c r="E7" s="123">
        <v>4</v>
      </c>
      <c r="F7" s="17">
        <f>'Estudiodemercado DEF'!AL35</f>
        <v>319799</v>
      </c>
      <c r="G7" s="17">
        <f>ROUND((D7*E7*F7),0)</f>
        <v>31979900</v>
      </c>
      <c r="H7" s="17">
        <f>'Estudiodemercado DEF'!AN35</f>
        <v>302406</v>
      </c>
      <c r="I7" s="17">
        <f>ROUND((D7*E7*H7),0)</f>
        <v>30240600</v>
      </c>
      <c r="J7" s="17">
        <f>'Estudiodemercado DEF'!AP35</f>
        <v>308302</v>
      </c>
      <c r="K7" s="17">
        <f t="shared" si="0"/>
        <v>30830200</v>
      </c>
      <c r="L7" s="17">
        <f>'Estudiodemercado DEF'!AR35</f>
        <v>312988</v>
      </c>
      <c r="M7" s="17">
        <f t="shared" si="1"/>
        <v>31298800</v>
      </c>
    </row>
    <row r="8" spans="1:13" ht="89.25" hidden="1" x14ac:dyDescent="0.2">
      <c r="A8" s="137">
        <v>2</v>
      </c>
      <c r="B8" s="22" t="s">
        <v>59</v>
      </c>
      <c r="C8" s="137" t="s">
        <v>2</v>
      </c>
      <c r="D8" s="158">
        <v>0</v>
      </c>
      <c r="E8" s="123">
        <v>1</v>
      </c>
      <c r="F8" s="17">
        <f>'Estudiodemercado DEF'!AL36</f>
        <v>2634</v>
      </c>
      <c r="G8" s="17">
        <f>ROUND((D8*E8*F8),0)</f>
        <v>0</v>
      </c>
      <c r="H8" s="17">
        <f>'Estudiodemercado DEF'!AN36</f>
        <v>2236</v>
      </c>
      <c r="I8" s="17">
        <f>ROUND((D8*E8*H8),0)</f>
        <v>0</v>
      </c>
      <c r="J8" s="17">
        <f>'Estudiodemercado DEF'!AP36</f>
        <v>2383</v>
      </c>
      <c r="K8" s="17">
        <f t="shared" si="0"/>
        <v>0</v>
      </c>
      <c r="L8" s="17">
        <f>'Estudiodemercado DEF'!AR36</f>
        <v>2493</v>
      </c>
      <c r="M8" s="17">
        <f t="shared" si="1"/>
        <v>0</v>
      </c>
    </row>
    <row r="9" spans="1:13" ht="76.5" x14ac:dyDescent="0.2">
      <c r="A9" s="137">
        <v>2</v>
      </c>
      <c r="B9" s="22" t="s">
        <v>14</v>
      </c>
      <c r="C9" s="159" t="s">
        <v>2</v>
      </c>
      <c r="D9" s="160">
        <v>2500</v>
      </c>
      <c r="E9" s="161">
        <v>1</v>
      </c>
      <c r="F9" s="17">
        <f>'Estudiodemercado DEF'!AL37</f>
        <v>2624</v>
      </c>
      <c r="G9" s="17">
        <f>ROUND((D9*E9*F9),0)</f>
        <v>6560000</v>
      </c>
      <c r="H9" s="17">
        <f>'Estudiodemercado DEF'!AN37</f>
        <v>2137</v>
      </c>
      <c r="I9" s="17">
        <f>ROUND((D9*E9*H9),0)</f>
        <v>5342500</v>
      </c>
      <c r="J9" s="17">
        <f>'Estudiodemercado DEF'!AP37</f>
        <v>2301</v>
      </c>
      <c r="K9" s="17">
        <f t="shared" si="0"/>
        <v>5752500</v>
      </c>
      <c r="L9" s="17">
        <f>'Estudiodemercado DEF'!AR37</f>
        <v>2426</v>
      </c>
      <c r="M9" s="17">
        <f t="shared" si="1"/>
        <v>6065000</v>
      </c>
    </row>
    <row r="10" spans="1:13" ht="38.25" x14ac:dyDescent="0.2">
      <c r="A10" s="137">
        <v>3</v>
      </c>
      <c r="B10" s="22" t="s">
        <v>46</v>
      </c>
      <c r="C10" s="42" t="s">
        <v>1</v>
      </c>
      <c r="D10" s="162">
        <v>13</v>
      </c>
      <c r="E10" s="163">
        <v>1</v>
      </c>
      <c r="F10" s="17">
        <f>'Estudiodemercado DEF'!AL38</f>
        <v>306143</v>
      </c>
      <c r="G10" s="17">
        <f>ROUND((D10*E10*F10),0)</f>
        <v>3979859</v>
      </c>
      <c r="H10" s="17">
        <f>'Estudiodemercado DEF'!AN38</f>
        <v>196064</v>
      </c>
      <c r="I10" s="17">
        <f>ROUND((D10*E10*H10),0)</f>
        <v>2548832</v>
      </c>
      <c r="J10" s="17">
        <f>'Estudiodemercado DEF'!AP38</f>
        <v>222553</v>
      </c>
      <c r="K10" s="17">
        <f t="shared" si="0"/>
        <v>2893189</v>
      </c>
      <c r="L10" s="17">
        <f>'Estudiodemercado DEF'!AR38</f>
        <v>249489</v>
      </c>
      <c r="M10" s="17">
        <f t="shared" si="1"/>
        <v>3243357</v>
      </c>
    </row>
    <row r="11" spans="1:13" ht="15.75" x14ac:dyDescent="0.2">
      <c r="A11" s="150"/>
      <c r="B11" s="193" t="s">
        <v>150</v>
      </c>
      <c r="C11" s="106"/>
      <c r="D11" s="51"/>
      <c r="E11" s="103"/>
      <c r="F11" s="143"/>
      <c r="G11" s="144">
        <f>SUM(G7:G10)</f>
        <v>42519759</v>
      </c>
      <c r="H11" s="143"/>
      <c r="I11" s="144">
        <f>SUM(I7:I10)</f>
        <v>38131932</v>
      </c>
      <c r="J11" s="143"/>
      <c r="K11" s="144">
        <f>SUM(K7:K10)</f>
        <v>39475889</v>
      </c>
      <c r="L11" s="143"/>
      <c r="M11" s="144">
        <f>SUM(M7:M10)</f>
        <v>40607157</v>
      </c>
    </row>
    <row r="12" spans="1:13" ht="15.75" x14ac:dyDescent="0.2">
      <c r="A12" s="150"/>
      <c r="B12" s="193" t="s">
        <v>151</v>
      </c>
      <c r="C12" s="52"/>
      <c r="D12" s="51"/>
      <c r="E12" s="52"/>
      <c r="F12" s="171">
        <v>0.19</v>
      </c>
      <c r="G12" s="170">
        <f>ROUND(G11*F12,0)</f>
        <v>8078754</v>
      </c>
      <c r="H12" s="171">
        <v>0.19</v>
      </c>
      <c r="I12" s="170">
        <f>ROUND(I11*H12,0)</f>
        <v>7245067</v>
      </c>
      <c r="J12" s="171">
        <v>0.19</v>
      </c>
      <c r="K12" s="170">
        <f>ROUND(K11*J12,0)</f>
        <v>7500419</v>
      </c>
      <c r="L12" s="171">
        <v>0.19</v>
      </c>
      <c r="M12" s="170">
        <f>ROUND(M11*L12,0)</f>
        <v>7715360</v>
      </c>
    </row>
    <row r="13" spans="1:13" ht="15.75" x14ac:dyDescent="0.2">
      <c r="A13" s="150"/>
      <c r="B13" s="165" t="s">
        <v>135</v>
      </c>
      <c r="C13" s="106"/>
      <c r="D13" s="51"/>
      <c r="E13" s="103"/>
      <c r="F13" s="143"/>
      <c r="G13" s="144">
        <f>SUM(G11:G12)</f>
        <v>50598513</v>
      </c>
      <c r="H13" s="143"/>
      <c r="I13" s="144">
        <f>SUM(I11:I12)</f>
        <v>45376999</v>
      </c>
      <c r="J13" s="143"/>
      <c r="K13" s="144">
        <f>SUM(K11:K12)</f>
        <v>46976308</v>
      </c>
      <c r="L13" s="143"/>
      <c r="M13" s="144">
        <f>SUM(M11:M12)</f>
        <v>48322517</v>
      </c>
    </row>
    <row r="14" spans="1:13" x14ac:dyDescent="0.2">
      <c r="A14" s="150"/>
      <c r="B14" s="22"/>
      <c r="C14" s="106"/>
      <c r="D14" s="51"/>
      <c r="E14" s="103"/>
      <c r="F14" s="143"/>
      <c r="G14" s="144"/>
      <c r="H14" s="143"/>
      <c r="I14" s="144"/>
      <c r="J14" s="143"/>
      <c r="K14" s="144"/>
      <c r="L14" s="143"/>
      <c r="M14" s="144"/>
    </row>
    <row r="15" spans="1:13" x14ac:dyDescent="0.2">
      <c r="A15" s="21"/>
      <c r="B15" s="196" t="str">
        <f>UPPER("aeropuerto El Pindo de Montelibano - Cordoba")</f>
        <v>AEROPUERTO EL PINDO DE MONTELIBANO - CORDOBA</v>
      </c>
      <c r="C15" s="52"/>
      <c r="D15" s="51"/>
      <c r="E15" s="52"/>
      <c r="F15" s="17"/>
      <c r="G15" s="17">
        <f>ROUND((D15*E15*F15),0)</f>
        <v>0</v>
      </c>
      <c r="H15" s="17"/>
      <c r="I15" s="17">
        <f>ROUND((D15*E15*H15),0)</f>
        <v>0</v>
      </c>
      <c r="J15" s="17"/>
      <c r="K15" s="17">
        <f t="shared" si="0"/>
        <v>0</v>
      </c>
      <c r="L15" s="17"/>
      <c r="M15" s="17">
        <f t="shared" si="1"/>
        <v>0</v>
      </c>
    </row>
    <row r="16" spans="1:13" ht="63.75" x14ac:dyDescent="0.2">
      <c r="A16" s="18">
        <v>4</v>
      </c>
      <c r="B16" s="22" t="s">
        <v>13</v>
      </c>
      <c r="C16" s="42" t="s">
        <v>1</v>
      </c>
      <c r="D16" s="112">
        <v>11</v>
      </c>
      <c r="E16" s="42">
        <v>4</v>
      </c>
      <c r="F16" s="17">
        <f>'Estudiodemercado DEF'!AJ49</f>
        <v>324289</v>
      </c>
      <c r="G16" s="17">
        <f>ROUND((D16*E16*F16),0)</f>
        <v>14268716</v>
      </c>
      <c r="H16" s="17">
        <f>'Estudiodemercado DEF'!AL49</f>
        <v>305632</v>
      </c>
      <c r="I16" s="17">
        <f>ROUND((D16*E16*H16),0)</f>
        <v>13447808</v>
      </c>
      <c r="J16" s="17">
        <f>'Estudiodemercado DEF'!AN49</f>
        <v>309804</v>
      </c>
      <c r="K16" s="17">
        <f t="shared" si="0"/>
        <v>13631376</v>
      </c>
      <c r="L16" s="17">
        <f>'Estudiodemercado DEF'!AP49</f>
        <v>315763</v>
      </c>
      <c r="M16" s="17">
        <f t="shared" si="1"/>
        <v>13893572</v>
      </c>
    </row>
    <row r="17" spans="1:13" ht="89.25" x14ac:dyDescent="0.2">
      <c r="A17" s="18">
        <v>5</v>
      </c>
      <c r="B17" s="22" t="s">
        <v>15</v>
      </c>
      <c r="C17" s="42" t="s">
        <v>2</v>
      </c>
      <c r="D17" s="112">
        <v>2769</v>
      </c>
      <c r="E17" s="42">
        <v>1</v>
      </c>
      <c r="F17" s="17">
        <f>'Estudiodemercado DEF'!AJ50</f>
        <v>2387</v>
      </c>
      <c r="G17" s="17">
        <f>ROUND((D17*E17*F17),0)</f>
        <v>6609603</v>
      </c>
      <c r="H17" s="17">
        <f>'Estudiodemercado DEF'!AL50</f>
        <v>2104</v>
      </c>
      <c r="I17" s="17">
        <f>ROUND((D17*E17*H17),0)</f>
        <v>5825976</v>
      </c>
      <c r="J17" s="17">
        <f>'Estudiodemercado DEF'!AN50</f>
        <v>2262</v>
      </c>
      <c r="K17" s="17">
        <f t="shared" si="0"/>
        <v>6263478</v>
      </c>
      <c r="L17" s="17">
        <f>'Estudiodemercado DEF'!AP50</f>
        <v>2320</v>
      </c>
      <c r="M17" s="17">
        <f t="shared" si="1"/>
        <v>6424080</v>
      </c>
    </row>
    <row r="18" spans="1:13" ht="38.25" x14ac:dyDescent="0.2">
      <c r="A18" s="18">
        <v>6</v>
      </c>
      <c r="B18" s="22" t="s">
        <v>46</v>
      </c>
      <c r="C18" s="42" t="s">
        <v>1</v>
      </c>
      <c r="D18" s="112">
        <v>13</v>
      </c>
      <c r="E18" s="42">
        <v>2</v>
      </c>
      <c r="F18" s="17">
        <f>'Estudiodemercado DEF'!AJ51</f>
        <v>293304</v>
      </c>
      <c r="G18" s="17">
        <f>ROUND((D18*E18*F18),0)</f>
        <v>7625904</v>
      </c>
      <c r="H18" s="17">
        <f>'Estudiodemercado DEF'!AL51</f>
        <v>180000</v>
      </c>
      <c r="I18" s="17">
        <f>ROUND((D18*E18*H18),0)</f>
        <v>4680000</v>
      </c>
      <c r="J18" s="17">
        <f>'Estudiodemercado DEF'!AN51</f>
        <v>204149</v>
      </c>
      <c r="K18" s="17">
        <f t="shared" si="0"/>
        <v>5307874</v>
      </c>
      <c r="L18" s="17">
        <f>'Estudiodemercado DEF'!AP51</f>
        <v>229847</v>
      </c>
      <c r="M18" s="17">
        <f t="shared" si="1"/>
        <v>5976022</v>
      </c>
    </row>
    <row r="19" spans="1:13" ht="63.75" x14ac:dyDescent="0.2">
      <c r="A19" s="18">
        <v>7</v>
      </c>
      <c r="B19" s="43" t="s">
        <v>149</v>
      </c>
      <c r="C19" s="42" t="s">
        <v>26</v>
      </c>
      <c r="D19" s="112">
        <f>1100*2</f>
        <v>2200</v>
      </c>
      <c r="E19" s="42">
        <v>1</v>
      </c>
      <c r="F19" s="17">
        <f>'Estudiodemercado DEF'!AJ52</f>
        <v>2808</v>
      </c>
      <c r="G19" s="17">
        <f>ROUND((D19*E19*F19),0)</f>
        <v>6177600</v>
      </c>
      <c r="H19" s="17">
        <f>'Estudiodemercado DEF'!AL52</f>
        <v>2800</v>
      </c>
      <c r="I19" s="17">
        <f>ROUND((D19*E19*H19),0)</f>
        <v>6160000</v>
      </c>
      <c r="J19" s="17">
        <f>'Estudiodemercado DEF'!AN52</f>
        <v>2514</v>
      </c>
      <c r="K19" s="17">
        <f t="shared" si="0"/>
        <v>5530800</v>
      </c>
      <c r="L19" s="17">
        <f>'Estudiodemercado DEF'!AP52</f>
        <v>2660</v>
      </c>
      <c r="M19" s="17">
        <f t="shared" si="1"/>
        <v>5852000</v>
      </c>
    </row>
    <row r="20" spans="1:13" ht="15.75" x14ac:dyDescent="0.2">
      <c r="A20" s="21"/>
      <c r="B20" s="193" t="s">
        <v>150</v>
      </c>
      <c r="C20" s="42"/>
      <c r="D20" s="112"/>
      <c r="E20" s="42"/>
      <c r="F20" s="143"/>
      <c r="G20" s="144">
        <f>SUM(G16:G19)</f>
        <v>34681823</v>
      </c>
      <c r="H20" s="143"/>
      <c r="I20" s="144">
        <f>SUM(I16:I19)</f>
        <v>30113784</v>
      </c>
      <c r="J20" s="143"/>
      <c r="K20" s="144">
        <f>SUM(K16:K19)</f>
        <v>30733528</v>
      </c>
      <c r="L20" s="143"/>
      <c r="M20" s="144">
        <f>SUM(M16:M19)</f>
        <v>32145674</v>
      </c>
    </row>
    <row r="21" spans="1:13" ht="15.75" x14ac:dyDescent="0.2">
      <c r="A21" s="21"/>
      <c r="B21" s="193" t="s">
        <v>151</v>
      </c>
      <c r="C21" s="52"/>
      <c r="D21" s="51"/>
      <c r="E21" s="52"/>
      <c r="F21" s="171">
        <v>0.19</v>
      </c>
      <c r="G21" s="170">
        <f>ROUND(G20*F21,0)</f>
        <v>6589546</v>
      </c>
      <c r="H21" s="171">
        <v>0.19</v>
      </c>
      <c r="I21" s="170">
        <f>ROUND(I20*H21,0)</f>
        <v>5721619</v>
      </c>
      <c r="J21" s="171">
        <v>0.19</v>
      </c>
      <c r="K21" s="170">
        <f>ROUND(K20*J21,0)</f>
        <v>5839370</v>
      </c>
      <c r="L21" s="171">
        <v>0.19</v>
      </c>
      <c r="M21" s="170">
        <f>ROUND(M20*L21,0)</f>
        <v>6107678</v>
      </c>
    </row>
    <row r="22" spans="1:13" ht="15.75" x14ac:dyDescent="0.2">
      <c r="A22" s="21"/>
      <c r="B22" s="165" t="s">
        <v>147</v>
      </c>
      <c r="C22" s="42"/>
      <c r="D22" s="112"/>
      <c r="E22" s="42"/>
      <c r="F22" s="143"/>
      <c r="G22" s="144">
        <f>SUM(G20:G21)</f>
        <v>41271369</v>
      </c>
      <c r="H22" s="143"/>
      <c r="I22" s="144">
        <f>SUM(I20:I21)</f>
        <v>35835403</v>
      </c>
      <c r="J22" s="143"/>
      <c r="K22" s="144">
        <f>SUM(K20:K21)</f>
        <v>36572898</v>
      </c>
      <c r="L22" s="143"/>
      <c r="M22" s="144">
        <f>SUM(M20:M21)</f>
        <v>38253352</v>
      </c>
    </row>
    <row r="23" spans="1:13" x14ac:dyDescent="0.2">
      <c r="A23" s="21"/>
      <c r="B23" s="22"/>
      <c r="C23" s="42"/>
      <c r="D23" s="112"/>
      <c r="E23" s="42"/>
      <c r="F23" s="143"/>
      <c r="G23" s="144"/>
      <c r="H23" s="143"/>
      <c r="I23" s="144"/>
      <c r="J23" s="143"/>
      <c r="K23" s="144"/>
      <c r="L23" s="143"/>
      <c r="M23" s="144"/>
    </row>
    <row r="24" spans="1:13" x14ac:dyDescent="0.2">
      <c r="A24" s="137"/>
      <c r="B24" s="196" t="str">
        <f>UPPER("aeropuerto Mandinga de Condoto - Chocó")</f>
        <v>AEROPUERTO MANDINGA DE CONDOTO - CHOCÓ</v>
      </c>
      <c r="C24" s="42"/>
      <c r="D24" s="71"/>
      <c r="E24" s="3"/>
      <c r="F24" s="44"/>
      <c r="G24" s="17">
        <f t="shared" ref="G24:G31" si="2">ROUND((D24*E24*F24),0)</f>
        <v>0</v>
      </c>
      <c r="H24" s="17"/>
      <c r="I24" s="17">
        <f t="shared" ref="I24:I31" si="3">ROUND((D24*E24*H24),0)</f>
        <v>0</v>
      </c>
      <c r="J24" s="44"/>
      <c r="K24" s="17">
        <f t="shared" si="0"/>
        <v>0</v>
      </c>
      <c r="L24" s="44"/>
      <c r="M24" s="17">
        <f t="shared" si="1"/>
        <v>0</v>
      </c>
    </row>
    <row r="25" spans="1:13" ht="63.75" customHeight="1" x14ac:dyDescent="0.2">
      <c r="A25" s="18">
        <v>8</v>
      </c>
      <c r="B25" s="22" t="s">
        <v>13</v>
      </c>
      <c r="C25" s="42" t="s">
        <v>1</v>
      </c>
      <c r="D25" s="112">
        <v>32</v>
      </c>
      <c r="E25" s="42">
        <v>4</v>
      </c>
      <c r="F25" s="17">
        <f>'Estudiodemercado DEF'!AL91</f>
        <v>375447</v>
      </c>
      <c r="G25" s="17">
        <f t="shared" si="2"/>
        <v>48057216</v>
      </c>
      <c r="H25" s="17">
        <f>'Estudiodemercado DEF'!AN91</f>
        <v>335000</v>
      </c>
      <c r="I25" s="17">
        <f t="shared" si="3"/>
        <v>42880000</v>
      </c>
      <c r="J25" s="17">
        <f>'Estudiodemercado DEF'!AP91</f>
        <v>357079</v>
      </c>
      <c r="K25" s="17">
        <f t="shared" si="0"/>
        <v>45706112</v>
      </c>
      <c r="L25" s="17">
        <f>'Estudiodemercado DEF'!AR91</f>
        <v>364580</v>
      </c>
      <c r="M25" s="17">
        <f t="shared" si="1"/>
        <v>46666240</v>
      </c>
    </row>
    <row r="26" spans="1:13" ht="75.75" customHeight="1" x14ac:dyDescent="0.2">
      <c r="A26" s="18">
        <v>9</v>
      </c>
      <c r="B26" s="22" t="s">
        <v>14</v>
      </c>
      <c r="C26" s="42" t="s">
        <v>2</v>
      </c>
      <c r="D26" s="112">
        <v>2944</v>
      </c>
      <c r="E26" s="42">
        <v>2</v>
      </c>
      <c r="F26" s="17">
        <f>'Estudiodemercado DEF'!AL92</f>
        <v>2436</v>
      </c>
      <c r="G26" s="17">
        <f t="shared" si="2"/>
        <v>14343168</v>
      </c>
      <c r="H26" s="17">
        <f>'Estudiodemercado DEF'!AN92</f>
        <v>1984</v>
      </c>
      <c r="I26" s="17">
        <f t="shared" si="3"/>
        <v>11681792</v>
      </c>
      <c r="J26" s="17">
        <f>'Estudiodemercado DEF'!AP92</f>
        <v>2181</v>
      </c>
      <c r="K26" s="17">
        <f t="shared" si="0"/>
        <v>12841728</v>
      </c>
      <c r="L26" s="17">
        <f>'Estudiodemercado DEF'!AR92</f>
        <v>2277</v>
      </c>
      <c r="M26" s="17">
        <f t="shared" si="1"/>
        <v>13406976</v>
      </c>
    </row>
    <row r="27" spans="1:13" ht="79.5" customHeight="1" x14ac:dyDescent="0.2">
      <c r="A27" s="18">
        <v>10</v>
      </c>
      <c r="B27" s="22" t="s">
        <v>80</v>
      </c>
      <c r="C27" s="42" t="s">
        <v>26</v>
      </c>
      <c r="D27" s="112">
        <v>500</v>
      </c>
      <c r="E27" s="42">
        <v>1</v>
      </c>
      <c r="F27" s="17">
        <f>'Estudiodemercado DEF'!AL93</f>
        <v>10439</v>
      </c>
      <c r="G27" s="17">
        <f t="shared" si="2"/>
        <v>5219500</v>
      </c>
      <c r="H27" s="17">
        <f>'Estudiodemercado DEF'!AN93</f>
        <v>4285</v>
      </c>
      <c r="I27" s="17">
        <f t="shared" si="3"/>
        <v>2142500</v>
      </c>
      <c r="J27" s="17">
        <f>'Estudiodemercado DEF'!AP93</f>
        <v>4574</v>
      </c>
      <c r="K27" s="17">
        <f t="shared" si="0"/>
        <v>2287000</v>
      </c>
      <c r="L27" s="17">
        <f>'Estudiodemercado DEF'!AR93</f>
        <v>5510</v>
      </c>
      <c r="M27" s="17">
        <f t="shared" si="1"/>
        <v>2755000</v>
      </c>
    </row>
    <row r="28" spans="1:13" ht="89.25" x14ac:dyDescent="0.2">
      <c r="A28" s="18">
        <v>11</v>
      </c>
      <c r="B28" s="22" t="s">
        <v>15</v>
      </c>
      <c r="C28" s="42" t="s">
        <v>2</v>
      </c>
      <c r="D28" s="112">
        <v>4180</v>
      </c>
      <c r="E28" s="42">
        <v>1</v>
      </c>
      <c r="F28" s="17">
        <f>'Estudiodemercado DEF'!AL94</f>
        <v>2344</v>
      </c>
      <c r="G28" s="17">
        <f t="shared" si="2"/>
        <v>9797920</v>
      </c>
      <c r="H28" s="17">
        <f>'Estudiodemercado DEF'!AN94</f>
        <v>2195</v>
      </c>
      <c r="I28" s="17">
        <f t="shared" si="3"/>
        <v>9175100</v>
      </c>
      <c r="J28" s="17">
        <f>'Estudiodemercado DEF'!AP94</f>
        <v>2237</v>
      </c>
      <c r="K28" s="17">
        <f t="shared" si="0"/>
        <v>9350660</v>
      </c>
      <c r="L28" s="17">
        <f>'Estudiodemercado DEF'!AR94</f>
        <v>2287</v>
      </c>
      <c r="M28" s="17">
        <f t="shared" si="1"/>
        <v>9559660</v>
      </c>
    </row>
    <row r="29" spans="1:13" ht="43.5" customHeight="1" x14ac:dyDescent="0.2">
      <c r="A29" s="18">
        <v>12</v>
      </c>
      <c r="B29" s="22" t="s">
        <v>81</v>
      </c>
      <c r="C29" s="42" t="s">
        <v>1</v>
      </c>
      <c r="D29" s="112">
        <v>14</v>
      </c>
      <c r="E29" s="42">
        <v>2</v>
      </c>
      <c r="F29" s="17">
        <f>'Estudiodemercado DEF'!AL95</f>
        <v>281765</v>
      </c>
      <c r="G29" s="17">
        <f t="shared" si="2"/>
        <v>7889420</v>
      </c>
      <c r="H29" s="17">
        <f>'Estudiodemercado DEF'!AN95</f>
        <v>184267</v>
      </c>
      <c r="I29" s="17">
        <f t="shared" si="3"/>
        <v>5159476</v>
      </c>
      <c r="J29" s="17">
        <f>'Estudiodemercado DEF'!AP95</f>
        <v>204115</v>
      </c>
      <c r="K29" s="17">
        <f t="shared" si="0"/>
        <v>5715220</v>
      </c>
      <c r="L29" s="17">
        <f>'Estudiodemercado DEF'!AR95</f>
        <v>226503</v>
      </c>
      <c r="M29" s="17">
        <f t="shared" si="1"/>
        <v>6342084</v>
      </c>
    </row>
    <row r="30" spans="1:13" ht="79.5" customHeight="1" x14ac:dyDescent="0.2">
      <c r="A30" s="18">
        <v>13</v>
      </c>
      <c r="B30" s="43" t="s">
        <v>149</v>
      </c>
      <c r="C30" s="42" t="s">
        <v>26</v>
      </c>
      <c r="D30" s="112">
        <f>1150*2</f>
        <v>2300</v>
      </c>
      <c r="E30" s="42">
        <v>1</v>
      </c>
      <c r="F30" s="17">
        <f>'Estudiodemercado DEF'!AL96</f>
        <v>2825</v>
      </c>
      <c r="G30" s="17">
        <f t="shared" si="2"/>
        <v>6497500</v>
      </c>
      <c r="H30" s="17">
        <f>'Estudiodemercado DEF'!AN96</f>
        <v>3000</v>
      </c>
      <c r="I30" s="17">
        <f t="shared" si="3"/>
        <v>6900000</v>
      </c>
      <c r="J30" s="17">
        <f>'Estudiodemercado DEF'!AP96</f>
        <v>2540</v>
      </c>
      <c r="K30" s="17">
        <f t="shared" si="0"/>
        <v>5842000</v>
      </c>
      <c r="L30" s="17">
        <f>'Estudiodemercado DEF'!AR96</f>
        <v>2682</v>
      </c>
      <c r="M30" s="17">
        <f t="shared" si="1"/>
        <v>6168600</v>
      </c>
    </row>
    <row r="31" spans="1:13" ht="102" x14ac:dyDescent="0.2">
      <c r="A31" s="18">
        <v>14</v>
      </c>
      <c r="B31" s="22" t="s">
        <v>27</v>
      </c>
      <c r="C31" s="42" t="s">
        <v>1</v>
      </c>
      <c r="D31" s="122">
        <v>3</v>
      </c>
      <c r="E31" s="123">
        <v>1</v>
      </c>
      <c r="F31" s="17">
        <f>'Estudiodemercado DEF'!AL97</f>
        <v>1285881</v>
      </c>
      <c r="G31" s="17">
        <f t="shared" si="2"/>
        <v>3857643</v>
      </c>
      <c r="H31" s="17">
        <f>'Estudiodemercado DEF'!AN97</f>
        <v>1150000</v>
      </c>
      <c r="I31" s="17">
        <f t="shared" si="3"/>
        <v>3450000</v>
      </c>
      <c r="J31" s="17">
        <f>'Estudiodemercado DEF'!AP97</f>
        <v>1193706</v>
      </c>
      <c r="K31" s="17">
        <f t="shared" si="0"/>
        <v>3581118</v>
      </c>
      <c r="L31" s="17">
        <f>'Estudiodemercado DEF'!AR97</f>
        <v>1234030</v>
      </c>
      <c r="M31" s="17">
        <f t="shared" si="1"/>
        <v>3702090</v>
      </c>
    </row>
    <row r="32" spans="1:13" ht="15.75" x14ac:dyDescent="0.2">
      <c r="A32" s="21"/>
      <c r="B32" s="193" t="s">
        <v>150</v>
      </c>
      <c r="C32" s="42"/>
      <c r="D32" s="112"/>
      <c r="E32" s="42"/>
      <c r="F32" s="143"/>
      <c r="G32" s="144">
        <f>SUM(G25:G31)</f>
        <v>95662367</v>
      </c>
      <c r="H32" s="143"/>
      <c r="I32" s="144">
        <f>SUM(I25:I31)</f>
        <v>81388868</v>
      </c>
      <c r="J32" s="143"/>
      <c r="K32" s="144">
        <f>SUM(K25:K31)</f>
        <v>85323838</v>
      </c>
      <c r="L32" s="143"/>
      <c r="M32" s="144">
        <f>SUM(M25:M31)</f>
        <v>88600650</v>
      </c>
    </row>
    <row r="33" spans="1:13" ht="15.75" x14ac:dyDescent="0.2">
      <c r="A33" s="21"/>
      <c r="B33" s="193" t="s">
        <v>151</v>
      </c>
      <c r="C33" s="52"/>
      <c r="D33" s="51"/>
      <c r="E33" s="52"/>
      <c r="F33" s="171">
        <v>0.19</v>
      </c>
      <c r="G33" s="170">
        <f>ROUND(G32*F33,0)</f>
        <v>18175850</v>
      </c>
      <c r="H33" s="171">
        <v>0.19</v>
      </c>
      <c r="I33" s="170">
        <f>ROUND(I32*H33,0)</f>
        <v>15463885</v>
      </c>
      <c r="J33" s="171">
        <v>0.19</v>
      </c>
      <c r="K33" s="170">
        <f>ROUND(K32*J33,0)</f>
        <v>16211529</v>
      </c>
      <c r="L33" s="171">
        <v>0.19</v>
      </c>
      <c r="M33" s="170">
        <f>ROUND(M32*L33,0)</f>
        <v>16834124</v>
      </c>
    </row>
    <row r="34" spans="1:13" ht="15.75" x14ac:dyDescent="0.2">
      <c r="A34" s="21"/>
      <c r="B34" s="165" t="s">
        <v>146</v>
      </c>
      <c r="C34" s="42"/>
      <c r="D34" s="112"/>
      <c r="E34" s="42"/>
      <c r="F34" s="143"/>
      <c r="G34" s="144">
        <f>SUM(G32:G33)</f>
        <v>113838217</v>
      </c>
      <c r="H34" s="143"/>
      <c r="I34" s="144">
        <f>SUM(I32:I33)</f>
        <v>96852753</v>
      </c>
      <c r="J34" s="143"/>
      <c r="K34" s="144">
        <f>SUM(K32:K33)</f>
        <v>101535367</v>
      </c>
      <c r="L34" s="143"/>
      <c r="M34" s="144">
        <f>SUM(M32:M33)</f>
        <v>105434774</v>
      </c>
    </row>
    <row r="35" spans="1:13" x14ac:dyDescent="0.2">
      <c r="A35" s="21"/>
      <c r="B35" s="10"/>
      <c r="C35" s="42"/>
      <c r="D35" s="112"/>
      <c r="E35" s="42"/>
      <c r="F35" s="143"/>
      <c r="G35" s="144"/>
      <c r="H35" s="143"/>
      <c r="I35" s="144"/>
      <c r="J35" s="143"/>
      <c r="K35" s="144"/>
      <c r="L35" s="143"/>
      <c r="M35" s="144"/>
    </row>
    <row r="36" spans="1:13" x14ac:dyDescent="0.2">
      <c r="A36" s="137"/>
      <c r="B36" s="196" t="str">
        <f>UPPER("aeropuerto Reyes Murillo de Nuqui - Chocó")</f>
        <v>AEROPUERTO REYES MURILLO DE NUQUI - CHOCÓ</v>
      </c>
      <c r="C36" s="42"/>
      <c r="D36" s="71"/>
      <c r="E36" s="3"/>
      <c r="F36" s="44"/>
      <c r="G36" s="17">
        <f t="shared" ref="G36:G42" si="4">ROUND((D36*E36*F36),0)</f>
        <v>0</v>
      </c>
      <c r="H36" s="17"/>
      <c r="I36" s="17">
        <f t="shared" ref="I36:I42" si="5">ROUND((D36*E36*H36),0)</f>
        <v>0</v>
      </c>
      <c r="J36" s="44"/>
      <c r="K36" s="17">
        <f t="shared" si="0"/>
        <v>0</v>
      </c>
      <c r="L36" s="44"/>
      <c r="M36" s="17">
        <f t="shared" si="1"/>
        <v>0</v>
      </c>
    </row>
    <row r="37" spans="1:13" ht="63.75" x14ac:dyDescent="0.2">
      <c r="A37" s="124">
        <v>15</v>
      </c>
      <c r="B37" s="102" t="s">
        <v>13</v>
      </c>
      <c r="C37" s="163" t="s">
        <v>1</v>
      </c>
      <c r="D37" s="164">
        <v>16</v>
      </c>
      <c r="E37" s="42">
        <v>4</v>
      </c>
      <c r="F37" s="17">
        <f>'Estudiodemercado DEF'!AL121</f>
        <v>395051</v>
      </c>
      <c r="G37" s="17">
        <f t="shared" si="4"/>
        <v>25283264</v>
      </c>
      <c r="H37" s="17">
        <f>'Estudiodemercado DEF'!AN121</f>
        <v>373875</v>
      </c>
      <c r="I37" s="17">
        <f t="shared" si="5"/>
        <v>23928000</v>
      </c>
      <c r="J37" s="17">
        <f>'Estudiodemercado DEF'!AP121</f>
        <v>377267</v>
      </c>
      <c r="K37" s="17">
        <f t="shared" si="0"/>
        <v>24145088</v>
      </c>
      <c r="L37" s="17">
        <f>'Estudiodemercado DEF'!AR121</f>
        <v>384972</v>
      </c>
      <c r="M37" s="17">
        <f t="shared" si="1"/>
        <v>24638208</v>
      </c>
    </row>
    <row r="38" spans="1:13" ht="76.5" x14ac:dyDescent="0.2">
      <c r="A38" s="124">
        <v>16</v>
      </c>
      <c r="B38" s="102" t="s">
        <v>14</v>
      </c>
      <c r="C38" s="163" t="s">
        <v>2</v>
      </c>
      <c r="D38" s="164">
        <v>3000</v>
      </c>
      <c r="E38" s="42">
        <v>2</v>
      </c>
      <c r="F38" s="17">
        <f>'Estudiodemercado DEF'!AL122</f>
        <v>2575</v>
      </c>
      <c r="G38" s="17">
        <f t="shared" si="4"/>
        <v>15450000</v>
      </c>
      <c r="H38" s="17">
        <f>'Estudiodemercado DEF'!AN122</f>
        <v>2192</v>
      </c>
      <c r="I38" s="17">
        <f t="shared" si="5"/>
        <v>13152000</v>
      </c>
      <c r="J38" s="17">
        <f>'Estudiodemercado DEF'!AP122</f>
        <v>2326</v>
      </c>
      <c r="K38" s="17">
        <f t="shared" si="0"/>
        <v>13956000</v>
      </c>
      <c r="L38" s="17">
        <f>'Estudiodemercado DEF'!AR122</f>
        <v>2424</v>
      </c>
      <c r="M38" s="17">
        <f t="shared" si="1"/>
        <v>14544000</v>
      </c>
    </row>
    <row r="39" spans="1:13" ht="89.25" x14ac:dyDescent="0.2">
      <c r="A39" s="124">
        <v>17</v>
      </c>
      <c r="B39" s="102" t="s">
        <v>15</v>
      </c>
      <c r="C39" s="163" t="s">
        <v>2</v>
      </c>
      <c r="D39" s="164">
        <v>3143</v>
      </c>
      <c r="E39" s="42">
        <v>1</v>
      </c>
      <c r="F39" s="17">
        <f>'Estudiodemercado DEF'!AL123</f>
        <v>2402</v>
      </c>
      <c r="G39" s="17">
        <f t="shared" si="4"/>
        <v>7549486</v>
      </c>
      <c r="H39" s="17">
        <f>'Estudiodemercado DEF'!AN123</f>
        <v>2257</v>
      </c>
      <c r="I39" s="17">
        <f t="shared" si="5"/>
        <v>7093751</v>
      </c>
      <c r="J39" s="17">
        <f>'Estudiodemercado DEF'!AP123</f>
        <v>2288</v>
      </c>
      <c r="K39" s="17">
        <f t="shared" si="0"/>
        <v>7191184</v>
      </c>
      <c r="L39" s="17">
        <f>'Estudiodemercado DEF'!AR123</f>
        <v>2343</v>
      </c>
      <c r="M39" s="17">
        <f t="shared" si="1"/>
        <v>7364049</v>
      </c>
    </row>
    <row r="40" spans="1:13" ht="38.25" x14ac:dyDescent="0.2">
      <c r="A40" s="124">
        <v>18</v>
      </c>
      <c r="B40" s="102" t="s">
        <v>46</v>
      </c>
      <c r="C40" s="163" t="s">
        <v>1</v>
      </c>
      <c r="D40" s="164">
        <v>14</v>
      </c>
      <c r="E40" s="42">
        <v>2</v>
      </c>
      <c r="F40" s="17">
        <f>'Estudiodemercado DEF'!AL124</f>
        <v>335108</v>
      </c>
      <c r="G40" s="17">
        <f t="shared" si="4"/>
        <v>9383024</v>
      </c>
      <c r="H40" s="17">
        <f>'Estudiodemercado DEF'!AN124</f>
        <v>202771</v>
      </c>
      <c r="I40" s="17">
        <f t="shared" si="5"/>
        <v>5677588</v>
      </c>
      <c r="J40" s="17">
        <f>'Estudiodemercado DEF'!AP124</f>
        <v>234114</v>
      </c>
      <c r="K40" s="17">
        <f t="shared" si="0"/>
        <v>6555192</v>
      </c>
      <c r="L40" s="17">
        <f>'Estudiodemercado DEF'!AR124</f>
        <v>266813</v>
      </c>
      <c r="M40" s="17">
        <f t="shared" si="1"/>
        <v>7470764</v>
      </c>
    </row>
    <row r="41" spans="1:13" ht="67.5" customHeight="1" x14ac:dyDescent="0.2">
      <c r="A41" s="124">
        <v>19</v>
      </c>
      <c r="B41" s="43" t="s">
        <v>149</v>
      </c>
      <c r="C41" s="163" t="s">
        <v>26</v>
      </c>
      <c r="D41" s="164">
        <f>1200*2+100*2+50*2</f>
        <v>2700</v>
      </c>
      <c r="E41" s="42">
        <v>1</v>
      </c>
      <c r="F41" s="17">
        <f>'Estudiodemercado DEF'!AL125</f>
        <v>2969</v>
      </c>
      <c r="G41" s="17">
        <f t="shared" si="4"/>
        <v>8016300</v>
      </c>
      <c r="H41" s="17">
        <f>'Estudiodemercado DEF'!AN125</f>
        <v>3125</v>
      </c>
      <c r="I41" s="17">
        <f t="shared" si="5"/>
        <v>8437500</v>
      </c>
      <c r="J41" s="17">
        <f>'Estudiodemercado DEF'!AP125</f>
        <v>2713</v>
      </c>
      <c r="K41" s="17">
        <f t="shared" si="0"/>
        <v>7325100</v>
      </c>
      <c r="L41" s="17">
        <f>'Estudiodemercado DEF'!AR125</f>
        <v>2845</v>
      </c>
      <c r="M41" s="17">
        <f t="shared" si="1"/>
        <v>7681500</v>
      </c>
    </row>
    <row r="42" spans="1:13" ht="165.75" x14ac:dyDescent="0.2">
      <c r="A42" s="124">
        <v>20</v>
      </c>
      <c r="B42" s="70" t="s">
        <v>95</v>
      </c>
      <c r="C42" s="140" t="s">
        <v>1</v>
      </c>
      <c r="D42" s="164">
        <v>2</v>
      </c>
      <c r="E42" s="42">
        <v>1</v>
      </c>
      <c r="F42" s="17">
        <f>'Estudiodemercado DEF'!AL126</f>
        <v>1268822</v>
      </c>
      <c r="G42" s="17">
        <f t="shared" si="4"/>
        <v>2537644</v>
      </c>
      <c r="H42" s="17">
        <f>'Estudiodemercado DEF'!AN126</f>
        <v>1144242</v>
      </c>
      <c r="I42" s="17">
        <f t="shared" si="5"/>
        <v>2288484</v>
      </c>
      <c r="J42" s="17">
        <f>'Estudiodemercado DEF'!AP126</f>
        <v>1153262</v>
      </c>
      <c r="K42" s="17">
        <f t="shared" si="0"/>
        <v>2306524</v>
      </c>
      <c r="L42" s="17">
        <f>'Estudiodemercado DEF'!AR126</f>
        <v>1199958</v>
      </c>
      <c r="M42" s="17">
        <f t="shared" si="1"/>
        <v>2399916</v>
      </c>
    </row>
    <row r="43" spans="1:13" ht="15.75" x14ac:dyDescent="0.2">
      <c r="A43" s="152"/>
      <c r="B43" s="193" t="s">
        <v>150</v>
      </c>
      <c r="C43" s="42"/>
      <c r="D43" s="112"/>
      <c r="E43" s="42"/>
      <c r="F43" s="143"/>
      <c r="G43" s="144">
        <f>SUM(G37:G42)</f>
        <v>68219718</v>
      </c>
      <c r="H43" s="143"/>
      <c r="I43" s="144">
        <f>SUM(I37:I42)</f>
        <v>60577323</v>
      </c>
      <c r="J43" s="143"/>
      <c r="K43" s="144">
        <f>SUM(K37:K42)</f>
        <v>61479088</v>
      </c>
      <c r="L43" s="143"/>
      <c r="M43" s="144">
        <f>SUM(M37:M42)</f>
        <v>64098437</v>
      </c>
    </row>
    <row r="44" spans="1:13" ht="15.75" x14ac:dyDescent="0.2">
      <c r="A44" s="152"/>
      <c r="B44" s="193" t="s">
        <v>151</v>
      </c>
      <c r="C44" s="52"/>
      <c r="D44" s="51"/>
      <c r="E44" s="52"/>
      <c r="F44" s="171">
        <v>0.19</v>
      </c>
      <c r="G44" s="170">
        <f>ROUND(G43*F44,0)</f>
        <v>12961746</v>
      </c>
      <c r="H44" s="171">
        <v>0.19</v>
      </c>
      <c r="I44" s="170">
        <f>ROUND(I43*H44,0)</f>
        <v>11509691</v>
      </c>
      <c r="J44" s="171">
        <v>0.19</v>
      </c>
      <c r="K44" s="170">
        <f>ROUND(K43*J44,0)</f>
        <v>11681027</v>
      </c>
      <c r="L44" s="171">
        <v>0.19</v>
      </c>
      <c r="M44" s="170">
        <f>ROUND(M43*L44,0)</f>
        <v>12178703</v>
      </c>
    </row>
    <row r="45" spans="1:13" ht="15.75" x14ac:dyDescent="0.2">
      <c r="A45" s="152"/>
      <c r="B45" s="165" t="s">
        <v>145</v>
      </c>
      <c r="C45" s="42"/>
      <c r="D45" s="112"/>
      <c r="E45" s="42"/>
      <c r="F45" s="143"/>
      <c r="G45" s="144">
        <f>SUM(G43:G44)</f>
        <v>81181464</v>
      </c>
      <c r="H45" s="143"/>
      <c r="I45" s="144">
        <f>SUM(I43:I44)</f>
        <v>72087014</v>
      </c>
      <c r="J45" s="143"/>
      <c r="K45" s="144">
        <f>SUM(K43:K44)</f>
        <v>73160115</v>
      </c>
      <c r="L45" s="143"/>
      <c r="M45" s="144">
        <f>SUM(M43:M44)</f>
        <v>76277140</v>
      </c>
    </row>
    <row r="46" spans="1:13" x14ac:dyDescent="0.2">
      <c r="A46" s="152"/>
      <c r="B46" s="102"/>
      <c r="C46" s="103"/>
      <c r="D46" s="51"/>
      <c r="E46" s="125"/>
      <c r="F46" s="17"/>
      <c r="G46" s="17"/>
      <c r="H46" s="17"/>
      <c r="I46" s="17"/>
      <c r="J46" s="17"/>
      <c r="K46" s="17"/>
      <c r="L46" s="17"/>
      <c r="M46" s="17"/>
    </row>
    <row r="47" spans="1:13" x14ac:dyDescent="0.2">
      <c r="A47" s="4"/>
      <c r="B47" s="196" t="s">
        <v>106</v>
      </c>
      <c r="C47" s="3"/>
      <c r="D47" s="5"/>
      <c r="E47" s="3"/>
      <c r="F47" s="14"/>
      <c r="G47" s="17">
        <f t="shared" ref="G47:G52" si="6">ROUND((D47*E47*F47),0)</f>
        <v>0</v>
      </c>
      <c r="H47" s="14"/>
      <c r="I47" s="17">
        <f t="shared" ref="I47:I52" si="7">ROUND((D47*E47*H47),0)</f>
        <v>0</v>
      </c>
      <c r="J47" s="14"/>
      <c r="K47" s="17">
        <f t="shared" si="0"/>
        <v>0</v>
      </c>
      <c r="L47" s="14"/>
      <c r="M47" s="17">
        <f t="shared" si="1"/>
        <v>0</v>
      </c>
    </row>
    <row r="48" spans="1:13" ht="63.75" x14ac:dyDescent="0.2">
      <c r="A48" s="157">
        <v>21</v>
      </c>
      <c r="B48" s="102" t="s">
        <v>13</v>
      </c>
      <c r="C48" s="125" t="s">
        <v>1</v>
      </c>
      <c r="D48" s="41">
        <v>18</v>
      </c>
      <c r="E48" s="42">
        <v>4</v>
      </c>
      <c r="F48" s="17">
        <f>'Estudiodemercado DEF'!AL137</f>
        <v>326549</v>
      </c>
      <c r="G48" s="17">
        <f t="shared" si="6"/>
        <v>23511528</v>
      </c>
      <c r="H48" s="17">
        <f>'Estudiodemercado DEF'!AN137</f>
        <v>305559</v>
      </c>
      <c r="I48" s="17">
        <f t="shared" si="7"/>
        <v>22000248</v>
      </c>
      <c r="J48" s="17">
        <f>'Estudiodemercado DEF'!AP137</f>
        <v>313016</v>
      </c>
      <c r="K48" s="17">
        <f t="shared" si="0"/>
        <v>22537152</v>
      </c>
      <c r="L48" s="17">
        <f>'Estudiodemercado DEF'!AR137</f>
        <v>318843</v>
      </c>
      <c r="M48" s="17">
        <f t="shared" si="1"/>
        <v>22956696</v>
      </c>
    </row>
    <row r="49" spans="1:15" ht="76.5" x14ac:dyDescent="0.2">
      <c r="A49" s="138">
        <v>22</v>
      </c>
      <c r="B49" s="102" t="s">
        <v>14</v>
      </c>
      <c r="C49" s="125" t="s">
        <v>2</v>
      </c>
      <c r="D49" s="41">
        <v>3000</v>
      </c>
      <c r="E49" s="42">
        <v>2</v>
      </c>
      <c r="F49" s="17">
        <f>'Estudiodemercado DEF'!AL138</f>
        <v>2462</v>
      </c>
      <c r="G49" s="17">
        <f t="shared" si="6"/>
        <v>14772000</v>
      </c>
      <c r="H49" s="17">
        <f>'Estudiodemercado DEF'!AN138</f>
        <v>2096</v>
      </c>
      <c r="I49" s="17">
        <f t="shared" si="7"/>
        <v>12576000</v>
      </c>
      <c r="J49" s="17">
        <f>'Estudiodemercado DEF'!AP138</f>
        <v>2142</v>
      </c>
      <c r="K49" s="17">
        <f>ROUND((D49*E49*J49),0)</f>
        <v>12852000</v>
      </c>
      <c r="L49" s="17">
        <f>'Estudiodemercado DEF'!AR138</f>
        <v>2270</v>
      </c>
      <c r="M49" s="17">
        <f>ROUND((D49*E49*L49),0)</f>
        <v>13620000</v>
      </c>
    </row>
    <row r="50" spans="1:15" ht="88.5" customHeight="1" x14ac:dyDescent="0.2">
      <c r="A50" s="157">
        <v>23</v>
      </c>
      <c r="B50" s="70" t="s">
        <v>15</v>
      </c>
      <c r="C50" s="128" t="s">
        <v>2</v>
      </c>
      <c r="D50" s="41">
        <v>2500</v>
      </c>
      <c r="E50" s="42">
        <v>1</v>
      </c>
      <c r="F50" s="17">
        <f>'Estudiodemercado DEF'!AL139</f>
        <v>2396</v>
      </c>
      <c r="G50" s="17">
        <f t="shared" si="6"/>
        <v>5990000</v>
      </c>
      <c r="H50" s="17">
        <f>'Estudiodemercado DEF'!AN139</f>
        <v>2219</v>
      </c>
      <c r="I50" s="17">
        <f t="shared" si="7"/>
        <v>5547500</v>
      </c>
      <c r="J50" s="17">
        <f>'Estudiodemercado DEF'!AP139</f>
        <v>2284</v>
      </c>
      <c r="K50" s="17">
        <f>ROUND((D50*E50*J50),0)</f>
        <v>5710000</v>
      </c>
      <c r="L50" s="17">
        <f>'Estudiodemercado DEF'!AR139</f>
        <v>2337</v>
      </c>
      <c r="M50" s="17">
        <f>ROUND((D50*E50*L50),0)</f>
        <v>5842500</v>
      </c>
    </row>
    <row r="51" spans="1:15" ht="88.5" customHeight="1" x14ac:dyDescent="0.2">
      <c r="A51" s="157">
        <v>24</v>
      </c>
      <c r="B51" s="43" t="s">
        <v>149</v>
      </c>
      <c r="C51" s="163" t="s">
        <v>26</v>
      </c>
      <c r="D51" s="164">
        <f>1200*2+100*2+50*2</f>
        <v>2700</v>
      </c>
      <c r="E51" s="42">
        <v>1</v>
      </c>
      <c r="F51" s="17">
        <f>'Estudiodemercado DEF'!AL140</f>
        <v>2765</v>
      </c>
      <c r="G51" s="17">
        <f t="shared" si="6"/>
        <v>7465500</v>
      </c>
      <c r="H51" s="17">
        <f>'Estudiodemercado DEF'!AN140</f>
        <v>2925</v>
      </c>
      <c r="I51" s="17">
        <f t="shared" si="7"/>
        <v>7897500</v>
      </c>
      <c r="J51" s="17">
        <f>'Estudiodemercado DEF'!AP140</f>
        <v>2480</v>
      </c>
      <c r="K51" s="17">
        <f>ROUND((D51*E51*J51),0)</f>
        <v>6696000</v>
      </c>
      <c r="L51" s="17">
        <f>'Estudiodemercado DEF'!AR140</f>
        <v>2619</v>
      </c>
      <c r="M51" s="17">
        <f>ROUND((D51*E51*L51),0)</f>
        <v>7071300</v>
      </c>
    </row>
    <row r="52" spans="1:15" ht="48" customHeight="1" x14ac:dyDescent="0.2">
      <c r="A52" s="157">
        <v>25</v>
      </c>
      <c r="B52" s="120" t="s">
        <v>46</v>
      </c>
      <c r="C52" s="128" t="s">
        <v>1</v>
      </c>
      <c r="D52" s="41">
        <v>12</v>
      </c>
      <c r="E52" s="42">
        <v>2</v>
      </c>
      <c r="F52" s="17">
        <f>'Estudiodemercado DEF'!AL141</f>
        <v>270227</v>
      </c>
      <c r="G52" s="17">
        <f t="shared" si="6"/>
        <v>6485448</v>
      </c>
      <c r="H52" s="17">
        <f>'Estudiodemercado DEF'!AN141</f>
        <v>188031</v>
      </c>
      <c r="I52" s="17">
        <f t="shared" si="7"/>
        <v>4512744</v>
      </c>
      <c r="J52" s="17">
        <f>'Estudiodemercado DEF'!AP141</f>
        <v>202515</v>
      </c>
      <c r="K52" s="17">
        <f>ROUND((D52*E52*J52),0)</f>
        <v>4860360</v>
      </c>
      <c r="L52" s="17">
        <f>'Estudiodemercado DEF'!AR141</f>
        <v>221861</v>
      </c>
      <c r="M52" s="17">
        <f>ROUND((D52*E52*L52),0)</f>
        <v>5324664</v>
      </c>
    </row>
    <row r="53" spans="1:15" ht="15.75" x14ac:dyDescent="0.2">
      <c r="A53" s="153"/>
      <c r="B53" s="193" t="s">
        <v>150</v>
      </c>
      <c r="C53" s="42"/>
      <c r="D53" s="112"/>
      <c r="E53" s="42"/>
      <c r="F53" s="143"/>
      <c r="G53" s="144">
        <f>SUM(G48:G52)</f>
        <v>58224476</v>
      </c>
      <c r="H53" s="143"/>
      <c r="I53" s="144">
        <f>SUM(I48:I52)</f>
        <v>52533992</v>
      </c>
      <c r="J53" s="143"/>
      <c r="K53" s="144">
        <f>SUM(K48:K52)</f>
        <v>52655512</v>
      </c>
      <c r="L53" s="143"/>
      <c r="M53" s="144">
        <f>SUM(M48:M52)</f>
        <v>54815160</v>
      </c>
    </row>
    <row r="54" spans="1:15" ht="15.75" x14ac:dyDescent="0.2">
      <c r="A54" s="153"/>
      <c r="B54" s="193" t="s">
        <v>151</v>
      </c>
      <c r="C54" s="52"/>
      <c r="D54" s="51"/>
      <c r="E54" s="52"/>
      <c r="F54" s="171">
        <v>0.19</v>
      </c>
      <c r="G54" s="170">
        <f>ROUND(G53*F54,0)</f>
        <v>11062650</v>
      </c>
      <c r="H54" s="171">
        <v>0.19</v>
      </c>
      <c r="I54" s="170">
        <f>ROUND(I53*H54,0)</f>
        <v>9981458</v>
      </c>
      <c r="J54" s="171">
        <v>0.19</v>
      </c>
      <c r="K54" s="170">
        <f>ROUND(K53*J54,0)</f>
        <v>10004547</v>
      </c>
      <c r="L54" s="171">
        <v>0.19</v>
      </c>
      <c r="M54" s="170">
        <f>ROUND(M53*L54,0)</f>
        <v>10414880</v>
      </c>
    </row>
    <row r="55" spans="1:15" ht="15.75" x14ac:dyDescent="0.2">
      <c r="A55" s="153"/>
      <c r="B55" s="165" t="s">
        <v>144</v>
      </c>
      <c r="C55" s="42"/>
      <c r="D55" s="112"/>
      <c r="E55" s="42"/>
      <c r="F55" s="143"/>
      <c r="G55" s="144">
        <f>SUM(G53:G54)</f>
        <v>69287126</v>
      </c>
      <c r="H55" s="143"/>
      <c r="I55" s="144">
        <f>SUM(I53:I54)</f>
        <v>62515450</v>
      </c>
      <c r="J55" s="143"/>
      <c r="K55" s="144">
        <f>SUM(K53:K54)</f>
        <v>62660059</v>
      </c>
      <c r="L55" s="143"/>
      <c r="M55" s="144">
        <f>SUM(M53:M54)</f>
        <v>65230040</v>
      </c>
    </row>
    <row r="56" spans="1:15" x14ac:dyDescent="0.2">
      <c r="A56" s="153"/>
      <c r="B56" s="102"/>
      <c r="C56" s="103"/>
      <c r="D56" s="51"/>
      <c r="E56" s="125"/>
      <c r="F56" s="17"/>
      <c r="G56" s="17"/>
      <c r="H56" s="17"/>
      <c r="I56" s="17"/>
      <c r="J56" s="17"/>
      <c r="K56" s="17"/>
      <c r="L56" s="17"/>
      <c r="M56" s="17"/>
    </row>
    <row r="57" spans="1:15" x14ac:dyDescent="0.2">
      <c r="A57" s="4"/>
      <c r="B57" s="70"/>
      <c r="C57" s="42"/>
      <c r="D57" s="71"/>
      <c r="E57" s="3"/>
      <c r="F57" s="44"/>
      <c r="G57" s="17">
        <f>ROUND((D57*E57*F57),0)</f>
        <v>0</v>
      </c>
      <c r="H57" s="17"/>
      <c r="I57" s="17">
        <f>ROUND((D57*E57*H57),0)</f>
        <v>0</v>
      </c>
      <c r="J57" s="44"/>
      <c r="K57" s="44"/>
      <c r="L57" s="44"/>
      <c r="M57" s="44"/>
    </row>
    <row r="58" spans="1:15" ht="27.75" customHeight="1" x14ac:dyDescent="0.2">
      <c r="A58" s="4"/>
      <c r="B58" s="141" t="s">
        <v>155</v>
      </c>
      <c r="C58" s="10"/>
      <c r="D58" s="141"/>
      <c r="E58" s="141"/>
      <c r="F58" s="143"/>
      <c r="G58" s="144">
        <f>G11+G20+G32+G43+G53</f>
        <v>299308143</v>
      </c>
      <c r="H58" s="143"/>
      <c r="I58" s="144">
        <f>I11+I20+I32+I43+I53</f>
        <v>262745899</v>
      </c>
      <c r="J58" s="143"/>
      <c r="K58" s="144">
        <f>K11+K20+K32+K43+K53</f>
        <v>269667855</v>
      </c>
      <c r="L58" s="143"/>
      <c r="M58" s="144">
        <f>M11+M20+M32+M43+M53</f>
        <v>280267078</v>
      </c>
    </row>
    <row r="59" spans="1:15" ht="15.75" x14ac:dyDescent="0.2">
      <c r="A59" s="4"/>
      <c r="B59" s="193" t="s">
        <v>151</v>
      </c>
      <c r="C59" s="52"/>
      <c r="D59" s="51"/>
      <c r="E59" s="52"/>
      <c r="F59" s="171">
        <v>0.19</v>
      </c>
      <c r="G59" s="170">
        <f>ROUND(G58*F59,0)</f>
        <v>56868547</v>
      </c>
      <c r="H59" s="171">
        <v>0.19</v>
      </c>
      <c r="I59" s="170">
        <f>ROUND(I58*H59,0)</f>
        <v>49921721</v>
      </c>
      <c r="J59" s="171">
        <v>0.19</v>
      </c>
      <c r="K59" s="170">
        <f>ROUND(K58*J59,0)</f>
        <v>51236892</v>
      </c>
      <c r="L59" s="171">
        <v>0.19</v>
      </c>
      <c r="M59" s="170">
        <f>ROUND(M58*L59,0)</f>
        <v>53250745</v>
      </c>
    </row>
    <row r="60" spans="1:15" ht="31.5" customHeight="1" x14ac:dyDescent="0.2">
      <c r="A60" s="4"/>
      <c r="B60" s="141" t="s">
        <v>156</v>
      </c>
      <c r="C60" s="10"/>
      <c r="D60" s="141"/>
      <c r="E60" s="141"/>
      <c r="F60" s="143"/>
      <c r="G60" s="154">
        <f>SUM(G58:G59)</f>
        <v>356176690</v>
      </c>
      <c r="H60" s="143"/>
      <c r="I60" s="154">
        <f>SUM(I58:I59)</f>
        <v>312667620</v>
      </c>
      <c r="J60" s="143"/>
      <c r="K60" s="154">
        <f>SUM(K58:K59)</f>
        <v>320904747</v>
      </c>
      <c r="L60" s="143"/>
      <c r="M60" s="154">
        <f>SUM(M58:M59)</f>
        <v>333517823</v>
      </c>
      <c r="O60" s="1">
        <f>11+5+15</f>
        <v>31</v>
      </c>
    </row>
    <row r="63" spans="1:15" x14ac:dyDescent="0.2">
      <c r="G63" s="2">
        <f>'AM,OT,BE,CI,RG'!G57</f>
        <v>312788718</v>
      </c>
      <c r="I63" s="2">
        <f>'AM,OT,BE,CI,RG'!I57</f>
        <v>271132659</v>
      </c>
      <c r="K63" s="2">
        <f>'AM,OT,BE,CI,RG'!K57</f>
        <v>281094755</v>
      </c>
      <c r="M63" s="2">
        <f>'AM,OT,BE,CI,RG'!M57</f>
        <v>292874688</v>
      </c>
    </row>
    <row r="65" spans="2:13" ht="28.5" x14ac:dyDescent="0.2">
      <c r="B65" s="133"/>
      <c r="G65" s="2">
        <f>G60+G63</f>
        <v>668965408</v>
      </c>
      <c r="H65" s="2"/>
      <c r="I65" s="2">
        <f>I60+I63</f>
        <v>583800279</v>
      </c>
      <c r="J65" s="2"/>
      <c r="K65" s="2">
        <f>K60+K63</f>
        <v>601999502</v>
      </c>
      <c r="L65" s="2"/>
      <c r="M65" s="2">
        <f>M60+M63</f>
        <v>626392511</v>
      </c>
    </row>
    <row r="67" spans="2:13" x14ac:dyDescent="0.2">
      <c r="G67" s="9">
        <v>602000000</v>
      </c>
      <c r="I67" s="9">
        <v>602000000</v>
      </c>
      <c r="K67" s="9">
        <v>602000000</v>
      </c>
      <c r="M67" s="9">
        <v>602000000</v>
      </c>
    </row>
    <row r="69" spans="2:13" x14ac:dyDescent="0.2">
      <c r="G69" s="168">
        <f>G67-G65</f>
        <v>-66965408</v>
      </c>
      <c r="H69" s="168">
        <f t="shared" ref="H69:M69" si="8">H67-H65</f>
        <v>0</v>
      </c>
      <c r="I69" s="168">
        <f t="shared" si="8"/>
        <v>18199721</v>
      </c>
      <c r="J69" s="168">
        <f t="shared" si="8"/>
        <v>0</v>
      </c>
      <c r="K69" s="168">
        <f t="shared" si="8"/>
        <v>498</v>
      </c>
      <c r="L69" s="168">
        <f t="shared" si="8"/>
        <v>0</v>
      </c>
      <c r="M69" s="168">
        <f t="shared" si="8"/>
        <v>-24392511</v>
      </c>
    </row>
  </sheetData>
  <mergeCells count="6">
    <mergeCell ref="A1:M1"/>
    <mergeCell ref="A2:I2"/>
    <mergeCell ref="F3:G3"/>
    <mergeCell ref="H3:I3"/>
    <mergeCell ref="J3:K3"/>
    <mergeCell ref="L3:M3"/>
  </mergeCells>
  <pageMargins left="0.11811023622047245" right="0.11811023622047245" top="0.23622047244094491" bottom="0.23622047244094491" header="0.15748031496062992" footer="0.15748031496062992"/>
  <pageSetup scale="27" fitToHeight="0" orientation="landscape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9"/>
  <sheetViews>
    <sheetView tabSelected="1" zoomScale="163" zoomScaleNormal="163" zoomScaleSheetLayoutView="115" workbookViewId="0">
      <selection activeCell="C4" sqref="C4:I4"/>
    </sheetView>
  </sheetViews>
  <sheetFormatPr baseColWidth="10" defaultRowHeight="12.75" x14ac:dyDescent="0.2"/>
  <cols>
    <col min="2" max="2" width="1.85546875" style="272" customWidth="1"/>
    <col min="3" max="3" width="15.140625" style="272" customWidth="1"/>
    <col min="4" max="4" width="18.85546875" style="272" customWidth="1"/>
    <col min="5" max="5" width="13.28515625" style="272" customWidth="1"/>
    <col min="6" max="6" width="14.7109375" style="273" customWidth="1"/>
    <col min="7" max="7" width="11.7109375" style="272" customWidth="1"/>
    <col min="8" max="8" width="14.42578125" style="274" customWidth="1"/>
    <col min="9" max="9" width="16.28515625" style="273" customWidth="1"/>
    <col min="10" max="10" width="1.85546875" style="272" customWidth="1"/>
  </cols>
  <sheetData>
    <row r="1" spans="2:10" ht="13.5" thickBot="1" x14ac:dyDescent="0.25">
      <c r="B1" s="199"/>
      <c r="C1" s="199"/>
      <c r="D1" s="199"/>
      <c r="E1" s="199"/>
      <c r="F1" s="200"/>
      <c r="G1" s="199"/>
      <c r="H1" s="201"/>
      <c r="I1" s="200"/>
      <c r="J1" s="199"/>
    </row>
    <row r="2" spans="2:10" ht="13.5" thickBot="1" x14ac:dyDescent="0.25">
      <c r="B2" s="202"/>
      <c r="C2" s="203"/>
      <c r="D2" s="204"/>
      <c r="E2" s="204"/>
      <c r="F2" s="205"/>
      <c r="G2" s="204"/>
      <c r="H2" s="206"/>
      <c r="I2" s="205"/>
      <c r="J2" s="207"/>
    </row>
    <row r="3" spans="2:10" ht="48" customHeight="1" thickBot="1" x14ac:dyDescent="0.25">
      <c r="B3" s="202"/>
      <c r="C3" s="277"/>
      <c r="D3" s="354" t="s">
        <v>163</v>
      </c>
      <c r="E3" s="355"/>
      <c r="F3" s="356" t="s">
        <v>164</v>
      </c>
      <c r="G3" s="357"/>
      <c r="H3" s="357"/>
      <c r="I3" s="357"/>
      <c r="J3" s="358"/>
    </row>
    <row r="4" spans="2:10" ht="37.5" customHeight="1" x14ac:dyDescent="0.2">
      <c r="B4" s="208"/>
      <c r="C4" s="359" t="s">
        <v>198</v>
      </c>
      <c r="D4" s="359"/>
      <c r="E4" s="359"/>
      <c r="F4" s="359"/>
      <c r="G4" s="359"/>
      <c r="H4" s="359"/>
      <c r="I4" s="359"/>
      <c r="J4" s="209"/>
    </row>
    <row r="5" spans="2:10" ht="39" customHeight="1" x14ac:dyDescent="0.2">
      <c r="B5" s="208"/>
      <c r="C5" s="210" t="s">
        <v>165</v>
      </c>
      <c r="D5" s="278">
        <v>1.1000000000000001</v>
      </c>
      <c r="E5" s="211" t="s">
        <v>166</v>
      </c>
      <c r="F5" s="360" t="s">
        <v>196</v>
      </c>
      <c r="G5" s="361"/>
      <c r="H5" s="361"/>
      <c r="I5" s="362"/>
      <c r="J5" s="209"/>
    </row>
    <row r="6" spans="2:10" ht="96" customHeight="1" x14ac:dyDescent="0.2">
      <c r="B6" s="208"/>
      <c r="C6" s="366" t="s">
        <v>167</v>
      </c>
      <c r="D6" s="367"/>
      <c r="E6" s="212"/>
      <c r="F6" s="363"/>
      <c r="G6" s="364"/>
      <c r="H6" s="364"/>
      <c r="I6" s="365"/>
      <c r="J6" s="209"/>
    </row>
    <row r="7" spans="2:10" ht="13.5" thickBot="1" x14ac:dyDescent="0.25">
      <c r="B7" s="208"/>
      <c r="C7" s="348" t="s">
        <v>195</v>
      </c>
      <c r="D7" s="349"/>
      <c r="E7" s="349"/>
      <c r="F7" s="349"/>
      <c r="G7" s="214" t="s">
        <v>168</v>
      </c>
      <c r="H7" s="350" t="s">
        <v>197</v>
      </c>
      <c r="I7" s="351"/>
      <c r="J7" s="209"/>
    </row>
    <row r="8" spans="2:10" x14ac:dyDescent="0.2">
      <c r="B8" s="208"/>
      <c r="C8" s="215"/>
      <c r="D8" s="208"/>
      <c r="E8" s="216"/>
      <c r="F8" s="217"/>
      <c r="G8" s="213"/>
      <c r="H8" s="218"/>
      <c r="I8" s="219"/>
      <c r="J8" s="209"/>
    </row>
    <row r="9" spans="2:10" ht="13.5" thickBot="1" x14ac:dyDescent="0.25">
      <c r="B9" s="208"/>
      <c r="C9" s="210" t="s">
        <v>169</v>
      </c>
      <c r="D9" s="208"/>
      <c r="E9" s="216"/>
      <c r="F9" s="217"/>
      <c r="G9" s="208"/>
      <c r="H9" s="218"/>
      <c r="I9" s="219"/>
      <c r="J9" s="209"/>
    </row>
    <row r="10" spans="2:10" x14ac:dyDescent="0.2">
      <c r="B10" s="202"/>
      <c r="C10" s="352" t="s">
        <v>170</v>
      </c>
      <c r="D10" s="353"/>
      <c r="E10" s="220" t="s">
        <v>171</v>
      </c>
      <c r="F10" s="221" t="s">
        <v>172</v>
      </c>
      <c r="G10" s="220" t="s">
        <v>173</v>
      </c>
      <c r="H10" s="222" t="s">
        <v>174</v>
      </c>
      <c r="I10" s="223"/>
      <c r="J10" s="224"/>
    </row>
    <row r="11" spans="2:10" x14ac:dyDescent="0.2">
      <c r="B11" s="208"/>
      <c r="C11" s="342"/>
      <c r="D11" s="343"/>
      <c r="E11" s="226"/>
      <c r="F11" s="227"/>
      <c r="G11" s="228"/>
      <c r="H11" s="229"/>
      <c r="I11" s="230"/>
      <c r="J11" s="209"/>
    </row>
    <row r="12" spans="2:10" x14ac:dyDescent="0.2">
      <c r="B12" s="208"/>
      <c r="C12" s="346"/>
      <c r="D12" s="347"/>
      <c r="E12" s="226"/>
      <c r="F12" s="231"/>
      <c r="G12" s="228"/>
      <c r="H12" s="229"/>
      <c r="I12" s="232"/>
      <c r="J12" s="209"/>
    </row>
    <row r="13" spans="2:10" x14ac:dyDescent="0.2">
      <c r="B13" s="208"/>
      <c r="C13" s="344"/>
      <c r="D13" s="345"/>
      <c r="E13" s="279"/>
      <c r="F13" s="280"/>
      <c r="G13" s="281"/>
      <c r="H13" s="282"/>
      <c r="I13" s="232"/>
      <c r="J13" s="209"/>
    </row>
    <row r="14" spans="2:10" x14ac:dyDescent="0.2">
      <c r="B14" s="208"/>
      <c r="C14" s="344"/>
      <c r="D14" s="345"/>
      <c r="E14" s="279"/>
      <c r="F14" s="280"/>
      <c r="G14" s="281"/>
      <c r="H14" s="282"/>
      <c r="I14" s="232"/>
      <c r="J14" s="209"/>
    </row>
    <row r="15" spans="2:10" x14ac:dyDescent="0.2">
      <c r="B15" s="208"/>
      <c r="C15" s="344"/>
      <c r="D15" s="345"/>
      <c r="E15" s="279"/>
      <c r="F15" s="280"/>
      <c r="G15" s="281"/>
      <c r="H15" s="282"/>
      <c r="I15" s="232"/>
      <c r="J15" s="209"/>
    </row>
    <row r="16" spans="2:10" x14ac:dyDescent="0.2">
      <c r="B16" s="208"/>
      <c r="C16" s="346"/>
      <c r="D16" s="347"/>
      <c r="E16" s="226"/>
      <c r="F16" s="231"/>
      <c r="G16" s="229"/>
      <c r="H16" s="233"/>
      <c r="I16" s="232"/>
      <c r="J16" s="209"/>
    </row>
    <row r="17" spans="2:10" ht="13.5" thickBot="1" x14ac:dyDescent="0.25">
      <c r="B17" s="208"/>
      <c r="C17" s="334" t="s">
        <v>175</v>
      </c>
      <c r="D17" s="335"/>
      <c r="E17" s="335"/>
      <c r="F17" s="335"/>
      <c r="G17" s="335"/>
      <c r="H17" s="336"/>
      <c r="I17" s="234">
        <f>SUM(H11:H16)</f>
        <v>0</v>
      </c>
      <c r="J17" s="209"/>
    </row>
    <row r="18" spans="2:10" ht="13.5" thickBot="1" x14ac:dyDescent="0.25">
      <c r="B18" s="208"/>
      <c r="C18" s="210" t="s">
        <v>176</v>
      </c>
      <c r="D18" s="208"/>
      <c r="E18" s="216"/>
      <c r="F18" s="217"/>
      <c r="G18" s="208"/>
      <c r="H18" s="218"/>
      <c r="I18" s="219"/>
      <c r="J18" s="209"/>
    </row>
    <row r="19" spans="2:10" x14ac:dyDescent="0.2">
      <c r="B19" s="202"/>
      <c r="C19" s="340" t="s">
        <v>177</v>
      </c>
      <c r="D19" s="341"/>
      <c r="E19" s="237" t="s">
        <v>178</v>
      </c>
      <c r="F19" s="238" t="s">
        <v>179</v>
      </c>
      <c r="G19" s="236" t="s">
        <v>180</v>
      </c>
      <c r="H19" s="222" t="s">
        <v>181</v>
      </c>
      <c r="I19" s="239"/>
      <c r="J19" s="224"/>
    </row>
    <row r="20" spans="2:10" x14ac:dyDescent="0.2">
      <c r="B20" s="208"/>
      <c r="C20" s="342"/>
      <c r="D20" s="343"/>
      <c r="E20" s="226"/>
      <c r="F20" s="227"/>
      <c r="G20" s="275"/>
      <c r="H20" s="229"/>
      <c r="I20" s="240"/>
      <c r="J20" s="209"/>
    </row>
    <row r="21" spans="2:10" x14ac:dyDescent="0.2">
      <c r="B21" s="208"/>
      <c r="C21" s="342"/>
      <c r="D21" s="343"/>
      <c r="E21" s="226"/>
      <c r="F21" s="227"/>
      <c r="G21" s="275"/>
      <c r="H21" s="229"/>
      <c r="I21" s="240"/>
      <c r="J21" s="209"/>
    </row>
    <row r="22" spans="2:10" x14ac:dyDescent="0.2">
      <c r="B22" s="208"/>
      <c r="C22" s="342"/>
      <c r="D22" s="343"/>
      <c r="E22" s="226"/>
      <c r="F22" s="241"/>
      <c r="G22" s="275"/>
      <c r="H22" s="229"/>
      <c r="I22" s="240"/>
      <c r="J22" s="209"/>
    </row>
    <row r="23" spans="2:10" ht="13.5" thickBot="1" x14ac:dyDescent="0.25">
      <c r="B23" s="208"/>
      <c r="C23" s="342"/>
      <c r="D23" s="343"/>
      <c r="E23" s="279"/>
      <c r="F23" s="283"/>
      <c r="G23" s="284"/>
      <c r="H23" s="282"/>
      <c r="I23" s="242"/>
      <c r="J23" s="209"/>
    </row>
    <row r="24" spans="2:10" ht="13.5" thickBot="1" x14ac:dyDescent="0.25">
      <c r="B24" s="208"/>
      <c r="C24" s="320" t="s">
        <v>175</v>
      </c>
      <c r="D24" s="321"/>
      <c r="E24" s="321"/>
      <c r="F24" s="321"/>
      <c r="G24" s="321"/>
      <c r="H24" s="322"/>
      <c r="I24" s="243">
        <f>SUM(H20:H23)</f>
        <v>0</v>
      </c>
      <c r="J24" s="209"/>
    </row>
    <row r="25" spans="2:10" ht="13.5" thickBot="1" x14ac:dyDescent="0.25">
      <c r="B25" s="208"/>
      <c r="C25" s="210" t="s">
        <v>182</v>
      </c>
      <c r="D25" s="208"/>
      <c r="E25" s="216"/>
      <c r="F25" s="217"/>
      <c r="G25" s="208"/>
      <c r="H25" s="218"/>
      <c r="I25" s="219"/>
      <c r="J25" s="209"/>
    </row>
    <row r="26" spans="2:10" x14ac:dyDescent="0.2">
      <c r="B26" s="202"/>
      <c r="C26" s="235" t="s">
        <v>170</v>
      </c>
      <c r="D26" s="323" t="s">
        <v>183</v>
      </c>
      <c r="E26" s="324"/>
      <c r="F26" s="325"/>
      <c r="G26" s="236" t="s">
        <v>184</v>
      </c>
      <c r="H26" s="222" t="s">
        <v>174</v>
      </c>
      <c r="I26" s="239"/>
      <c r="J26" s="224"/>
    </row>
    <row r="27" spans="2:10" x14ac:dyDescent="0.2">
      <c r="B27" s="208"/>
      <c r="C27" s="225"/>
      <c r="D27" s="326"/>
      <c r="E27" s="327"/>
      <c r="F27" s="328"/>
      <c r="G27" s="226"/>
      <c r="H27" s="244"/>
      <c r="I27" s="232"/>
      <c r="J27" s="209"/>
    </row>
    <row r="28" spans="2:10" x14ac:dyDescent="0.2">
      <c r="B28" s="208"/>
      <c r="C28" s="225"/>
      <c r="D28" s="326"/>
      <c r="E28" s="327"/>
      <c r="F28" s="328"/>
      <c r="G28" s="226"/>
      <c r="H28" s="233"/>
      <c r="I28" s="232"/>
      <c r="J28" s="209"/>
    </row>
    <row r="29" spans="2:10" x14ac:dyDescent="0.2">
      <c r="B29" s="208"/>
      <c r="C29" s="225"/>
      <c r="D29" s="326"/>
      <c r="E29" s="327"/>
      <c r="F29" s="328"/>
      <c r="G29" s="226"/>
      <c r="H29" s="233"/>
      <c r="I29" s="232"/>
      <c r="J29" s="209"/>
    </row>
    <row r="30" spans="2:10" x14ac:dyDescent="0.2">
      <c r="B30" s="208"/>
      <c r="C30" s="225"/>
      <c r="D30" s="326"/>
      <c r="E30" s="327"/>
      <c r="F30" s="328"/>
      <c r="G30" s="226"/>
      <c r="H30" s="233"/>
      <c r="I30" s="232"/>
      <c r="J30" s="209"/>
    </row>
    <row r="31" spans="2:10" x14ac:dyDescent="0.2">
      <c r="B31" s="208"/>
      <c r="C31" s="245"/>
      <c r="D31" s="331"/>
      <c r="E31" s="332"/>
      <c r="F31" s="333"/>
      <c r="G31" s="246"/>
      <c r="H31" s="233"/>
      <c r="I31" s="247"/>
      <c r="J31" s="209"/>
    </row>
    <row r="32" spans="2:10" ht="13.5" thickBot="1" x14ac:dyDescent="0.25">
      <c r="B32" s="208"/>
      <c r="C32" s="334" t="s">
        <v>175</v>
      </c>
      <c r="D32" s="335"/>
      <c r="E32" s="335"/>
      <c r="F32" s="335"/>
      <c r="G32" s="335"/>
      <c r="H32" s="336"/>
      <c r="I32" s="248">
        <f>SUM(H27:H31)</f>
        <v>0</v>
      </c>
      <c r="J32" s="209"/>
    </row>
    <row r="33" spans="2:10" ht="13.5" thickBot="1" x14ac:dyDescent="0.25">
      <c r="B33" s="208"/>
      <c r="C33" s="210" t="s">
        <v>185</v>
      </c>
      <c r="D33" s="208"/>
      <c r="E33" s="216"/>
      <c r="F33" s="217"/>
      <c r="G33" s="208"/>
      <c r="H33" s="218"/>
      <c r="I33" s="219"/>
      <c r="J33" s="209"/>
    </row>
    <row r="34" spans="2:10" x14ac:dyDescent="0.2">
      <c r="B34" s="202"/>
      <c r="C34" s="235" t="s">
        <v>186</v>
      </c>
      <c r="D34" s="236" t="s">
        <v>162</v>
      </c>
      <c r="E34" s="236" t="s">
        <v>187</v>
      </c>
      <c r="F34" s="238" t="s">
        <v>188</v>
      </c>
      <c r="G34" s="236" t="s">
        <v>173</v>
      </c>
      <c r="H34" s="222" t="s">
        <v>174</v>
      </c>
      <c r="I34" s="239"/>
      <c r="J34" s="224"/>
    </row>
    <row r="35" spans="2:10" x14ac:dyDescent="0.2">
      <c r="B35" s="208"/>
      <c r="C35" s="225"/>
      <c r="D35" s="249"/>
      <c r="E35" s="250"/>
      <c r="F35" s="227"/>
      <c r="G35" s="276"/>
      <c r="H35" s="244"/>
      <c r="I35" s="232"/>
      <c r="J35" s="209"/>
    </row>
    <row r="36" spans="2:10" x14ac:dyDescent="0.2">
      <c r="B36" s="208"/>
      <c r="C36" s="225"/>
      <c r="D36" s="249"/>
      <c r="E36" s="250"/>
      <c r="F36" s="227"/>
      <c r="G36" s="251"/>
      <c r="H36" s="244"/>
      <c r="I36" s="232"/>
      <c r="J36" s="209"/>
    </row>
    <row r="37" spans="2:10" x14ac:dyDescent="0.2">
      <c r="B37" s="208"/>
      <c r="C37" s="225"/>
      <c r="D37" s="249"/>
      <c r="E37" s="250"/>
      <c r="F37" s="227"/>
      <c r="G37" s="251"/>
      <c r="H37" s="244"/>
      <c r="I37" s="232"/>
      <c r="J37" s="209"/>
    </row>
    <row r="38" spans="2:10" x14ac:dyDescent="0.2">
      <c r="B38" s="208"/>
      <c r="C38" s="225"/>
      <c r="D38" s="249"/>
      <c r="E38" s="250"/>
      <c r="F38" s="227"/>
      <c r="G38" s="251"/>
      <c r="H38" s="244"/>
      <c r="I38" s="232"/>
      <c r="J38" s="209"/>
    </row>
    <row r="39" spans="2:10" ht="13.5" thickBot="1" x14ac:dyDescent="0.25">
      <c r="B39" s="208"/>
      <c r="C39" s="252"/>
      <c r="D39" s="249"/>
      <c r="E39" s="250"/>
      <c r="F39" s="227"/>
      <c r="G39" s="251"/>
      <c r="H39" s="244"/>
      <c r="I39" s="253"/>
      <c r="J39" s="209"/>
    </row>
    <row r="40" spans="2:10" ht="13.5" thickBot="1" x14ac:dyDescent="0.25">
      <c r="B40" s="208"/>
      <c r="C40" s="337" t="s">
        <v>175</v>
      </c>
      <c r="D40" s="338"/>
      <c r="E40" s="338"/>
      <c r="F40" s="338"/>
      <c r="G40" s="338"/>
      <c r="H40" s="339"/>
      <c r="I40" s="243">
        <f>SUM(H35:H39)</f>
        <v>0</v>
      </c>
      <c r="J40" s="209"/>
    </row>
    <row r="41" spans="2:10" ht="13.5" thickBot="1" x14ac:dyDescent="0.25">
      <c r="B41" s="208"/>
      <c r="C41" s="329"/>
      <c r="D41" s="330"/>
      <c r="E41" s="330"/>
      <c r="F41" s="330"/>
      <c r="G41" s="330"/>
      <c r="H41" s="330"/>
      <c r="I41" s="254"/>
      <c r="J41" s="209"/>
    </row>
    <row r="42" spans="2:10" ht="13.5" thickBot="1" x14ac:dyDescent="0.25">
      <c r="B42" s="208"/>
      <c r="C42" s="255"/>
      <c r="D42" s="256"/>
      <c r="E42" s="256"/>
      <c r="F42" s="257"/>
      <c r="G42" s="256"/>
      <c r="H42" s="258" t="s">
        <v>189</v>
      </c>
      <c r="I42" s="259">
        <f>SUM(I17+I24+I32+I40)</f>
        <v>0</v>
      </c>
      <c r="J42" s="209"/>
    </row>
    <row r="43" spans="2:10" x14ac:dyDescent="0.2">
      <c r="B43" s="208"/>
      <c r="C43" s="255"/>
      <c r="D43" s="256"/>
      <c r="E43" s="256"/>
      <c r="F43" s="257"/>
      <c r="G43" s="256"/>
      <c r="H43" s="258"/>
      <c r="I43" s="260"/>
      <c r="J43" s="209"/>
    </row>
    <row r="44" spans="2:10" ht="13.5" thickBot="1" x14ac:dyDescent="0.25">
      <c r="B44" s="208"/>
      <c r="C44" s="255"/>
      <c r="D44" s="256"/>
      <c r="E44" s="256"/>
      <c r="F44" s="257"/>
      <c r="G44" s="256"/>
      <c r="H44" s="261"/>
      <c r="I44" s="260"/>
      <c r="J44" s="209"/>
    </row>
    <row r="45" spans="2:10" ht="13.5" thickBot="1" x14ac:dyDescent="0.25">
      <c r="B45" s="208"/>
      <c r="C45" s="329" t="s">
        <v>190</v>
      </c>
      <c r="D45" s="330"/>
      <c r="E45" s="330"/>
      <c r="F45" s="330"/>
      <c r="G45" s="330"/>
      <c r="H45" s="330"/>
      <c r="I45" s="262">
        <f>I42</f>
        <v>0</v>
      </c>
      <c r="J45" s="209"/>
    </row>
    <row r="46" spans="2:10" x14ac:dyDescent="0.2">
      <c r="B46" s="208"/>
      <c r="C46" s="263" t="s">
        <v>191</v>
      </c>
      <c r="D46" s="256"/>
      <c r="E46" s="256"/>
      <c r="F46" s="257"/>
      <c r="G46" s="264" t="s">
        <v>192</v>
      </c>
      <c r="H46" s="265"/>
      <c r="I46" s="266"/>
      <c r="J46" s="209"/>
    </row>
    <row r="47" spans="2:10" x14ac:dyDescent="0.2">
      <c r="B47" s="208"/>
      <c r="C47" s="255"/>
      <c r="D47" s="256"/>
      <c r="E47" s="256"/>
      <c r="F47" s="257"/>
      <c r="G47" s="264"/>
      <c r="H47" s="261"/>
      <c r="I47" s="256"/>
      <c r="J47" s="209"/>
    </row>
    <row r="48" spans="2:10" x14ac:dyDescent="0.2">
      <c r="B48" s="208"/>
      <c r="C48" s="263" t="s">
        <v>193</v>
      </c>
      <c r="D48" s="256"/>
      <c r="E48" s="256"/>
      <c r="F48" s="257"/>
      <c r="G48" s="264" t="s">
        <v>194</v>
      </c>
      <c r="H48" s="265"/>
      <c r="I48" s="266"/>
      <c r="J48" s="209"/>
    </row>
    <row r="49" spans="2:10" x14ac:dyDescent="0.2">
      <c r="B49" s="208"/>
      <c r="C49" s="263"/>
      <c r="D49" s="256"/>
      <c r="E49" s="256"/>
      <c r="F49" s="257"/>
      <c r="G49" s="264"/>
      <c r="H49" s="261"/>
      <c r="I49" s="256"/>
      <c r="J49" s="209"/>
    </row>
    <row r="50" spans="2:10" ht="13.5" thickBot="1" x14ac:dyDescent="0.25">
      <c r="B50" s="202"/>
      <c r="C50" s="267"/>
      <c r="D50" s="268"/>
      <c r="E50" s="268"/>
      <c r="F50" s="269"/>
      <c r="G50" s="268"/>
      <c r="H50" s="270"/>
      <c r="I50" s="269"/>
      <c r="J50" s="271"/>
    </row>
    <row r="51" spans="2:10" x14ac:dyDescent="0.2">
      <c r="B51" s="199"/>
      <c r="C51" s="199"/>
      <c r="D51" s="199"/>
      <c r="E51" s="199"/>
      <c r="F51" s="200"/>
      <c r="G51" s="199"/>
      <c r="H51" s="201"/>
      <c r="I51" s="200"/>
      <c r="J51" s="199"/>
    </row>
    <row r="52" spans="2:10" x14ac:dyDescent="0.2">
      <c r="B52" s="199"/>
      <c r="C52" s="199"/>
      <c r="D52" s="199"/>
      <c r="E52" s="199"/>
      <c r="F52" s="200"/>
      <c r="G52" s="199"/>
      <c r="H52" s="201"/>
      <c r="I52" s="200"/>
      <c r="J52" s="199"/>
    </row>
    <row r="53" spans="2:10" x14ac:dyDescent="0.2">
      <c r="B53" s="199"/>
      <c r="C53" s="199"/>
      <c r="D53" s="199"/>
      <c r="E53" s="199"/>
      <c r="F53" s="200"/>
      <c r="G53" s="199"/>
      <c r="H53" s="201"/>
      <c r="I53" s="200"/>
      <c r="J53" s="199"/>
    </row>
    <row r="54" spans="2:10" x14ac:dyDescent="0.2">
      <c r="B54" s="199"/>
      <c r="C54" s="199"/>
      <c r="D54" s="199"/>
      <c r="E54" s="199"/>
      <c r="F54" s="200"/>
      <c r="G54" s="199"/>
      <c r="H54" s="201"/>
      <c r="I54" s="200"/>
      <c r="J54" s="199"/>
    </row>
    <row r="55" spans="2:10" x14ac:dyDescent="0.2">
      <c r="B55" s="199"/>
      <c r="C55" s="199"/>
      <c r="D55" s="199"/>
      <c r="E55" s="199"/>
      <c r="F55" s="200"/>
      <c r="G55" s="199"/>
      <c r="H55" s="201"/>
      <c r="I55" s="200"/>
      <c r="J55" s="199"/>
    </row>
    <row r="56" spans="2:10" x14ac:dyDescent="0.2">
      <c r="B56" s="199"/>
      <c r="C56" s="199"/>
      <c r="D56" s="199"/>
      <c r="E56" s="199"/>
      <c r="F56" s="200"/>
      <c r="G56" s="199"/>
      <c r="H56" s="201"/>
      <c r="I56" s="200"/>
      <c r="J56" s="199"/>
    </row>
    <row r="57" spans="2:10" x14ac:dyDescent="0.2">
      <c r="B57" s="199"/>
      <c r="C57" s="199"/>
      <c r="D57" s="199"/>
      <c r="E57" s="199"/>
      <c r="F57" s="200"/>
      <c r="G57" s="199"/>
      <c r="H57" s="201"/>
      <c r="I57" s="200"/>
      <c r="J57" s="199"/>
    </row>
    <row r="58" spans="2:10" x14ac:dyDescent="0.2">
      <c r="B58" s="199"/>
      <c r="C58" s="199"/>
      <c r="D58" s="199"/>
      <c r="E58" s="199"/>
      <c r="F58" s="200"/>
      <c r="G58" s="199"/>
      <c r="H58" s="201"/>
      <c r="I58" s="200"/>
      <c r="J58" s="199"/>
    </row>
    <row r="59" spans="2:10" x14ac:dyDescent="0.2">
      <c r="B59" s="199"/>
      <c r="C59" s="199"/>
      <c r="D59" s="199"/>
      <c r="E59" s="199"/>
      <c r="F59" s="200"/>
      <c r="G59" s="199"/>
      <c r="H59" s="201"/>
      <c r="I59" s="200"/>
      <c r="J59" s="199"/>
    </row>
    <row r="60" spans="2:10" x14ac:dyDescent="0.2">
      <c r="B60" s="199"/>
      <c r="C60" s="199"/>
      <c r="D60" s="199"/>
      <c r="E60" s="199"/>
      <c r="F60" s="200"/>
      <c r="G60" s="199"/>
      <c r="H60" s="201"/>
      <c r="I60" s="200"/>
      <c r="J60" s="199"/>
    </row>
    <row r="61" spans="2:10" x14ac:dyDescent="0.2">
      <c r="B61" s="199"/>
      <c r="C61" s="199"/>
      <c r="D61" s="199"/>
      <c r="E61" s="199"/>
      <c r="F61" s="200"/>
      <c r="G61" s="199"/>
      <c r="H61" s="201"/>
      <c r="I61" s="200"/>
      <c r="J61" s="199"/>
    </row>
    <row r="62" spans="2:10" x14ac:dyDescent="0.2">
      <c r="B62" s="199"/>
      <c r="C62" s="199"/>
      <c r="D62" s="199"/>
      <c r="E62" s="199"/>
      <c r="F62" s="200"/>
      <c r="G62" s="199"/>
      <c r="H62" s="201"/>
      <c r="I62" s="200"/>
      <c r="J62" s="199"/>
    </row>
    <row r="63" spans="2:10" x14ac:dyDescent="0.2">
      <c r="B63" s="199"/>
      <c r="C63" s="199"/>
      <c r="D63" s="199"/>
      <c r="E63" s="199"/>
      <c r="F63" s="200"/>
      <c r="G63" s="199"/>
      <c r="H63" s="201"/>
      <c r="I63" s="200"/>
      <c r="J63" s="199"/>
    </row>
    <row r="64" spans="2:10" x14ac:dyDescent="0.2">
      <c r="B64" s="199"/>
      <c r="C64" s="199"/>
      <c r="D64" s="199"/>
      <c r="E64" s="199"/>
      <c r="F64" s="200"/>
      <c r="G64" s="199"/>
      <c r="H64" s="201"/>
      <c r="I64" s="200"/>
      <c r="J64" s="199"/>
    </row>
    <row r="65" spans="2:10" x14ac:dyDescent="0.2">
      <c r="B65" s="199"/>
      <c r="C65" s="199"/>
      <c r="D65" s="199"/>
      <c r="E65" s="199"/>
      <c r="F65" s="200"/>
      <c r="G65" s="199"/>
      <c r="H65" s="201"/>
      <c r="I65" s="200"/>
      <c r="J65" s="199"/>
    </row>
    <row r="66" spans="2:10" x14ac:dyDescent="0.2">
      <c r="B66" s="199"/>
      <c r="C66" s="199"/>
      <c r="D66" s="199"/>
      <c r="E66" s="199"/>
      <c r="F66" s="200"/>
      <c r="G66" s="199"/>
      <c r="H66" s="201"/>
      <c r="I66" s="200"/>
      <c r="J66" s="199"/>
    </row>
    <row r="67" spans="2:10" x14ac:dyDescent="0.2">
      <c r="B67" s="199"/>
      <c r="C67" s="199"/>
      <c r="D67" s="199"/>
      <c r="E67" s="199"/>
      <c r="F67" s="200"/>
      <c r="G67" s="199"/>
      <c r="H67" s="201"/>
      <c r="I67" s="200"/>
      <c r="J67" s="199"/>
    </row>
    <row r="68" spans="2:10" x14ac:dyDescent="0.2">
      <c r="B68" s="199"/>
      <c r="C68" s="199"/>
      <c r="D68" s="199"/>
      <c r="E68" s="199"/>
      <c r="F68" s="200"/>
      <c r="G68" s="199"/>
      <c r="H68" s="201"/>
      <c r="I68" s="200"/>
      <c r="J68" s="199"/>
    </row>
    <row r="69" spans="2:10" x14ac:dyDescent="0.2">
      <c r="B69" s="199"/>
      <c r="C69" s="199"/>
      <c r="D69" s="199"/>
      <c r="E69" s="199"/>
      <c r="F69" s="200"/>
      <c r="G69" s="199"/>
      <c r="H69" s="201"/>
      <c r="I69" s="200"/>
      <c r="J69" s="199"/>
    </row>
    <row r="70" spans="2:10" x14ac:dyDescent="0.2">
      <c r="B70" s="199"/>
      <c r="C70" s="199"/>
      <c r="D70" s="199"/>
      <c r="E70" s="199"/>
      <c r="F70" s="200"/>
      <c r="G70" s="199"/>
      <c r="H70" s="201"/>
      <c r="I70" s="200"/>
      <c r="J70" s="199"/>
    </row>
    <row r="71" spans="2:10" x14ac:dyDescent="0.2">
      <c r="B71" s="199"/>
      <c r="C71" s="199"/>
      <c r="D71" s="199"/>
      <c r="E71" s="199"/>
      <c r="F71" s="200"/>
      <c r="G71" s="199"/>
      <c r="H71" s="201"/>
      <c r="I71" s="200"/>
      <c r="J71" s="199"/>
    </row>
    <row r="72" spans="2:10" x14ac:dyDescent="0.2">
      <c r="B72" s="199"/>
      <c r="C72" s="199"/>
      <c r="D72" s="199"/>
      <c r="E72" s="199"/>
      <c r="F72" s="200"/>
      <c r="G72" s="199"/>
      <c r="H72" s="201"/>
      <c r="I72" s="200"/>
      <c r="J72" s="199"/>
    </row>
    <row r="73" spans="2:10" x14ac:dyDescent="0.2">
      <c r="B73" s="199"/>
      <c r="C73" s="199"/>
      <c r="D73" s="199"/>
      <c r="E73" s="199"/>
      <c r="F73" s="200"/>
      <c r="G73" s="199"/>
      <c r="H73" s="201"/>
      <c r="I73" s="200"/>
      <c r="J73" s="199"/>
    </row>
    <row r="74" spans="2:10" x14ac:dyDescent="0.2">
      <c r="B74" s="199"/>
      <c r="C74" s="199"/>
      <c r="D74" s="199"/>
      <c r="E74" s="199"/>
      <c r="F74" s="200"/>
      <c r="G74" s="199"/>
      <c r="H74" s="201"/>
      <c r="I74" s="200"/>
      <c r="J74" s="199"/>
    </row>
    <row r="75" spans="2:10" x14ac:dyDescent="0.2">
      <c r="B75" s="199"/>
      <c r="C75" s="199"/>
      <c r="D75" s="199"/>
      <c r="E75" s="199"/>
      <c r="F75" s="200"/>
      <c r="G75" s="199"/>
      <c r="H75" s="201"/>
      <c r="I75" s="200"/>
      <c r="J75" s="199"/>
    </row>
    <row r="76" spans="2:10" x14ac:dyDescent="0.2">
      <c r="B76" s="199"/>
      <c r="C76" s="199"/>
      <c r="D76" s="199"/>
      <c r="E76" s="199"/>
      <c r="F76" s="200"/>
      <c r="G76" s="199"/>
      <c r="H76" s="201"/>
      <c r="I76" s="200"/>
      <c r="J76" s="199"/>
    </row>
    <row r="77" spans="2:10" x14ac:dyDescent="0.2">
      <c r="B77" s="199"/>
      <c r="C77" s="199"/>
      <c r="D77" s="199"/>
      <c r="E77" s="199"/>
      <c r="F77" s="200"/>
      <c r="G77" s="199"/>
      <c r="H77" s="201"/>
      <c r="I77" s="200"/>
      <c r="J77" s="199"/>
    </row>
    <row r="78" spans="2:10" x14ac:dyDescent="0.2">
      <c r="B78" s="199"/>
      <c r="C78" s="199"/>
      <c r="D78" s="199"/>
      <c r="E78" s="199"/>
      <c r="F78" s="200"/>
      <c r="G78" s="199"/>
      <c r="H78" s="201"/>
      <c r="I78" s="200"/>
      <c r="J78" s="199"/>
    </row>
    <row r="79" spans="2:10" x14ac:dyDescent="0.2">
      <c r="B79" s="199"/>
      <c r="C79" s="199"/>
      <c r="D79" s="199"/>
      <c r="E79" s="199"/>
      <c r="F79" s="200"/>
      <c r="G79" s="199"/>
      <c r="H79" s="201"/>
      <c r="I79" s="200"/>
      <c r="J79" s="199"/>
    </row>
    <row r="80" spans="2:10" x14ac:dyDescent="0.2">
      <c r="B80" s="199"/>
      <c r="C80" s="199"/>
      <c r="D80" s="199"/>
      <c r="E80" s="199"/>
      <c r="F80" s="200"/>
      <c r="G80" s="199"/>
      <c r="H80" s="201"/>
      <c r="I80" s="200"/>
      <c r="J80" s="199"/>
    </row>
    <row r="81" spans="2:10" x14ac:dyDescent="0.2">
      <c r="B81" s="199"/>
      <c r="C81" s="199"/>
      <c r="D81" s="199"/>
      <c r="E81" s="199"/>
      <c r="F81" s="200"/>
      <c r="G81" s="199"/>
      <c r="H81" s="201"/>
      <c r="I81" s="200"/>
      <c r="J81" s="199"/>
    </row>
    <row r="82" spans="2:10" x14ac:dyDescent="0.2">
      <c r="B82" s="199"/>
      <c r="C82" s="199"/>
      <c r="D82" s="199"/>
      <c r="E82" s="199"/>
      <c r="F82" s="200"/>
      <c r="G82" s="199"/>
      <c r="H82" s="201"/>
      <c r="I82" s="200"/>
      <c r="J82" s="199"/>
    </row>
    <row r="83" spans="2:10" x14ac:dyDescent="0.2">
      <c r="B83" s="199"/>
      <c r="C83" s="199"/>
      <c r="D83" s="199"/>
      <c r="E83" s="199"/>
      <c r="F83" s="200"/>
      <c r="G83" s="199"/>
      <c r="H83" s="201"/>
      <c r="I83" s="200"/>
      <c r="J83" s="199"/>
    </row>
    <row r="84" spans="2:10" x14ac:dyDescent="0.2">
      <c r="B84" s="199"/>
      <c r="C84" s="199"/>
      <c r="D84" s="199"/>
      <c r="E84" s="199"/>
      <c r="F84" s="200"/>
      <c r="G84" s="199"/>
      <c r="H84" s="201"/>
      <c r="I84" s="200"/>
      <c r="J84" s="199"/>
    </row>
    <row r="85" spans="2:10" x14ac:dyDescent="0.2">
      <c r="B85" s="199"/>
      <c r="C85" s="199"/>
      <c r="D85" s="199"/>
      <c r="E85" s="199"/>
      <c r="F85" s="200"/>
      <c r="G85" s="199"/>
      <c r="H85" s="201"/>
      <c r="I85" s="200"/>
      <c r="J85" s="199"/>
    </row>
    <row r="86" spans="2:10" x14ac:dyDescent="0.2">
      <c r="B86" s="199"/>
      <c r="C86" s="199"/>
      <c r="D86" s="199"/>
      <c r="E86" s="199"/>
      <c r="F86" s="200"/>
      <c r="G86" s="199"/>
      <c r="H86" s="201"/>
      <c r="I86" s="200"/>
      <c r="J86" s="199"/>
    </row>
    <row r="87" spans="2:10" x14ac:dyDescent="0.2">
      <c r="B87" s="199"/>
      <c r="C87" s="199"/>
      <c r="D87" s="199"/>
      <c r="E87" s="199"/>
      <c r="F87" s="200"/>
      <c r="G87" s="199"/>
      <c r="H87" s="201"/>
      <c r="I87" s="200"/>
      <c r="J87" s="199"/>
    </row>
    <row r="88" spans="2:10" x14ac:dyDescent="0.2">
      <c r="B88" s="199"/>
      <c r="C88" s="199"/>
      <c r="D88" s="199"/>
      <c r="E88" s="199"/>
      <c r="F88" s="200"/>
      <c r="G88" s="199"/>
      <c r="H88" s="201"/>
      <c r="I88" s="200"/>
      <c r="J88" s="199"/>
    </row>
    <row r="89" spans="2:10" x14ac:dyDescent="0.2">
      <c r="B89" s="199"/>
      <c r="C89" s="199"/>
      <c r="D89" s="199"/>
      <c r="E89" s="199"/>
      <c r="F89" s="200"/>
      <c r="G89" s="199"/>
      <c r="H89" s="201"/>
      <c r="I89" s="200"/>
      <c r="J89" s="199"/>
    </row>
    <row r="90" spans="2:10" x14ac:dyDescent="0.2">
      <c r="B90" s="199"/>
      <c r="C90" s="199"/>
      <c r="D90" s="199"/>
      <c r="E90" s="199"/>
      <c r="F90" s="200"/>
      <c r="G90" s="199"/>
      <c r="H90" s="201"/>
      <c r="I90" s="200"/>
      <c r="J90" s="199"/>
    </row>
    <row r="91" spans="2:10" x14ac:dyDescent="0.2">
      <c r="B91" s="199"/>
      <c r="C91" s="199"/>
      <c r="D91" s="199"/>
      <c r="E91" s="199"/>
      <c r="F91" s="200"/>
      <c r="G91" s="199"/>
      <c r="H91" s="201"/>
      <c r="I91" s="200"/>
      <c r="J91" s="199"/>
    </row>
    <row r="92" spans="2:10" x14ac:dyDescent="0.2">
      <c r="B92" s="199"/>
      <c r="C92" s="199"/>
      <c r="D92" s="199"/>
      <c r="E92" s="199"/>
      <c r="F92" s="200"/>
      <c r="G92" s="199"/>
      <c r="H92" s="201"/>
      <c r="I92" s="200"/>
      <c r="J92" s="199"/>
    </row>
    <row r="93" spans="2:10" x14ac:dyDescent="0.2">
      <c r="B93" s="199"/>
      <c r="C93" s="199"/>
      <c r="D93" s="199"/>
      <c r="E93" s="199"/>
      <c r="F93" s="200"/>
      <c r="G93" s="199"/>
      <c r="H93" s="201"/>
      <c r="I93" s="200"/>
      <c r="J93" s="199"/>
    </row>
    <row r="94" spans="2:10" x14ac:dyDescent="0.2">
      <c r="B94" s="199"/>
      <c r="C94" s="199"/>
      <c r="D94" s="199"/>
      <c r="E94" s="199"/>
      <c r="F94" s="200"/>
      <c r="G94" s="199"/>
      <c r="H94" s="201"/>
      <c r="I94" s="200"/>
      <c r="J94" s="199"/>
    </row>
    <row r="95" spans="2:10" x14ac:dyDescent="0.2">
      <c r="B95" s="199"/>
      <c r="C95" s="199"/>
      <c r="D95" s="199"/>
      <c r="E95" s="199"/>
      <c r="F95" s="200"/>
      <c r="G95" s="199"/>
      <c r="H95" s="201"/>
      <c r="I95" s="200"/>
      <c r="J95" s="199"/>
    </row>
    <row r="96" spans="2:10" x14ac:dyDescent="0.2">
      <c r="B96" s="199"/>
      <c r="C96" s="199"/>
      <c r="D96" s="199"/>
      <c r="E96" s="199"/>
      <c r="F96" s="200"/>
      <c r="G96" s="199"/>
      <c r="H96" s="201"/>
      <c r="I96" s="200"/>
      <c r="J96" s="199"/>
    </row>
    <row r="97" spans="2:10" x14ac:dyDescent="0.2">
      <c r="B97" s="199"/>
      <c r="C97" s="199"/>
      <c r="D97" s="199"/>
      <c r="E97" s="199"/>
      <c r="F97" s="200"/>
      <c r="G97" s="199"/>
      <c r="H97" s="201"/>
      <c r="I97" s="200"/>
      <c r="J97" s="199"/>
    </row>
    <row r="98" spans="2:10" x14ac:dyDescent="0.2">
      <c r="B98" s="199"/>
      <c r="C98" s="199"/>
      <c r="D98" s="199"/>
      <c r="E98" s="199"/>
      <c r="F98" s="200"/>
      <c r="G98" s="199"/>
      <c r="H98" s="201"/>
      <c r="I98" s="200"/>
      <c r="J98" s="199"/>
    </row>
    <row r="99" spans="2:10" x14ac:dyDescent="0.2">
      <c r="B99" s="199"/>
      <c r="C99" s="199"/>
      <c r="D99" s="199"/>
      <c r="E99" s="199"/>
      <c r="F99" s="200"/>
      <c r="G99" s="199"/>
      <c r="H99" s="201"/>
      <c r="I99" s="200"/>
      <c r="J99" s="199"/>
    </row>
    <row r="100" spans="2:10" x14ac:dyDescent="0.2">
      <c r="B100" s="199"/>
      <c r="C100" s="199"/>
      <c r="D100" s="199"/>
      <c r="E100" s="199"/>
      <c r="F100" s="200"/>
      <c r="G100" s="199"/>
      <c r="H100" s="201"/>
      <c r="I100" s="200"/>
      <c r="J100" s="199"/>
    </row>
    <row r="101" spans="2:10" x14ac:dyDescent="0.2">
      <c r="B101" s="199"/>
      <c r="C101" s="199"/>
      <c r="D101" s="199"/>
      <c r="E101" s="199"/>
      <c r="F101" s="200"/>
      <c r="G101" s="199"/>
      <c r="H101" s="201"/>
      <c r="I101" s="200"/>
      <c r="J101" s="199"/>
    </row>
    <row r="102" spans="2:10" x14ac:dyDescent="0.2">
      <c r="B102" s="199"/>
      <c r="C102" s="199"/>
      <c r="D102" s="199"/>
      <c r="E102" s="199"/>
      <c r="F102" s="200"/>
      <c r="G102" s="199"/>
      <c r="H102" s="201"/>
      <c r="I102" s="200"/>
      <c r="J102" s="199"/>
    </row>
    <row r="103" spans="2:10" x14ac:dyDescent="0.2">
      <c r="B103" s="199"/>
      <c r="C103" s="199"/>
      <c r="D103" s="199"/>
      <c r="E103" s="199"/>
      <c r="F103" s="200"/>
      <c r="G103" s="199"/>
      <c r="H103" s="201"/>
      <c r="I103" s="200"/>
      <c r="J103" s="199"/>
    </row>
    <row r="104" spans="2:10" x14ac:dyDescent="0.2">
      <c r="B104" s="199"/>
      <c r="C104" s="199"/>
      <c r="D104" s="199"/>
      <c r="E104" s="199"/>
      <c r="F104" s="200"/>
      <c r="G104" s="199"/>
      <c r="H104" s="201"/>
      <c r="I104" s="200"/>
      <c r="J104" s="199"/>
    </row>
    <row r="105" spans="2:10" x14ac:dyDescent="0.2">
      <c r="B105" s="199"/>
      <c r="C105" s="199"/>
      <c r="D105" s="199"/>
      <c r="E105" s="199"/>
      <c r="F105" s="200"/>
      <c r="G105" s="199"/>
      <c r="H105" s="201"/>
      <c r="I105" s="200"/>
      <c r="J105" s="199"/>
    </row>
    <row r="106" spans="2:10" x14ac:dyDescent="0.2">
      <c r="B106" s="199"/>
      <c r="C106" s="199"/>
      <c r="D106" s="199"/>
      <c r="E106" s="199"/>
      <c r="F106" s="200"/>
      <c r="G106" s="199"/>
      <c r="H106" s="201"/>
      <c r="I106" s="200"/>
      <c r="J106" s="199"/>
    </row>
    <row r="107" spans="2:10" x14ac:dyDescent="0.2">
      <c r="B107" s="199"/>
      <c r="C107" s="199"/>
      <c r="D107" s="199"/>
      <c r="E107" s="199"/>
      <c r="F107" s="200"/>
      <c r="G107" s="199"/>
      <c r="H107" s="201"/>
      <c r="I107" s="200"/>
      <c r="J107" s="199"/>
    </row>
    <row r="108" spans="2:10" x14ac:dyDescent="0.2">
      <c r="B108" s="199"/>
      <c r="C108" s="199"/>
      <c r="D108" s="199"/>
      <c r="E108" s="199"/>
      <c r="F108" s="200"/>
      <c r="G108" s="199"/>
      <c r="H108" s="201"/>
      <c r="I108" s="200"/>
      <c r="J108" s="199"/>
    </row>
    <row r="109" spans="2:10" x14ac:dyDescent="0.2">
      <c r="B109" s="199"/>
      <c r="C109" s="199"/>
      <c r="D109" s="199"/>
      <c r="E109" s="199"/>
      <c r="F109" s="200"/>
      <c r="G109" s="199"/>
      <c r="H109" s="201"/>
      <c r="I109" s="200"/>
      <c r="J109" s="199"/>
    </row>
    <row r="110" spans="2:10" x14ac:dyDescent="0.2">
      <c r="B110" s="199"/>
      <c r="C110" s="199"/>
      <c r="D110" s="199"/>
      <c r="E110" s="199"/>
      <c r="F110" s="200"/>
      <c r="G110" s="199"/>
      <c r="H110" s="201"/>
      <c r="I110" s="200"/>
      <c r="J110" s="199"/>
    </row>
    <row r="111" spans="2:10" x14ac:dyDescent="0.2">
      <c r="B111" s="199"/>
      <c r="C111" s="199"/>
      <c r="D111" s="199"/>
      <c r="E111" s="199"/>
      <c r="F111" s="200"/>
      <c r="G111" s="199"/>
      <c r="H111" s="201"/>
      <c r="I111" s="200"/>
      <c r="J111" s="199"/>
    </row>
    <row r="112" spans="2:10" x14ac:dyDescent="0.2">
      <c r="B112" s="199"/>
      <c r="C112" s="199"/>
      <c r="D112" s="199"/>
      <c r="E112" s="199"/>
      <c r="F112" s="200"/>
      <c r="G112" s="199"/>
      <c r="H112" s="201"/>
      <c r="I112" s="200"/>
      <c r="J112" s="199"/>
    </row>
    <row r="113" spans="2:10" x14ac:dyDescent="0.2">
      <c r="B113" s="199"/>
      <c r="C113" s="199"/>
      <c r="D113" s="199"/>
      <c r="E113" s="199"/>
      <c r="F113" s="200"/>
      <c r="G113" s="199"/>
      <c r="H113" s="201"/>
      <c r="I113" s="200"/>
      <c r="J113" s="199"/>
    </row>
    <row r="114" spans="2:10" x14ac:dyDescent="0.2">
      <c r="B114" s="199"/>
      <c r="C114" s="199"/>
      <c r="D114" s="199"/>
      <c r="E114" s="199"/>
      <c r="F114" s="200"/>
      <c r="G114" s="199"/>
      <c r="H114" s="201"/>
      <c r="I114" s="200"/>
      <c r="J114" s="199"/>
    </row>
    <row r="115" spans="2:10" x14ac:dyDescent="0.2">
      <c r="B115" s="199"/>
      <c r="C115" s="199"/>
      <c r="D115" s="199"/>
      <c r="E115" s="199"/>
      <c r="F115" s="200"/>
      <c r="G115" s="199"/>
      <c r="H115" s="201"/>
      <c r="I115" s="200"/>
      <c r="J115" s="199"/>
    </row>
    <row r="116" spans="2:10" x14ac:dyDescent="0.2">
      <c r="B116" s="199"/>
      <c r="C116" s="199"/>
      <c r="D116" s="199"/>
      <c r="E116" s="199"/>
      <c r="F116" s="200"/>
      <c r="G116" s="199"/>
      <c r="H116" s="201"/>
      <c r="I116" s="200"/>
      <c r="J116" s="199"/>
    </row>
    <row r="117" spans="2:10" x14ac:dyDescent="0.2">
      <c r="B117" s="199"/>
      <c r="C117" s="199"/>
      <c r="D117" s="199"/>
      <c r="E117" s="199"/>
      <c r="F117" s="200"/>
      <c r="G117" s="199"/>
      <c r="H117" s="201"/>
      <c r="I117" s="200"/>
      <c r="J117" s="199"/>
    </row>
    <row r="118" spans="2:10" x14ac:dyDescent="0.2">
      <c r="B118" s="199"/>
      <c r="C118" s="199"/>
      <c r="D118" s="199"/>
      <c r="E118" s="199"/>
      <c r="F118" s="200"/>
      <c r="G118" s="199"/>
      <c r="H118" s="201"/>
      <c r="I118" s="200"/>
      <c r="J118" s="199"/>
    </row>
    <row r="119" spans="2:10" x14ac:dyDescent="0.2">
      <c r="B119" s="199"/>
      <c r="C119" s="199"/>
      <c r="D119" s="199"/>
      <c r="E119" s="199"/>
      <c r="F119" s="200"/>
      <c r="G119" s="199"/>
      <c r="H119" s="201"/>
      <c r="I119" s="200"/>
      <c r="J119" s="199"/>
    </row>
    <row r="120" spans="2:10" x14ac:dyDescent="0.2">
      <c r="B120" s="199"/>
      <c r="C120" s="199"/>
      <c r="D120" s="199"/>
      <c r="E120" s="199"/>
      <c r="F120" s="200"/>
      <c r="G120" s="199"/>
      <c r="H120" s="201"/>
      <c r="I120" s="200"/>
      <c r="J120" s="199"/>
    </row>
    <row r="121" spans="2:10" x14ac:dyDescent="0.2">
      <c r="B121" s="199"/>
      <c r="C121" s="199"/>
      <c r="D121" s="199"/>
      <c r="E121" s="199"/>
      <c r="F121" s="200"/>
      <c r="G121" s="199"/>
      <c r="H121" s="201"/>
      <c r="I121" s="200"/>
      <c r="J121" s="199"/>
    </row>
    <row r="122" spans="2:10" x14ac:dyDescent="0.2">
      <c r="B122" s="199"/>
      <c r="C122" s="199"/>
      <c r="D122" s="199"/>
      <c r="E122" s="199"/>
      <c r="F122" s="200"/>
      <c r="G122" s="199"/>
      <c r="H122" s="201"/>
      <c r="I122" s="200"/>
      <c r="J122" s="199"/>
    </row>
    <row r="123" spans="2:10" x14ac:dyDescent="0.2">
      <c r="B123" s="199"/>
      <c r="C123" s="199"/>
      <c r="D123" s="199"/>
      <c r="E123" s="199"/>
      <c r="F123" s="200"/>
      <c r="G123" s="199"/>
      <c r="H123" s="201"/>
      <c r="I123" s="200"/>
      <c r="J123" s="199"/>
    </row>
    <row r="124" spans="2:10" x14ac:dyDescent="0.2">
      <c r="B124" s="199"/>
      <c r="C124" s="199"/>
      <c r="D124" s="199"/>
      <c r="E124" s="199"/>
      <c r="F124" s="200"/>
      <c r="G124" s="199"/>
      <c r="H124" s="201"/>
      <c r="I124" s="200"/>
      <c r="J124" s="199"/>
    </row>
    <row r="125" spans="2:10" x14ac:dyDescent="0.2">
      <c r="B125" s="199"/>
      <c r="C125" s="199"/>
      <c r="D125" s="199"/>
      <c r="E125" s="199"/>
      <c r="F125" s="200"/>
      <c r="G125" s="199"/>
      <c r="H125" s="201"/>
      <c r="I125" s="200"/>
      <c r="J125" s="199"/>
    </row>
    <row r="126" spans="2:10" x14ac:dyDescent="0.2">
      <c r="B126" s="199"/>
      <c r="C126" s="199"/>
      <c r="D126" s="199"/>
      <c r="E126" s="199"/>
      <c r="F126" s="200"/>
      <c r="G126" s="199"/>
      <c r="H126" s="201"/>
      <c r="I126" s="200"/>
      <c r="J126" s="199"/>
    </row>
    <row r="127" spans="2:10" x14ac:dyDescent="0.2">
      <c r="B127" s="199"/>
      <c r="C127" s="199"/>
      <c r="D127" s="199"/>
      <c r="E127" s="199"/>
      <c r="F127" s="200"/>
      <c r="G127" s="199"/>
      <c r="H127" s="201"/>
      <c r="I127" s="200"/>
      <c r="J127" s="199"/>
    </row>
    <row r="128" spans="2:10" x14ac:dyDescent="0.2">
      <c r="B128" s="199"/>
      <c r="C128" s="199"/>
      <c r="D128" s="199"/>
      <c r="E128" s="199"/>
      <c r="F128" s="200"/>
      <c r="G128" s="199"/>
      <c r="H128" s="201"/>
      <c r="I128" s="200"/>
      <c r="J128" s="199"/>
    </row>
    <row r="129" spans="2:10" x14ac:dyDescent="0.2">
      <c r="B129" s="199"/>
      <c r="C129" s="199"/>
      <c r="D129" s="199"/>
      <c r="E129" s="199"/>
      <c r="F129" s="200"/>
      <c r="G129" s="199"/>
      <c r="H129" s="201"/>
      <c r="I129" s="200"/>
      <c r="J129" s="199"/>
    </row>
    <row r="130" spans="2:10" x14ac:dyDescent="0.2">
      <c r="B130" s="199"/>
      <c r="C130" s="199"/>
      <c r="D130" s="199"/>
      <c r="E130" s="199"/>
      <c r="F130" s="200"/>
      <c r="G130" s="199"/>
      <c r="H130" s="201"/>
      <c r="I130" s="200"/>
      <c r="J130" s="199"/>
    </row>
    <row r="131" spans="2:10" x14ac:dyDescent="0.2">
      <c r="B131" s="199"/>
      <c r="C131" s="199"/>
      <c r="D131" s="199"/>
      <c r="E131" s="199"/>
      <c r="F131" s="200"/>
      <c r="G131" s="199"/>
      <c r="H131" s="201"/>
      <c r="I131" s="200"/>
      <c r="J131" s="199"/>
    </row>
    <row r="132" spans="2:10" x14ac:dyDescent="0.2">
      <c r="B132" s="199"/>
      <c r="C132" s="199"/>
      <c r="D132" s="199"/>
      <c r="E132" s="199"/>
      <c r="F132" s="200"/>
      <c r="G132" s="199"/>
      <c r="H132" s="201"/>
      <c r="I132" s="200"/>
      <c r="J132" s="199"/>
    </row>
    <row r="133" spans="2:10" x14ac:dyDescent="0.2">
      <c r="B133" s="199"/>
      <c r="C133" s="199"/>
      <c r="D133" s="199"/>
      <c r="E133" s="199"/>
      <c r="F133" s="200"/>
      <c r="G133" s="199"/>
      <c r="H133" s="201"/>
      <c r="I133" s="200"/>
      <c r="J133" s="199"/>
    </row>
    <row r="134" spans="2:10" x14ac:dyDescent="0.2">
      <c r="B134" s="199"/>
      <c r="C134" s="199"/>
      <c r="D134" s="199"/>
      <c r="E134" s="199"/>
      <c r="F134" s="200"/>
      <c r="G134" s="199"/>
      <c r="H134" s="201"/>
      <c r="I134" s="200"/>
      <c r="J134" s="199"/>
    </row>
    <row r="135" spans="2:10" x14ac:dyDescent="0.2">
      <c r="B135" s="199"/>
      <c r="C135" s="199"/>
      <c r="D135" s="199"/>
      <c r="E135" s="199"/>
      <c r="F135" s="200"/>
      <c r="G135" s="199"/>
      <c r="H135" s="201"/>
      <c r="I135" s="200"/>
      <c r="J135" s="199"/>
    </row>
    <row r="136" spans="2:10" x14ac:dyDescent="0.2">
      <c r="B136" s="199"/>
      <c r="C136" s="199"/>
      <c r="D136" s="199"/>
      <c r="E136" s="199"/>
      <c r="F136" s="200"/>
      <c r="G136" s="199"/>
      <c r="H136" s="201"/>
      <c r="I136" s="200"/>
      <c r="J136" s="199"/>
    </row>
    <row r="137" spans="2:10" x14ac:dyDescent="0.2">
      <c r="B137" s="199"/>
      <c r="C137" s="199"/>
      <c r="D137" s="199"/>
      <c r="E137" s="199"/>
      <c r="F137" s="200"/>
      <c r="G137" s="199"/>
      <c r="H137" s="201"/>
      <c r="I137" s="200"/>
      <c r="J137" s="199"/>
    </row>
    <row r="138" spans="2:10" x14ac:dyDescent="0.2">
      <c r="B138" s="199"/>
      <c r="C138" s="199"/>
      <c r="D138" s="199"/>
      <c r="E138" s="199"/>
      <c r="F138" s="200"/>
      <c r="G138" s="199"/>
      <c r="H138" s="201"/>
      <c r="I138" s="200"/>
      <c r="J138" s="199"/>
    </row>
    <row r="139" spans="2:10" x14ac:dyDescent="0.2">
      <c r="B139" s="199"/>
      <c r="C139" s="199"/>
      <c r="D139" s="199"/>
      <c r="E139" s="199"/>
      <c r="F139" s="200"/>
      <c r="G139" s="199"/>
      <c r="H139" s="201"/>
      <c r="I139" s="200"/>
      <c r="J139" s="199"/>
    </row>
    <row r="140" spans="2:10" x14ac:dyDescent="0.2">
      <c r="B140" s="199"/>
      <c r="C140" s="199"/>
      <c r="D140" s="199"/>
      <c r="E140" s="199"/>
      <c r="F140" s="200"/>
      <c r="G140" s="199"/>
      <c r="H140" s="201"/>
      <c r="I140" s="200"/>
      <c r="J140" s="199"/>
    </row>
    <row r="141" spans="2:10" x14ac:dyDescent="0.2">
      <c r="B141" s="199"/>
      <c r="C141" s="199"/>
      <c r="D141" s="199"/>
      <c r="E141" s="199"/>
      <c r="F141" s="200"/>
      <c r="G141" s="199"/>
      <c r="H141" s="201"/>
      <c r="I141" s="200"/>
      <c r="J141" s="199"/>
    </row>
    <row r="142" spans="2:10" x14ac:dyDescent="0.2">
      <c r="B142" s="199"/>
      <c r="C142" s="199"/>
      <c r="D142" s="199"/>
      <c r="E142" s="199"/>
      <c r="F142" s="200"/>
      <c r="G142" s="199"/>
      <c r="H142" s="201"/>
      <c r="I142" s="200"/>
      <c r="J142" s="199"/>
    </row>
    <row r="143" spans="2:10" x14ac:dyDescent="0.2">
      <c r="B143" s="199"/>
      <c r="C143" s="199"/>
      <c r="D143" s="199"/>
      <c r="E143" s="199"/>
      <c r="F143" s="200"/>
      <c r="G143" s="199"/>
      <c r="H143" s="201"/>
      <c r="I143" s="200"/>
      <c r="J143" s="199"/>
    </row>
    <row r="144" spans="2:10" x14ac:dyDescent="0.2">
      <c r="B144" s="199"/>
      <c r="C144" s="199"/>
      <c r="D144" s="199"/>
      <c r="E144" s="199"/>
      <c r="F144" s="200"/>
      <c r="G144" s="199"/>
      <c r="H144" s="201"/>
      <c r="I144" s="200"/>
      <c r="J144" s="199"/>
    </row>
    <row r="145" spans="2:10" x14ac:dyDescent="0.2">
      <c r="B145" s="199"/>
      <c r="C145" s="199"/>
      <c r="D145" s="199"/>
      <c r="E145" s="199"/>
      <c r="F145" s="200"/>
      <c r="G145" s="199"/>
      <c r="H145" s="201"/>
      <c r="I145" s="200"/>
      <c r="J145" s="199"/>
    </row>
    <row r="146" spans="2:10" x14ac:dyDescent="0.2">
      <c r="B146" s="199"/>
      <c r="C146" s="199"/>
      <c r="D146" s="199"/>
      <c r="E146" s="199"/>
      <c r="F146" s="200"/>
      <c r="G146" s="199"/>
      <c r="H146" s="201"/>
      <c r="I146" s="200"/>
      <c r="J146" s="199"/>
    </row>
    <row r="147" spans="2:10" x14ac:dyDescent="0.2">
      <c r="B147" s="199"/>
      <c r="C147" s="199"/>
      <c r="D147" s="199"/>
      <c r="E147" s="199"/>
      <c r="F147" s="200"/>
      <c r="G147" s="199"/>
      <c r="H147" s="201"/>
      <c r="I147" s="200"/>
      <c r="J147" s="199"/>
    </row>
    <row r="148" spans="2:10" x14ac:dyDescent="0.2">
      <c r="B148" s="199"/>
      <c r="C148" s="199"/>
      <c r="D148" s="199"/>
      <c r="E148" s="199"/>
      <c r="F148" s="200"/>
      <c r="G148" s="199"/>
      <c r="H148" s="201"/>
      <c r="I148" s="200"/>
      <c r="J148" s="199"/>
    </row>
    <row r="149" spans="2:10" x14ac:dyDescent="0.2">
      <c r="B149" s="199"/>
      <c r="C149" s="199"/>
      <c r="D149" s="199"/>
      <c r="E149" s="199"/>
      <c r="F149" s="200"/>
      <c r="G149" s="199"/>
      <c r="H149" s="201"/>
      <c r="I149" s="200"/>
      <c r="J149" s="199"/>
    </row>
    <row r="150" spans="2:10" x14ac:dyDescent="0.2">
      <c r="B150" s="199"/>
      <c r="C150" s="199"/>
      <c r="D150" s="199"/>
      <c r="E150" s="199"/>
      <c r="F150" s="200"/>
      <c r="G150" s="199"/>
      <c r="H150" s="201"/>
      <c r="I150" s="200"/>
      <c r="J150" s="199"/>
    </row>
    <row r="151" spans="2:10" x14ac:dyDescent="0.2">
      <c r="B151" s="199"/>
      <c r="C151" s="199"/>
      <c r="D151" s="199"/>
      <c r="E151" s="199"/>
      <c r="F151" s="200"/>
      <c r="G151" s="199"/>
      <c r="H151" s="201"/>
      <c r="I151" s="200"/>
      <c r="J151" s="199"/>
    </row>
    <row r="152" spans="2:10" x14ac:dyDescent="0.2">
      <c r="B152" s="199"/>
      <c r="C152" s="199"/>
      <c r="D152" s="199"/>
      <c r="E152" s="199"/>
      <c r="F152" s="200"/>
      <c r="G152" s="199"/>
      <c r="H152" s="201"/>
      <c r="I152" s="200"/>
      <c r="J152" s="199"/>
    </row>
    <row r="153" spans="2:10" x14ac:dyDescent="0.2">
      <c r="B153" s="199"/>
      <c r="C153" s="199"/>
      <c r="D153" s="199"/>
      <c r="E153" s="199"/>
      <c r="F153" s="200"/>
      <c r="G153" s="199"/>
      <c r="H153" s="201"/>
      <c r="I153" s="200"/>
      <c r="J153" s="199"/>
    </row>
    <row r="154" spans="2:10" x14ac:dyDescent="0.2">
      <c r="B154" s="199"/>
      <c r="C154" s="199"/>
      <c r="D154" s="199"/>
      <c r="E154" s="199"/>
      <c r="F154" s="200"/>
      <c r="G154" s="199"/>
      <c r="H154" s="201"/>
      <c r="I154" s="200"/>
      <c r="J154" s="199"/>
    </row>
    <row r="155" spans="2:10" x14ac:dyDescent="0.2">
      <c r="B155" s="199"/>
      <c r="C155" s="199"/>
      <c r="D155" s="199"/>
      <c r="E155" s="199"/>
      <c r="F155" s="200"/>
      <c r="G155" s="199"/>
      <c r="H155" s="201"/>
      <c r="I155" s="200"/>
      <c r="J155" s="199"/>
    </row>
    <row r="156" spans="2:10" x14ac:dyDescent="0.2">
      <c r="B156" s="199"/>
      <c r="C156" s="199"/>
      <c r="D156" s="199"/>
      <c r="E156" s="199"/>
      <c r="F156" s="200"/>
      <c r="G156" s="199"/>
      <c r="H156" s="201"/>
      <c r="I156" s="200"/>
      <c r="J156" s="199"/>
    </row>
    <row r="157" spans="2:10" x14ac:dyDescent="0.2">
      <c r="B157" s="199"/>
      <c r="C157" s="199"/>
      <c r="D157" s="199"/>
      <c r="E157" s="199"/>
      <c r="F157" s="200"/>
      <c r="G157" s="199"/>
      <c r="H157" s="201"/>
      <c r="I157" s="200"/>
      <c r="J157" s="199"/>
    </row>
    <row r="158" spans="2:10" x14ac:dyDescent="0.2">
      <c r="B158" s="199"/>
      <c r="C158" s="199"/>
      <c r="D158" s="199"/>
      <c r="E158" s="199"/>
      <c r="F158" s="200"/>
      <c r="G158" s="199"/>
      <c r="H158" s="201"/>
      <c r="I158" s="200"/>
      <c r="J158" s="199"/>
    </row>
    <row r="159" spans="2:10" x14ac:dyDescent="0.2">
      <c r="B159" s="199"/>
      <c r="C159" s="199"/>
      <c r="D159" s="199"/>
      <c r="E159" s="199"/>
      <c r="F159" s="200"/>
      <c r="G159" s="199"/>
      <c r="H159" s="201"/>
      <c r="I159" s="200"/>
      <c r="J159" s="199"/>
    </row>
    <row r="160" spans="2:10" x14ac:dyDescent="0.2">
      <c r="B160" s="199"/>
      <c r="C160" s="199"/>
      <c r="D160" s="199"/>
      <c r="E160" s="199"/>
      <c r="F160" s="200"/>
      <c r="G160" s="199"/>
      <c r="H160" s="201"/>
      <c r="I160" s="200"/>
      <c r="J160" s="199"/>
    </row>
    <row r="161" spans="2:10" x14ac:dyDescent="0.2">
      <c r="B161" s="199"/>
      <c r="C161" s="199"/>
      <c r="D161" s="199"/>
      <c r="E161" s="199"/>
      <c r="F161" s="200"/>
      <c r="G161" s="199"/>
      <c r="H161" s="201"/>
      <c r="I161" s="200"/>
      <c r="J161" s="199"/>
    </row>
    <row r="162" spans="2:10" x14ac:dyDescent="0.2">
      <c r="B162" s="199"/>
      <c r="C162" s="199"/>
      <c r="D162" s="199"/>
      <c r="E162" s="199"/>
      <c r="F162" s="200"/>
      <c r="G162" s="199"/>
      <c r="H162" s="201"/>
      <c r="I162" s="200"/>
      <c r="J162" s="199"/>
    </row>
    <row r="163" spans="2:10" x14ac:dyDescent="0.2">
      <c r="B163" s="199"/>
      <c r="C163" s="199"/>
      <c r="D163" s="199"/>
      <c r="E163" s="199"/>
      <c r="F163" s="200"/>
      <c r="G163" s="199"/>
      <c r="H163" s="201"/>
      <c r="I163" s="200"/>
      <c r="J163" s="199"/>
    </row>
    <row r="164" spans="2:10" x14ac:dyDescent="0.2">
      <c r="B164" s="199"/>
      <c r="C164" s="199"/>
      <c r="D164" s="199"/>
      <c r="E164" s="199"/>
      <c r="F164" s="200"/>
      <c r="G164" s="199"/>
      <c r="H164" s="201"/>
      <c r="I164" s="200"/>
      <c r="J164" s="199"/>
    </row>
    <row r="165" spans="2:10" x14ac:dyDescent="0.2">
      <c r="B165" s="199"/>
      <c r="C165" s="199"/>
      <c r="D165" s="199"/>
      <c r="E165" s="199"/>
      <c r="F165" s="200"/>
      <c r="G165" s="199"/>
      <c r="H165" s="201"/>
      <c r="I165" s="200"/>
      <c r="J165" s="199"/>
    </row>
    <row r="166" spans="2:10" x14ac:dyDescent="0.2">
      <c r="B166" s="199"/>
      <c r="C166" s="199"/>
      <c r="D166" s="199"/>
      <c r="E166" s="199"/>
      <c r="F166" s="200"/>
      <c r="G166" s="199"/>
      <c r="H166" s="201"/>
      <c r="I166" s="200"/>
      <c r="J166" s="199"/>
    </row>
    <row r="167" spans="2:10" x14ac:dyDescent="0.2">
      <c r="B167" s="199"/>
      <c r="C167" s="199"/>
      <c r="D167" s="199"/>
      <c r="E167" s="199"/>
      <c r="F167" s="200"/>
      <c r="G167" s="199"/>
      <c r="H167" s="201"/>
      <c r="I167" s="200"/>
      <c r="J167" s="199"/>
    </row>
    <row r="168" spans="2:10" x14ac:dyDescent="0.2">
      <c r="B168" s="199"/>
      <c r="C168" s="199"/>
      <c r="D168" s="199"/>
      <c r="E168" s="199"/>
      <c r="F168" s="200"/>
      <c r="G168" s="199"/>
      <c r="H168" s="201"/>
      <c r="I168" s="200"/>
      <c r="J168" s="199"/>
    </row>
    <row r="169" spans="2:10" x14ac:dyDescent="0.2">
      <c r="B169" s="199"/>
      <c r="C169" s="199"/>
      <c r="D169" s="199"/>
      <c r="E169" s="199"/>
      <c r="F169" s="200"/>
      <c r="G169" s="199"/>
      <c r="H169" s="201"/>
      <c r="I169" s="200"/>
      <c r="J169" s="199"/>
    </row>
  </sheetData>
  <mergeCells count="31">
    <mergeCell ref="D3:E3"/>
    <mergeCell ref="F3:J3"/>
    <mergeCell ref="C4:I4"/>
    <mergeCell ref="F5:I6"/>
    <mergeCell ref="C6:D6"/>
    <mergeCell ref="C7:F7"/>
    <mergeCell ref="H7:I7"/>
    <mergeCell ref="C10:D10"/>
    <mergeCell ref="C11:D11"/>
    <mergeCell ref="C12:D12"/>
    <mergeCell ref="C13:D13"/>
    <mergeCell ref="C14:D14"/>
    <mergeCell ref="C15:D15"/>
    <mergeCell ref="C16:D16"/>
    <mergeCell ref="C17:H17"/>
    <mergeCell ref="C19:D19"/>
    <mergeCell ref="C20:D20"/>
    <mergeCell ref="C21:D21"/>
    <mergeCell ref="C22:D22"/>
    <mergeCell ref="C23:D23"/>
    <mergeCell ref="C24:H24"/>
    <mergeCell ref="D26:F26"/>
    <mergeCell ref="D27:F27"/>
    <mergeCell ref="D28:F28"/>
    <mergeCell ref="C45:H45"/>
    <mergeCell ref="D29:F29"/>
    <mergeCell ref="D30:F30"/>
    <mergeCell ref="D31:F31"/>
    <mergeCell ref="C32:H32"/>
    <mergeCell ref="C40:H40"/>
    <mergeCell ref="C41:H41"/>
  </mergeCells>
  <pageMargins left="0.7" right="0.7" top="0.75" bottom="0.75" header="0.3" footer="0.3"/>
  <pageSetup scale="86" orientation="portrait" r:id="rId1"/>
  <rowBreaks count="1" manualBreakCount="1">
    <brk id="50" min="2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8"/>
  <sheetViews>
    <sheetView showGridLines="0" zoomScale="60" zoomScaleNormal="60" workbookViewId="0">
      <pane ySplit="6465" topLeftCell="A52"/>
      <selection activeCell="A2" sqref="A2:E2"/>
      <selection pane="bottomLeft" activeCell="G60" sqref="G60"/>
    </sheetView>
  </sheetViews>
  <sheetFormatPr baseColWidth="10" defaultColWidth="11.42578125" defaultRowHeight="15" x14ac:dyDescent="0.2"/>
  <cols>
    <col min="1" max="1" width="6.85546875" style="8" customWidth="1"/>
    <col min="2" max="2" width="60" style="1" customWidth="1"/>
    <col min="3" max="3" width="6.28515625" style="1" customWidth="1"/>
    <col min="4" max="4" width="12" style="1" customWidth="1"/>
    <col min="5" max="5" width="7.28515625" style="1" customWidth="1"/>
    <col min="6" max="6" width="13.42578125" style="172" customWidth="1"/>
    <col min="7" max="7" width="22.42578125" style="1" customWidth="1"/>
    <col min="8" max="8" width="19" style="1" customWidth="1"/>
    <col min="9" max="16384" width="11.42578125" style="1"/>
  </cols>
  <sheetData>
    <row r="1" spans="1:7" ht="113.25" customHeight="1" x14ac:dyDescent="0.2">
      <c r="A1" s="368" t="s">
        <v>157</v>
      </c>
      <c r="B1" s="368"/>
      <c r="C1" s="368"/>
      <c r="D1" s="368"/>
      <c r="E1" s="368"/>
      <c r="F1" s="368"/>
      <c r="G1" s="368"/>
    </row>
    <row r="2" spans="1:7" ht="23.25" customHeight="1" x14ac:dyDescent="0.2">
      <c r="A2" s="369" t="s">
        <v>161</v>
      </c>
      <c r="B2" s="369"/>
      <c r="C2" s="369"/>
      <c r="D2" s="369"/>
      <c r="E2" s="369"/>
    </row>
    <row r="3" spans="1:7" ht="25.5" customHeight="1" x14ac:dyDescent="0.2">
      <c r="B3" s="12" t="s">
        <v>136</v>
      </c>
      <c r="F3" s="313"/>
      <c r="G3" s="314"/>
    </row>
    <row r="4" spans="1:7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</row>
    <row r="5" spans="1:7" ht="18.75" customHeight="1" x14ac:dyDescent="0.2">
      <c r="A5" s="42"/>
      <c r="B5" s="22"/>
      <c r="C5" s="19"/>
      <c r="D5" s="41"/>
      <c r="E5" s="42"/>
      <c r="F5" s="17"/>
      <c r="G5" s="17"/>
    </row>
    <row r="6" spans="1:7" x14ac:dyDescent="0.2">
      <c r="A6" s="137"/>
      <c r="B6" s="196" t="str">
        <f>UPPER("aeropuerto Berastegui de Cienaga de Oro - Cordoba")</f>
        <v>AEROPUERTO BERASTEGUI DE CIENAGA DE ORO - CORDOBA</v>
      </c>
      <c r="C6" s="42"/>
      <c r="D6" s="71"/>
      <c r="E6" s="3"/>
      <c r="F6" s="44"/>
      <c r="G6" s="17">
        <f>ROUND((D6*E6*F6),0)</f>
        <v>0</v>
      </c>
    </row>
    <row r="7" spans="1:7" ht="63.75" x14ac:dyDescent="0.2">
      <c r="A7" s="137">
        <v>1</v>
      </c>
      <c r="B7" s="22" t="s">
        <v>13</v>
      </c>
      <c r="C7" s="137" t="s">
        <v>1</v>
      </c>
      <c r="D7" s="158">
        <v>25</v>
      </c>
      <c r="E7" s="123">
        <v>4</v>
      </c>
      <c r="F7" s="17"/>
      <c r="G7" s="17"/>
    </row>
    <row r="8" spans="1:7" ht="76.5" x14ac:dyDescent="0.2">
      <c r="A8" s="137">
        <v>2</v>
      </c>
      <c r="B8" s="22" t="s">
        <v>59</v>
      </c>
      <c r="C8" s="137" t="s">
        <v>2</v>
      </c>
      <c r="D8" s="158">
        <v>0</v>
      </c>
      <c r="E8" s="123">
        <v>1</v>
      </c>
      <c r="F8" s="17"/>
      <c r="G8" s="17"/>
    </row>
    <row r="9" spans="1:7" ht="63.75" x14ac:dyDescent="0.2">
      <c r="A9" s="137">
        <v>3</v>
      </c>
      <c r="B9" s="22" t="s">
        <v>14</v>
      </c>
      <c r="C9" s="159" t="s">
        <v>2</v>
      </c>
      <c r="D9" s="160">
        <v>2500</v>
      </c>
      <c r="E9" s="161">
        <v>1</v>
      </c>
      <c r="F9" s="17"/>
      <c r="G9" s="17"/>
    </row>
    <row r="10" spans="1:7" ht="38.25" x14ac:dyDescent="0.2">
      <c r="A10" s="137">
        <v>4</v>
      </c>
      <c r="B10" s="22" t="s">
        <v>46</v>
      </c>
      <c r="C10" s="42" t="s">
        <v>1</v>
      </c>
      <c r="D10" s="162">
        <v>13</v>
      </c>
      <c r="E10" s="163">
        <v>1</v>
      </c>
      <c r="F10" s="17"/>
      <c r="G10" s="17"/>
    </row>
    <row r="11" spans="1:7" ht="15.75" x14ac:dyDescent="0.2">
      <c r="A11" s="150"/>
      <c r="B11" s="193" t="s">
        <v>150</v>
      </c>
      <c r="C11" s="106"/>
      <c r="D11" s="51"/>
      <c r="E11" s="103"/>
      <c r="F11" s="143"/>
      <c r="G11" s="144">
        <f>SUM(G7:G10)</f>
        <v>0</v>
      </c>
    </row>
    <row r="12" spans="1:7" ht="15.75" x14ac:dyDescent="0.2">
      <c r="A12" s="150"/>
      <c r="B12" s="193" t="s">
        <v>151</v>
      </c>
      <c r="C12" s="52"/>
      <c r="D12" s="51"/>
      <c r="E12" s="52"/>
      <c r="F12" s="173">
        <v>0.19</v>
      </c>
      <c r="G12" s="170">
        <f>ROUND(G11*F12,0)</f>
        <v>0</v>
      </c>
    </row>
    <row r="13" spans="1:7" ht="15.75" x14ac:dyDescent="0.2">
      <c r="A13" s="150"/>
      <c r="B13" s="165" t="s">
        <v>135</v>
      </c>
      <c r="C13" s="106"/>
      <c r="D13" s="51"/>
      <c r="E13" s="103"/>
      <c r="F13" s="143"/>
      <c r="G13" s="144">
        <f>SUM(G11:G12)</f>
        <v>0</v>
      </c>
    </row>
    <row r="14" spans="1:7" x14ac:dyDescent="0.2">
      <c r="A14" s="150"/>
      <c r="B14" s="22"/>
      <c r="C14" s="106"/>
      <c r="D14" s="51"/>
      <c r="E14" s="103"/>
      <c r="F14" s="143"/>
      <c r="G14" s="144"/>
    </row>
    <row r="15" spans="1:7" x14ac:dyDescent="0.2">
      <c r="A15" s="21"/>
      <c r="B15" s="196" t="str">
        <f>UPPER("aeropuerto El Pindo de Montelibano - Cordoba")</f>
        <v>AEROPUERTO EL PINDO DE MONTELIBANO - CORDOBA</v>
      </c>
      <c r="C15" s="52"/>
      <c r="D15" s="51"/>
      <c r="E15" s="52"/>
      <c r="F15" s="17"/>
      <c r="G15" s="17">
        <f>ROUND((D15*E15*F15),0)</f>
        <v>0</v>
      </c>
    </row>
    <row r="16" spans="1:7" ht="63.75" x14ac:dyDescent="0.2">
      <c r="A16" s="18">
        <v>5</v>
      </c>
      <c r="B16" s="22" t="s">
        <v>13</v>
      </c>
      <c r="C16" s="42" t="s">
        <v>1</v>
      </c>
      <c r="D16" s="112">
        <v>11</v>
      </c>
      <c r="E16" s="42">
        <v>4</v>
      </c>
      <c r="F16" s="17"/>
      <c r="G16" s="17">
        <f>ROUND((D16*E16*F16),0)</f>
        <v>0</v>
      </c>
    </row>
    <row r="17" spans="1:7" ht="76.5" x14ac:dyDescent="0.2">
      <c r="A17" s="18">
        <v>6</v>
      </c>
      <c r="B17" s="22" t="s">
        <v>15</v>
      </c>
      <c r="C17" s="42" t="s">
        <v>2</v>
      </c>
      <c r="D17" s="112">
        <v>2769</v>
      </c>
      <c r="E17" s="42">
        <v>1</v>
      </c>
      <c r="F17" s="17"/>
      <c r="G17" s="17">
        <f>ROUND((D17*E17*F17),0)</f>
        <v>0</v>
      </c>
    </row>
    <row r="18" spans="1:7" ht="38.25" x14ac:dyDescent="0.2">
      <c r="A18" s="18">
        <v>7</v>
      </c>
      <c r="B18" s="22" t="s">
        <v>46</v>
      </c>
      <c r="C18" s="42" t="s">
        <v>1</v>
      </c>
      <c r="D18" s="112">
        <v>13</v>
      </c>
      <c r="E18" s="42">
        <v>2</v>
      </c>
      <c r="F18" s="17"/>
      <c r="G18" s="17">
        <f>ROUND((D18*E18*F18),0)</f>
        <v>0</v>
      </c>
    </row>
    <row r="19" spans="1:7" ht="51" x14ac:dyDescent="0.2">
      <c r="A19" s="18">
        <v>8</v>
      </c>
      <c r="B19" s="43" t="s">
        <v>149</v>
      </c>
      <c r="C19" s="42" t="s">
        <v>26</v>
      </c>
      <c r="D19" s="112">
        <f>1100*2</f>
        <v>2200</v>
      </c>
      <c r="E19" s="42">
        <v>1</v>
      </c>
      <c r="F19" s="17"/>
      <c r="G19" s="17">
        <f>ROUND((D19*E19*F19),0)</f>
        <v>0</v>
      </c>
    </row>
    <row r="20" spans="1:7" ht="15.75" x14ac:dyDescent="0.2">
      <c r="A20" s="21"/>
      <c r="B20" s="193" t="s">
        <v>150</v>
      </c>
      <c r="C20" s="42"/>
      <c r="D20" s="112"/>
      <c r="E20" s="42"/>
      <c r="F20" s="143"/>
      <c r="G20" s="144">
        <f>SUM(G16:G19)</f>
        <v>0</v>
      </c>
    </row>
    <row r="21" spans="1:7" ht="15.75" x14ac:dyDescent="0.2">
      <c r="A21" s="21"/>
      <c r="B21" s="193" t="s">
        <v>151</v>
      </c>
      <c r="C21" s="52"/>
      <c r="D21" s="51"/>
      <c r="E21" s="52"/>
      <c r="F21" s="173">
        <v>0.19</v>
      </c>
      <c r="G21" s="170">
        <f>ROUND(G20*F21,0)</f>
        <v>0</v>
      </c>
    </row>
    <row r="22" spans="1:7" ht="15.75" x14ac:dyDescent="0.2">
      <c r="A22" s="21"/>
      <c r="B22" s="165" t="s">
        <v>147</v>
      </c>
      <c r="C22" s="42"/>
      <c r="D22" s="112"/>
      <c r="E22" s="42"/>
      <c r="F22" s="143"/>
      <c r="G22" s="144">
        <f>SUM(G20:G21)</f>
        <v>0</v>
      </c>
    </row>
    <row r="23" spans="1:7" ht="27.75" customHeight="1" x14ac:dyDescent="0.2">
      <c r="A23" s="21"/>
      <c r="B23" s="22"/>
      <c r="C23" s="42"/>
      <c r="D23" s="112"/>
      <c r="E23" s="42"/>
      <c r="F23" s="143"/>
      <c r="G23" s="144"/>
    </row>
    <row r="24" spans="1:7" x14ac:dyDescent="0.2">
      <c r="A24" s="137"/>
      <c r="B24" s="136" t="str">
        <f>UPPER("aeropuerto Mandinga de Condoto - Chocó")</f>
        <v>AEROPUERTO MANDINGA DE CONDOTO - CHOCÓ</v>
      </c>
      <c r="C24" s="42"/>
      <c r="D24" s="71"/>
      <c r="E24" s="3"/>
      <c r="F24" s="44"/>
      <c r="G24" s="17">
        <f t="shared" ref="G24:G31" si="0">ROUND((D24*E24*F24),0)</f>
        <v>0</v>
      </c>
    </row>
    <row r="25" spans="1:7" ht="63.75" x14ac:dyDescent="0.2">
      <c r="A25" s="18">
        <v>9</v>
      </c>
      <c r="B25" s="22" t="s">
        <v>13</v>
      </c>
      <c r="C25" s="42" t="s">
        <v>1</v>
      </c>
      <c r="D25" s="112">
        <v>32</v>
      </c>
      <c r="E25" s="42">
        <v>4</v>
      </c>
      <c r="F25" s="17"/>
      <c r="G25" s="17">
        <f t="shared" si="0"/>
        <v>0</v>
      </c>
    </row>
    <row r="26" spans="1:7" ht="63.75" x14ac:dyDescent="0.2">
      <c r="A26" s="18">
        <v>10</v>
      </c>
      <c r="B26" s="22" t="s">
        <v>14</v>
      </c>
      <c r="C26" s="42" t="s">
        <v>2</v>
      </c>
      <c r="D26" s="112">
        <v>2944</v>
      </c>
      <c r="E26" s="42">
        <v>2</v>
      </c>
      <c r="F26" s="17"/>
      <c r="G26" s="17">
        <f t="shared" si="0"/>
        <v>0</v>
      </c>
    </row>
    <row r="27" spans="1:7" ht="63.75" x14ac:dyDescent="0.2">
      <c r="A27" s="18">
        <v>11</v>
      </c>
      <c r="B27" s="22" t="s">
        <v>80</v>
      </c>
      <c r="C27" s="42" t="s">
        <v>26</v>
      </c>
      <c r="D27" s="112">
        <v>500</v>
      </c>
      <c r="E27" s="42">
        <v>1</v>
      </c>
      <c r="F27" s="17"/>
      <c r="G27" s="17">
        <f t="shared" si="0"/>
        <v>0</v>
      </c>
    </row>
    <row r="28" spans="1:7" ht="76.5" x14ac:dyDescent="0.2">
      <c r="A28" s="18">
        <v>12</v>
      </c>
      <c r="B28" s="22" t="s">
        <v>15</v>
      </c>
      <c r="C28" s="42" t="s">
        <v>2</v>
      </c>
      <c r="D28" s="112">
        <v>4180</v>
      </c>
      <c r="E28" s="42">
        <v>1</v>
      </c>
      <c r="F28" s="17"/>
      <c r="G28" s="17">
        <f t="shared" si="0"/>
        <v>0</v>
      </c>
    </row>
    <row r="29" spans="1:7" ht="38.25" x14ac:dyDescent="0.2">
      <c r="A29" s="18">
        <v>13</v>
      </c>
      <c r="B29" s="22" t="s">
        <v>81</v>
      </c>
      <c r="C29" s="42" t="s">
        <v>1</v>
      </c>
      <c r="D29" s="112">
        <v>14</v>
      </c>
      <c r="E29" s="42">
        <v>2</v>
      </c>
      <c r="F29" s="17"/>
      <c r="G29" s="17">
        <f t="shared" si="0"/>
        <v>0</v>
      </c>
    </row>
    <row r="30" spans="1:7" ht="51" x14ac:dyDescent="0.2">
      <c r="A30" s="18">
        <v>14</v>
      </c>
      <c r="B30" s="43" t="s">
        <v>149</v>
      </c>
      <c r="C30" s="42" t="s">
        <v>26</v>
      </c>
      <c r="D30" s="112">
        <f>1150*2</f>
        <v>2300</v>
      </c>
      <c r="E30" s="42">
        <v>1</v>
      </c>
      <c r="F30" s="17"/>
      <c r="G30" s="17">
        <f t="shared" si="0"/>
        <v>0</v>
      </c>
    </row>
    <row r="31" spans="1:7" ht="89.25" x14ac:dyDescent="0.2">
      <c r="A31" s="18">
        <v>15</v>
      </c>
      <c r="B31" s="22" t="s">
        <v>27</v>
      </c>
      <c r="C31" s="42" t="s">
        <v>1</v>
      </c>
      <c r="D31" s="122">
        <v>3</v>
      </c>
      <c r="E31" s="123">
        <v>1</v>
      </c>
      <c r="F31" s="17"/>
      <c r="G31" s="17">
        <f t="shared" si="0"/>
        <v>0</v>
      </c>
    </row>
    <row r="32" spans="1:7" ht="15.75" x14ac:dyDescent="0.2">
      <c r="A32" s="21"/>
      <c r="B32" s="193" t="s">
        <v>150</v>
      </c>
      <c r="C32" s="42"/>
      <c r="D32" s="112"/>
      <c r="E32" s="42"/>
      <c r="F32" s="143"/>
      <c r="G32" s="144">
        <f>SUM(G25:G31)</f>
        <v>0</v>
      </c>
    </row>
    <row r="33" spans="1:7" ht="15.75" x14ac:dyDescent="0.2">
      <c r="A33" s="21"/>
      <c r="B33" s="193" t="s">
        <v>151</v>
      </c>
      <c r="C33" s="52"/>
      <c r="D33" s="51"/>
      <c r="E33" s="52"/>
      <c r="F33" s="173">
        <v>0.19</v>
      </c>
      <c r="G33" s="170">
        <f>ROUND(G32*F33,0)</f>
        <v>0</v>
      </c>
    </row>
    <row r="34" spans="1:7" ht="15.75" x14ac:dyDescent="0.2">
      <c r="A34" s="21"/>
      <c r="B34" s="165" t="s">
        <v>146</v>
      </c>
      <c r="C34" s="42"/>
      <c r="D34" s="112"/>
      <c r="E34" s="42"/>
      <c r="F34" s="143"/>
      <c r="G34" s="144">
        <f>SUM(G32:G33)</f>
        <v>0</v>
      </c>
    </row>
    <row r="35" spans="1:7" x14ac:dyDescent="0.2">
      <c r="A35" s="21"/>
      <c r="B35" s="10"/>
      <c r="C35" s="42"/>
      <c r="D35" s="112"/>
      <c r="E35" s="42"/>
      <c r="F35" s="143"/>
      <c r="G35" s="144"/>
    </row>
    <row r="36" spans="1:7" x14ac:dyDescent="0.2">
      <c r="A36" s="137"/>
      <c r="B36" s="136" t="str">
        <f>UPPER("aeropuerto Reyes Murillo de Nuqui - Chocó")</f>
        <v>AEROPUERTO REYES MURILLO DE NUQUI - CHOCÓ</v>
      </c>
      <c r="C36" s="42"/>
      <c r="D36" s="71"/>
      <c r="E36" s="3"/>
      <c r="F36" s="44"/>
      <c r="G36" s="17">
        <f t="shared" ref="G36:G42" si="1">ROUND((D36*E36*F36),0)</f>
        <v>0</v>
      </c>
    </row>
    <row r="37" spans="1:7" ht="63.75" x14ac:dyDescent="0.2">
      <c r="A37" s="124">
        <v>16</v>
      </c>
      <c r="B37" s="102" t="s">
        <v>13</v>
      </c>
      <c r="C37" s="163" t="s">
        <v>1</v>
      </c>
      <c r="D37" s="164">
        <v>16</v>
      </c>
      <c r="E37" s="42">
        <v>4</v>
      </c>
      <c r="F37" s="17"/>
      <c r="G37" s="17">
        <f t="shared" si="1"/>
        <v>0</v>
      </c>
    </row>
    <row r="38" spans="1:7" ht="63.75" x14ac:dyDescent="0.2">
      <c r="A38" s="124">
        <v>17</v>
      </c>
      <c r="B38" s="102" t="s">
        <v>14</v>
      </c>
      <c r="C38" s="163" t="s">
        <v>2</v>
      </c>
      <c r="D38" s="164">
        <v>3000</v>
      </c>
      <c r="E38" s="42">
        <v>2</v>
      </c>
      <c r="F38" s="17"/>
      <c r="G38" s="17">
        <f t="shared" si="1"/>
        <v>0</v>
      </c>
    </row>
    <row r="39" spans="1:7" ht="76.5" x14ac:dyDescent="0.2">
      <c r="A39" s="124">
        <v>18</v>
      </c>
      <c r="B39" s="102" t="s">
        <v>15</v>
      </c>
      <c r="C39" s="163" t="s">
        <v>2</v>
      </c>
      <c r="D39" s="164">
        <v>3143</v>
      </c>
      <c r="E39" s="42">
        <v>1</v>
      </c>
      <c r="F39" s="17"/>
      <c r="G39" s="17">
        <f t="shared" si="1"/>
        <v>0</v>
      </c>
    </row>
    <row r="40" spans="1:7" ht="38.25" x14ac:dyDescent="0.2">
      <c r="A40" s="124">
        <v>19</v>
      </c>
      <c r="B40" s="102" t="s">
        <v>46</v>
      </c>
      <c r="C40" s="163" t="s">
        <v>1</v>
      </c>
      <c r="D40" s="164">
        <v>14</v>
      </c>
      <c r="E40" s="42">
        <v>2</v>
      </c>
      <c r="F40" s="17"/>
      <c r="G40" s="17">
        <f t="shared" si="1"/>
        <v>0</v>
      </c>
    </row>
    <row r="41" spans="1:7" ht="51" x14ac:dyDescent="0.2">
      <c r="A41" s="124">
        <v>20</v>
      </c>
      <c r="B41" s="43" t="s">
        <v>149</v>
      </c>
      <c r="C41" s="163" t="s">
        <v>26</v>
      </c>
      <c r="D41" s="164">
        <f>1200*2+100*2+50*2</f>
        <v>2700</v>
      </c>
      <c r="E41" s="42">
        <v>1</v>
      </c>
      <c r="F41" s="17"/>
      <c r="G41" s="17">
        <f t="shared" si="1"/>
        <v>0</v>
      </c>
    </row>
    <row r="42" spans="1:7" ht="140.25" x14ac:dyDescent="0.2">
      <c r="A42" s="124">
        <v>21</v>
      </c>
      <c r="B42" s="70" t="s">
        <v>95</v>
      </c>
      <c r="C42" s="140" t="s">
        <v>1</v>
      </c>
      <c r="D42" s="164">
        <v>2</v>
      </c>
      <c r="E42" s="42">
        <v>1</v>
      </c>
      <c r="F42" s="17"/>
      <c r="G42" s="17">
        <f t="shared" si="1"/>
        <v>0</v>
      </c>
    </row>
    <row r="43" spans="1:7" ht="15.75" x14ac:dyDescent="0.2">
      <c r="A43" s="152"/>
      <c r="B43" s="193" t="s">
        <v>150</v>
      </c>
      <c r="C43" s="42"/>
      <c r="D43" s="112"/>
      <c r="E43" s="42"/>
      <c r="F43" s="143"/>
      <c r="G43" s="144">
        <f>SUM(G37:G42)</f>
        <v>0</v>
      </c>
    </row>
    <row r="44" spans="1:7" ht="15.75" x14ac:dyDescent="0.2">
      <c r="A44" s="152"/>
      <c r="B44" s="193" t="s">
        <v>151</v>
      </c>
      <c r="C44" s="52"/>
      <c r="D44" s="51"/>
      <c r="E44" s="52"/>
      <c r="F44" s="173">
        <v>0.19</v>
      </c>
      <c r="G44" s="170">
        <f>ROUND(G43*F44,0)</f>
        <v>0</v>
      </c>
    </row>
    <row r="45" spans="1:7" ht="15.75" x14ac:dyDescent="0.2">
      <c r="A45" s="152"/>
      <c r="B45" s="165" t="s">
        <v>145</v>
      </c>
      <c r="C45" s="42"/>
      <c r="D45" s="112"/>
      <c r="E45" s="42"/>
      <c r="F45" s="143"/>
      <c r="G45" s="144">
        <f>SUM(G43:G44)</f>
        <v>0</v>
      </c>
    </row>
    <row r="46" spans="1:7" x14ac:dyDescent="0.2">
      <c r="A46" s="152"/>
      <c r="B46" s="102"/>
      <c r="C46" s="103"/>
      <c r="D46" s="51"/>
      <c r="E46" s="125"/>
      <c r="F46" s="17"/>
      <c r="G46" s="17"/>
    </row>
    <row r="47" spans="1:7" x14ac:dyDescent="0.2">
      <c r="A47" s="4"/>
      <c r="B47" s="136" t="s">
        <v>106</v>
      </c>
      <c r="C47" s="3"/>
      <c r="D47" s="5"/>
      <c r="E47" s="3"/>
      <c r="F47" s="44"/>
      <c r="G47" s="17">
        <f t="shared" ref="G47:G52" si="2">ROUND((D47*E47*F47),0)</f>
        <v>0</v>
      </c>
    </row>
    <row r="48" spans="1:7" ht="63.75" x14ac:dyDescent="0.2">
      <c r="A48" s="157">
        <v>22</v>
      </c>
      <c r="B48" s="102" t="s">
        <v>13</v>
      </c>
      <c r="C48" s="125" t="s">
        <v>1</v>
      </c>
      <c r="D48" s="41">
        <v>18</v>
      </c>
      <c r="E48" s="42">
        <v>4</v>
      </c>
      <c r="F48" s="17"/>
      <c r="G48" s="17">
        <f t="shared" si="2"/>
        <v>0</v>
      </c>
    </row>
    <row r="49" spans="1:8" ht="63.75" x14ac:dyDescent="0.2">
      <c r="A49" s="138">
        <v>23</v>
      </c>
      <c r="B49" s="102" t="s">
        <v>14</v>
      </c>
      <c r="C49" s="125" t="s">
        <v>2</v>
      </c>
      <c r="D49" s="41">
        <v>3000</v>
      </c>
      <c r="E49" s="42">
        <v>2</v>
      </c>
      <c r="F49" s="17"/>
      <c r="G49" s="17">
        <f t="shared" si="2"/>
        <v>0</v>
      </c>
    </row>
    <row r="50" spans="1:8" ht="76.5" x14ac:dyDescent="0.2">
      <c r="A50" s="157">
        <v>24</v>
      </c>
      <c r="B50" s="70" t="s">
        <v>15</v>
      </c>
      <c r="C50" s="128" t="s">
        <v>2</v>
      </c>
      <c r="D50" s="41">
        <v>2500</v>
      </c>
      <c r="E50" s="42">
        <v>1</v>
      </c>
      <c r="F50" s="17"/>
      <c r="G50" s="17">
        <f t="shared" si="2"/>
        <v>0</v>
      </c>
    </row>
    <row r="51" spans="1:8" ht="51" x14ac:dyDescent="0.2">
      <c r="A51" s="138">
        <v>25</v>
      </c>
      <c r="B51" s="43" t="s">
        <v>149</v>
      </c>
      <c r="C51" s="163" t="s">
        <v>26</v>
      </c>
      <c r="D51" s="164">
        <f>1200*2+100*2+50*2</f>
        <v>2700</v>
      </c>
      <c r="E51" s="42">
        <v>1</v>
      </c>
      <c r="F51" s="17"/>
      <c r="G51" s="17">
        <f t="shared" si="2"/>
        <v>0</v>
      </c>
    </row>
    <row r="52" spans="1:8" ht="38.25" x14ac:dyDescent="0.2">
      <c r="A52" s="157">
        <v>26</v>
      </c>
      <c r="B52" s="120" t="s">
        <v>46</v>
      </c>
      <c r="C52" s="128" t="s">
        <v>1</v>
      </c>
      <c r="D52" s="41">
        <v>12</v>
      </c>
      <c r="E52" s="42">
        <v>2</v>
      </c>
      <c r="F52" s="17"/>
      <c r="G52" s="17">
        <f t="shared" si="2"/>
        <v>0</v>
      </c>
    </row>
    <row r="53" spans="1:8" ht="15.75" x14ac:dyDescent="0.2">
      <c r="A53" s="153"/>
      <c r="B53" s="193" t="s">
        <v>150</v>
      </c>
      <c r="C53" s="42"/>
      <c r="D53" s="112"/>
      <c r="E53" s="42"/>
      <c r="F53" s="143"/>
      <c r="G53" s="144">
        <f>SUM(G48:G52)</f>
        <v>0</v>
      </c>
    </row>
    <row r="54" spans="1:8" ht="15.75" x14ac:dyDescent="0.2">
      <c r="A54" s="153"/>
      <c r="B54" s="193" t="s">
        <v>151</v>
      </c>
      <c r="C54" s="52"/>
      <c r="D54" s="51"/>
      <c r="E54" s="52"/>
      <c r="F54" s="173">
        <v>0.19</v>
      </c>
      <c r="G54" s="170">
        <f>ROUND(G53*F54,0)</f>
        <v>0</v>
      </c>
    </row>
    <row r="55" spans="1:8" ht="15.75" x14ac:dyDescent="0.2">
      <c r="A55" s="153"/>
      <c r="B55" s="165" t="s">
        <v>144</v>
      </c>
      <c r="C55" s="42"/>
      <c r="D55" s="112"/>
      <c r="E55" s="42"/>
      <c r="F55" s="143"/>
      <c r="G55" s="144">
        <f>SUM(G53:G54)</f>
        <v>0</v>
      </c>
    </row>
    <row r="56" spans="1:8" x14ac:dyDescent="0.2">
      <c r="A56" s="153"/>
      <c r="B56" s="102"/>
      <c r="C56" s="103"/>
      <c r="D56" s="51"/>
      <c r="E56" s="125"/>
      <c r="F56" s="17"/>
      <c r="G56" s="17"/>
    </row>
    <row r="57" spans="1:8" x14ac:dyDescent="0.2">
      <c r="A57" s="4"/>
      <c r="B57" s="70"/>
      <c r="C57" s="42"/>
      <c r="D57" s="71"/>
      <c r="E57" s="3"/>
      <c r="F57" s="44"/>
      <c r="G57" s="44"/>
    </row>
    <row r="58" spans="1:8" ht="27.75" customHeight="1" x14ac:dyDescent="0.2">
      <c r="A58" s="4"/>
      <c r="B58" s="141" t="s">
        <v>155</v>
      </c>
      <c r="C58" s="10"/>
      <c r="D58" s="141"/>
      <c r="E58" s="141"/>
      <c r="F58" s="143"/>
      <c r="G58" s="144">
        <f>G11+G20+G32+G43+G53</f>
        <v>0</v>
      </c>
    </row>
    <row r="59" spans="1:8" ht="15.75" x14ac:dyDescent="0.2">
      <c r="A59" s="4"/>
      <c r="B59" s="193" t="s">
        <v>151</v>
      </c>
      <c r="C59" s="52"/>
      <c r="D59" s="51"/>
      <c r="E59" s="52"/>
      <c r="F59" s="173">
        <v>0.19</v>
      </c>
      <c r="G59" s="170">
        <f>ROUND(G58*F59,0)</f>
        <v>0</v>
      </c>
    </row>
    <row r="60" spans="1:8" ht="31.5" customHeight="1" x14ac:dyDescent="0.2">
      <c r="A60" s="4"/>
      <c r="B60" s="141" t="s">
        <v>156</v>
      </c>
      <c r="C60" s="10"/>
      <c r="D60" s="141"/>
      <c r="E60" s="141"/>
      <c r="F60" s="143"/>
      <c r="G60" s="176">
        <f>SUM(G58:G59)</f>
        <v>0</v>
      </c>
      <c r="H60" s="9">
        <f>G60/4</f>
        <v>0</v>
      </c>
    </row>
    <row r="61" spans="1:8" ht="6" customHeight="1" x14ac:dyDescent="0.2"/>
    <row r="62" spans="1:8" x14ac:dyDescent="0.2">
      <c r="G62" s="2">
        <f>'AM,OT,BE,CI,RG'!K57</f>
        <v>281094755</v>
      </c>
    </row>
    <row r="63" spans="1:8" ht="5.25" customHeight="1" x14ac:dyDescent="0.2"/>
    <row r="64" spans="1:8" ht="21" customHeight="1" x14ac:dyDescent="0.2">
      <c r="B64" s="133"/>
      <c r="F64" s="174"/>
      <c r="G64" s="2">
        <f>G60+G62</f>
        <v>281094755</v>
      </c>
    </row>
    <row r="65" spans="6:7" ht="9" customHeight="1" x14ac:dyDescent="0.2"/>
    <row r="66" spans="6:7" x14ac:dyDescent="0.2">
      <c r="G66" s="9">
        <v>602000000</v>
      </c>
    </row>
    <row r="68" spans="6:7" x14ac:dyDescent="0.2">
      <c r="F68" s="175">
        <f>F66-F64</f>
        <v>0</v>
      </c>
      <c r="G68" s="168">
        <f>G66-G64</f>
        <v>320905245</v>
      </c>
    </row>
  </sheetData>
  <mergeCells count="3">
    <mergeCell ref="A1:G1"/>
    <mergeCell ref="A2:E2"/>
    <mergeCell ref="F3:G3"/>
  </mergeCells>
  <pageMargins left="0.39370078740157483" right="0.11811023622047245" top="0.43307086614173229" bottom="0.6692913385826772" header="0.15748031496062992" footer="0.15748031496062992"/>
  <pageSetup scale="80" fitToHeight="0" orientation="portrait"/>
  <headerFooter alignWithMargins="0">
    <oddFooter>&amp;R&amp;P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showGridLines="0" zoomScale="60" zoomScaleNormal="60" workbookViewId="0">
      <selection activeCell="B4" sqref="B4"/>
    </sheetView>
  </sheetViews>
  <sheetFormatPr baseColWidth="10" defaultColWidth="11.42578125" defaultRowHeight="15" x14ac:dyDescent="0.2"/>
  <cols>
    <col min="1" max="1" width="5.85546875" style="8" customWidth="1"/>
    <col min="2" max="2" width="66.28515625" style="1" customWidth="1"/>
    <col min="3" max="3" width="7" style="1" customWidth="1"/>
    <col min="4" max="4" width="10.140625" style="1" customWidth="1"/>
    <col min="5" max="5" width="5.42578125" style="1" customWidth="1"/>
    <col min="6" max="6" width="13.42578125" style="172" customWidth="1"/>
    <col min="7" max="7" width="22.140625" style="1" customWidth="1"/>
    <col min="8" max="8" width="19.85546875" style="1" customWidth="1"/>
    <col min="9" max="16384" width="11.42578125" style="1"/>
  </cols>
  <sheetData>
    <row r="1" spans="1:7" ht="113.25" customHeight="1" x14ac:dyDescent="0.2">
      <c r="A1" s="317" t="s">
        <v>158</v>
      </c>
      <c r="B1" s="317"/>
      <c r="C1" s="317"/>
      <c r="D1" s="317"/>
      <c r="E1" s="317"/>
      <c r="F1" s="317"/>
      <c r="G1" s="317"/>
    </row>
    <row r="2" spans="1:7" ht="23.25" customHeight="1" x14ac:dyDescent="0.2">
      <c r="A2" s="318" t="s">
        <v>160</v>
      </c>
      <c r="B2" s="318"/>
      <c r="C2" s="318"/>
      <c r="D2" s="318"/>
      <c r="E2" s="318"/>
    </row>
    <row r="3" spans="1:7" ht="37.5" customHeight="1" x14ac:dyDescent="0.2">
      <c r="B3" s="12" t="s">
        <v>159</v>
      </c>
      <c r="F3" s="313"/>
      <c r="G3" s="314"/>
    </row>
    <row r="4" spans="1:7" ht="36.75" customHeight="1" x14ac:dyDescent="0.2">
      <c r="A4" s="56" t="s">
        <v>8</v>
      </c>
      <c r="B4" s="56" t="s">
        <v>7</v>
      </c>
      <c r="C4" s="56" t="s">
        <v>6</v>
      </c>
      <c r="D4" s="56" t="s">
        <v>5</v>
      </c>
      <c r="E4" s="56" t="s">
        <v>3</v>
      </c>
      <c r="F4" s="57" t="s">
        <v>4</v>
      </c>
      <c r="G4" s="56" t="s">
        <v>0</v>
      </c>
    </row>
    <row r="5" spans="1:7" ht="25.5" customHeight="1" x14ac:dyDescent="0.2">
      <c r="A5" s="139"/>
      <c r="B5" s="196" t="s">
        <v>103</v>
      </c>
      <c r="C5" s="134"/>
      <c r="D5" s="134"/>
      <c r="E5" s="134"/>
      <c r="F5" s="135"/>
      <c r="G5" s="134"/>
    </row>
    <row r="6" spans="1:7" ht="51" x14ac:dyDescent="0.2">
      <c r="A6" s="18">
        <v>1</v>
      </c>
      <c r="B6" s="102" t="s">
        <v>13</v>
      </c>
      <c r="C6" s="123" t="s">
        <v>1</v>
      </c>
      <c r="D6" s="51">
        <v>17</v>
      </c>
      <c r="E6" s="103">
        <v>4</v>
      </c>
      <c r="F6" s="17"/>
      <c r="G6" s="17">
        <f>ROUND((D6*E6*F6),0)</f>
        <v>0</v>
      </c>
    </row>
    <row r="7" spans="1:7" ht="63.75" x14ac:dyDescent="0.2">
      <c r="A7" s="18">
        <v>2</v>
      </c>
      <c r="B7" s="102" t="s">
        <v>14</v>
      </c>
      <c r="C7" s="123" t="s">
        <v>2</v>
      </c>
      <c r="D7" s="104">
        <v>3450</v>
      </c>
      <c r="E7" s="103">
        <v>2</v>
      </c>
      <c r="F7" s="17"/>
      <c r="G7" s="17">
        <f>ROUND((D7*E7*F7),0)</f>
        <v>0</v>
      </c>
    </row>
    <row r="8" spans="1:7" ht="63.75" x14ac:dyDescent="0.2">
      <c r="A8" s="18">
        <v>3</v>
      </c>
      <c r="B8" s="102" t="s">
        <v>15</v>
      </c>
      <c r="C8" s="123" t="s">
        <v>2</v>
      </c>
      <c r="D8" s="51">
        <v>2623</v>
      </c>
      <c r="E8" s="103">
        <v>1</v>
      </c>
      <c r="F8" s="17"/>
      <c r="G8" s="17">
        <f>ROUND((D8*E8*F8),0)</f>
        <v>0</v>
      </c>
    </row>
    <row r="9" spans="1:7" ht="25.5" x14ac:dyDescent="0.2">
      <c r="A9" s="18">
        <v>4</v>
      </c>
      <c r="B9" s="105" t="s">
        <v>46</v>
      </c>
      <c r="C9" s="163" t="s">
        <v>1</v>
      </c>
      <c r="D9" s="51">
        <v>15</v>
      </c>
      <c r="E9" s="52">
        <v>2</v>
      </c>
      <c r="F9" s="17"/>
      <c r="G9" s="17">
        <f>ROUND((D9*E9*F9),0)</f>
        <v>0</v>
      </c>
    </row>
    <row r="10" spans="1:7" ht="15.75" x14ac:dyDescent="0.2">
      <c r="A10" s="21"/>
      <c r="B10" s="193" t="s">
        <v>150</v>
      </c>
      <c r="C10" s="52"/>
      <c r="D10" s="51"/>
      <c r="E10" s="52"/>
      <c r="F10" s="143"/>
      <c r="G10" s="144">
        <f>SUM(G6:G9)</f>
        <v>0</v>
      </c>
    </row>
    <row r="11" spans="1:7" ht="15.75" x14ac:dyDescent="0.2">
      <c r="A11" s="21"/>
      <c r="B11" s="193" t="s">
        <v>151</v>
      </c>
      <c r="C11" s="52"/>
      <c r="D11" s="51"/>
      <c r="E11" s="52"/>
      <c r="F11" s="173">
        <v>0.19</v>
      </c>
      <c r="G11" s="170">
        <f>ROUND(G10*F11,0)</f>
        <v>0</v>
      </c>
    </row>
    <row r="12" spans="1:7" ht="15.75" x14ac:dyDescent="0.2">
      <c r="A12" s="21"/>
      <c r="B12" s="165" t="s">
        <v>135</v>
      </c>
      <c r="C12" s="52"/>
      <c r="D12" s="51"/>
      <c r="E12" s="52"/>
      <c r="F12" s="143"/>
      <c r="G12" s="144">
        <f>SUM(G10:G11)</f>
        <v>0</v>
      </c>
    </row>
    <row r="13" spans="1:7" x14ac:dyDescent="0.2">
      <c r="A13" s="21"/>
      <c r="B13" s="105"/>
      <c r="C13" s="52"/>
      <c r="D13" s="51"/>
      <c r="E13" s="52"/>
      <c r="F13" s="143"/>
      <c r="G13" s="144"/>
    </row>
    <row r="14" spans="1:7" ht="15" customHeight="1" x14ac:dyDescent="0.2">
      <c r="A14" s="21"/>
      <c r="B14" s="196" t="s">
        <v>104</v>
      </c>
      <c r="C14" s="52"/>
      <c r="D14" s="51"/>
      <c r="E14" s="52"/>
      <c r="F14" s="17"/>
      <c r="G14" s="17">
        <f t="shared" ref="G14:G20" si="0">ROUND((D14*E14*F14),0)</f>
        <v>0</v>
      </c>
    </row>
    <row r="15" spans="1:7" ht="51" x14ac:dyDescent="0.2">
      <c r="A15" s="42">
        <v>5</v>
      </c>
      <c r="B15" s="22" t="s">
        <v>21</v>
      </c>
      <c r="C15" s="19" t="s">
        <v>1</v>
      </c>
      <c r="D15" s="41">
        <v>20.6</v>
      </c>
      <c r="E15" s="42">
        <v>4</v>
      </c>
      <c r="F15" s="17"/>
      <c r="G15" s="17">
        <f t="shared" si="0"/>
        <v>0</v>
      </c>
    </row>
    <row r="16" spans="1:7" ht="63.75" x14ac:dyDescent="0.2">
      <c r="A16" s="42">
        <v>6</v>
      </c>
      <c r="B16" s="22" t="s">
        <v>14</v>
      </c>
      <c r="C16" s="19" t="s">
        <v>2</v>
      </c>
      <c r="D16" s="41">
        <v>2940</v>
      </c>
      <c r="E16" s="42">
        <v>2</v>
      </c>
      <c r="F16" s="17"/>
      <c r="G16" s="17">
        <f t="shared" si="0"/>
        <v>0</v>
      </c>
    </row>
    <row r="17" spans="1:7" ht="76.5" x14ac:dyDescent="0.2">
      <c r="A17" s="42">
        <v>7</v>
      </c>
      <c r="B17" s="22" t="s">
        <v>23</v>
      </c>
      <c r="C17" s="19" t="s">
        <v>2</v>
      </c>
      <c r="D17" s="41">
        <v>3110</v>
      </c>
      <c r="E17" s="42">
        <v>1</v>
      </c>
      <c r="F17" s="17"/>
      <c r="G17" s="17">
        <f t="shared" si="0"/>
        <v>0</v>
      </c>
    </row>
    <row r="18" spans="1:7" ht="25.5" x14ac:dyDescent="0.2">
      <c r="A18" s="42">
        <v>8</v>
      </c>
      <c r="B18" s="43" t="s">
        <v>24</v>
      </c>
      <c r="C18" s="19" t="s">
        <v>1</v>
      </c>
      <c r="D18" s="41">
        <v>16</v>
      </c>
      <c r="E18" s="42">
        <v>2</v>
      </c>
      <c r="F18" s="17"/>
      <c r="G18" s="17">
        <f t="shared" si="0"/>
        <v>0</v>
      </c>
    </row>
    <row r="19" spans="1:7" ht="78.75" customHeight="1" x14ac:dyDescent="0.2">
      <c r="A19" s="42">
        <v>9</v>
      </c>
      <c r="B19" s="43" t="s">
        <v>149</v>
      </c>
      <c r="C19" s="19" t="s">
        <v>26</v>
      </c>
      <c r="D19" s="41">
        <f>ROUND(944*2+17.6*2,0)+2</f>
        <v>1925</v>
      </c>
      <c r="E19" s="42">
        <v>2</v>
      </c>
      <c r="F19" s="17"/>
      <c r="G19" s="17">
        <f t="shared" si="0"/>
        <v>0</v>
      </c>
    </row>
    <row r="20" spans="1:7" ht="76.5" x14ac:dyDescent="0.2">
      <c r="A20" s="156">
        <v>10</v>
      </c>
      <c r="B20" s="70" t="s">
        <v>27</v>
      </c>
      <c r="C20" s="42" t="s">
        <v>1</v>
      </c>
      <c r="D20" s="41">
        <v>3.4</v>
      </c>
      <c r="E20" s="42">
        <v>1</v>
      </c>
      <c r="F20" s="17"/>
      <c r="G20" s="17">
        <f t="shared" si="0"/>
        <v>0</v>
      </c>
    </row>
    <row r="21" spans="1:7" ht="15.75" x14ac:dyDescent="0.2">
      <c r="A21" s="42"/>
      <c r="B21" s="193" t="s">
        <v>150</v>
      </c>
      <c r="C21" s="19"/>
      <c r="D21" s="41"/>
      <c r="E21" s="42"/>
      <c r="F21" s="143"/>
      <c r="G21" s="144">
        <f>SUM(G15:G20)</f>
        <v>0</v>
      </c>
    </row>
    <row r="22" spans="1:7" ht="15.75" x14ac:dyDescent="0.2">
      <c r="A22" s="42"/>
      <c r="B22" s="193" t="s">
        <v>151</v>
      </c>
      <c r="C22" s="52"/>
      <c r="D22" s="51"/>
      <c r="E22" s="52"/>
      <c r="F22" s="173">
        <v>0.19</v>
      </c>
      <c r="G22" s="170">
        <f>ROUND(G21*F22,0)</f>
        <v>0</v>
      </c>
    </row>
    <row r="23" spans="1:7" ht="15.75" x14ac:dyDescent="0.2">
      <c r="A23" s="42"/>
      <c r="B23" s="165" t="s">
        <v>147</v>
      </c>
      <c r="C23" s="19"/>
      <c r="D23" s="41"/>
      <c r="E23" s="42"/>
      <c r="F23" s="143"/>
      <c r="G23" s="144">
        <f>SUM(G21:G22)</f>
        <v>0</v>
      </c>
    </row>
    <row r="24" spans="1:7" ht="18.75" customHeight="1" x14ac:dyDescent="0.2">
      <c r="A24" s="42"/>
      <c r="B24" s="22"/>
      <c r="C24" s="19"/>
      <c r="D24" s="41"/>
      <c r="E24" s="42"/>
      <c r="F24" s="17"/>
      <c r="G24" s="17"/>
    </row>
    <row r="25" spans="1:7" x14ac:dyDescent="0.2">
      <c r="A25" s="137"/>
      <c r="B25" s="196" t="str">
        <f>UPPER("aeropuerto Morela de Puerto Berrio - Antioquia")</f>
        <v>AEROPUERTO MORELA DE PUERTO BERRIO - ANTIOQUIA</v>
      </c>
      <c r="C25" s="42"/>
      <c r="D25" s="71"/>
      <c r="E25" s="3"/>
      <c r="F25" s="44"/>
      <c r="G25" s="17">
        <f>ROUND((D25*E25*F25),0)</f>
        <v>0</v>
      </c>
    </row>
    <row r="26" spans="1:7" ht="51" x14ac:dyDescent="0.2">
      <c r="A26" s="18">
        <v>11</v>
      </c>
      <c r="B26" s="102" t="s">
        <v>13</v>
      </c>
      <c r="C26" s="103" t="s">
        <v>1</v>
      </c>
      <c r="D26" s="51">
        <v>15</v>
      </c>
      <c r="E26" s="103">
        <v>4</v>
      </c>
      <c r="F26" s="17"/>
      <c r="G26" s="17">
        <f>ROUND((D26*E26*F26),0)</f>
        <v>0</v>
      </c>
    </row>
    <row r="27" spans="1:7" ht="63.75" x14ac:dyDescent="0.2">
      <c r="A27" s="18">
        <v>12</v>
      </c>
      <c r="B27" s="102" t="s">
        <v>14</v>
      </c>
      <c r="C27" s="103" t="s">
        <v>2</v>
      </c>
      <c r="D27" s="104">
        <v>2721</v>
      </c>
      <c r="E27" s="103">
        <v>2</v>
      </c>
      <c r="F27" s="17"/>
      <c r="G27" s="17">
        <f>ROUND((D27*E27*F27),0)</f>
        <v>0</v>
      </c>
    </row>
    <row r="28" spans="1:7" ht="63.75" x14ac:dyDescent="0.2">
      <c r="A28" s="18">
        <v>13</v>
      </c>
      <c r="B28" s="102" t="s">
        <v>15</v>
      </c>
      <c r="C28" s="103" t="s">
        <v>2</v>
      </c>
      <c r="D28" s="51">
        <v>3200</v>
      </c>
      <c r="E28" s="103">
        <v>2</v>
      </c>
      <c r="F28" s="17"/>
      <c r="G28" s="17">
        <f>ROUND((D28*E28*F28),0)</f>
        <v>0</v>
      </c>
    </row>
    <row r="29" spans="1:7" ht="25.5" x14ac:dyDescent="0.2">
      <c r="A29" s="18">
        <v>14</v>
      </c>
      <c r="B29" s="105" t="s">
        <v>46</v>
      </c>
      <c r="C29" s="52" t="s">
        <v>1</v>
      </c>
      <c r="D29" s="51">
        <v>15</v>
      </c>
      <c r="E29" s="52">
        <v>3</v>
      </c>
      <c r="F29" s="17"/>
      <c r="G29" s="17">
        <f>ROUND((D29*E29*F29),0)</f>
        <v>0</v>
      </c>
    </row>
    <row r="30" spans="1:7" ht="15.75" x14ac:dyDescent="0.2">
      <c r="A30" s="21"/>
      <c r="B30" s="193" t="s">
        <v>150</v>
      </c>
      <c r="C30" s="42"/>
      <c r="D30" s="112"/>
      <c r="E30" s="42"/>
      <c r="F30" s="143"/>
      <c r="G30" s="144">
        <f>SUM(G26:G29)</f>
        <v>0</v>
      </c>
    </row>
    <row r="31" spans="1:7" ht="15.75" x14ac:dyDescent="0.2">
      <c r="A31" s="21"/>
      <c r="B31" s="193" t="s">
        <v>151</v>
      </c>
      <c r="C31" s="52"/>
      <c r="D31" s="51"/>
      <c r="E31" s="52"/>
      <c r="F31" s="173">
        <v>0.19</v>
      </c>
      <c r="G31" s="170">
        <f>ROUND(G30*F31,0)</f>
        <v>0</v>
      </c>
    </row>
    <row r="32" spans="1:7" ht="15.75" x14ac:dyDescent="0.2">
      <c r="A32" s="21"/>
      <c r="B32" s="165" t="s">
        <v>146</v>
      </c>
      <c r="C32" s="42"/>
      <c r="D32" s="112"/>
      <c r="E32" s="42"/>
      <c r="F32" s="143"/>
      <c r="G32" s="144">
        <f>SUM(G30:G31)</f>
        <v>0</v>
      </c>
    </row>
    <row r="33" spans="1:7" x14ac:dyDescent="0.2">
      <c r="A33" s="21"/>
      <c r="B33" s="102"/>
      <c r="C33" s="103"/>
      <c r="D33" s="51"/>
      <c r="E33" s="103"/>
      <c r="F33" s="17"/>
      <c r="G33" s="17"/>
    </row>
    <row r="34" spans="1:7" x14ac:dyDescent="0.2">
      <c r="A34" s="21"/>
      <c r="B34" s="196" t="str">
        <f>UPPER("aeropuerto de Gustavo Rojas Pinilla de Cimitarra - Santander")</f>
        <v>AEROPUERTO DE GUSTAVO ROJAS PINILLA DE CIMITARRA - SANTANDER</v>
      </c>
      <c r="C34" s="52"/>
      <c r="D34" s="51"/>
      <c r="E34" s="52"/>
      <c r="F34" s="17"/>
      <c r="G34" s="17">
        <f>ROUND((D34*E34*F34),0)</f>
        <v>0</v>
      </c>
    </row>
    <row r="35" spans="1:7" ht="51" x14ac:dyDescent="0.2">
      <c r="A35" s="138">
        <v>15</v>
      </c>
      <c r="B35" s="114" t="s">
        <v>13</v>
      </c>
      <c r="C35" s="115" t="s">
        <v>1</v>
      </c>
      <c r="D35" s="116">
        <v>20</v>
      </c>
      <c r="E35" s="42">
        <v>4</v>
      </c>
      <c r="F35" s="17"/>
      <c r="G35" s="17">
        <f>ROUND((D35*E35*F35),0)</f>
        <v>0</v>
      </c>
    </row>
    <row r="36" spans="1:7" ht="63.75" x14ac:dyDescent="0.2">
      <c r="A36" s="138">
        <v>16</v>
      </c>
      <c r="B36" s="70" t="s">
        <v>14</v>
      </c>
      <c r="C36" s="117" t="s">
        <v>2</v>
      </c>
      <c r="D36" s="118">
        <v>2300</v>
      </c>
      <c r="E36" s="42">
        <v>2</v>
      </c>
      <c r="F36" s="17"/>
      <c r="G36" s="17">
        <f>ROUND((D36*E36*F36),0)</f>
        <v>0</v>
      </c>
    </row>
    <row r="37" spans="1:7" ht="63.75" x14ac:dyDescent="0.2">
      <c r="A37" s="138">
        <v>17</v>
      </c>
      <c r="B37" s="70" t="s">
        <v>15</v>
      </c>
      <c r="C37" s="117" t="s">
        <v>2</v>
      </c>
      <c r="D37" s="119">
        <v>3866</v>
      </c>
      <c r="E37" s="42">
        <v>1</v>
      </c>
      <c r="F37" s="17"/>
      <c r="G37" s="17">
        <f>ROUND((D37*E37*F37),0)</f>
        <v>0</v>
      </c>
    </row>
    <row r="38" spans="1:7" ht="25.5" x14ac:dyDescent="0.2">
      <c r="A38" s="138">
        <v>18</v>
      </c>
      <c r="B38" s="120" t="s">
        <v>46</v>
      </c>
      <c r="C38" s="117" t="s">
        <v>1</v>
      </c>
      <c r="D38" s="118">
        <v>15</v>
      </c>
      <c r="E38" s="42">
        <v>2</v>
      </c>
      <c r="F38" s="17"/>
      <c r="G38" s="17">
        <f>ROUND((D38*E38*F38),0)</f>
        <v>0</v>
      </c>
    </row>
    <row r="39" spans="1:7" ht="15.75" x14ac:dyDescent="0.2">
      <c r="A39" s="151"/>
      <c r="B39" s="193" t="s">
        <v>150</v>
      </c>
      <c r="C39" s="42"/>
      <c r="D39" s="112"/>
      <c r="E39" s="42"/>
      <c r="F39" s="143"/>
      <c r="G39" s="144">
        <f>SUM(G35:G38)</f>
        <v>0</v>
      </c>
    </row>
    <row r="40" spans="1:7" ht="15.75" x14ac:dyDescent="0.2">
      <c r="A40" s="151"/>
      <c r="B40" s="193" t="s">
        <v>151</v>
      </c>
      <c r="C40" s="52"/>
      <c r="D40" s="51"/>
      <c r="E40" s="52"/>
      <c r="F40" s="173">
        <v>0.19</v>
      </c>
      <c r="G40" s="170">
        <f>ROUND(G39*F40,0)</f>
        <v>0</v>
      </c>
    </row>
    <row r="41" spans="1:7" ht="15.75" x14ac:dyDescent="0.2">
      <c r="A41" s="151"/>
      <c r="B41" s="165" t="s">
        <v>145</v>
      </c>
      <c r="C41" s="42"/>
      <c r="D41" s="112"/>
      <c r="E41" s="42"/>
      <c r="F41" s="143"/>
      <c r="G41" s="144">
        <f>SUM(G39:G40)</f>
        <v>0</v>
      </c>
    </row>
    <row r="42" spans="1:7" x14ac:dyDescent="0.2">
      <c r="A42" s="151"/>
      <c r="B42" s="10"/>
      <c r="C42" s="42"/>
      <c r="D42" s="112"/>
      <c r="E42" s="42"/>
      <c r="F42" s="143"/>
      <c r="G42" s="144"/>
    </row>
    <row r="43" spans="1:7" x14ac:dyDescent="0.2">
      <c r="A43" s="21"/>
      <c r="B43" s="196" t="s">
        <v>105</v>
      </c>
      <c r="C43" s="52"/>
      <c r="D43" s="51"/>
      <c r="E43" s="52"/>
      <c r="F43" s="17"/>
      <c r="G43" s="17">
        <f>ROUND((D43*E43*F43),0)</f>
        <v>0</v>
      </c>
    </row>
    <row r="44" spans="1:7" ht="63.75" x14ac:dyDescent="0.2">
      <c r="A44" s="140">
        <v>19</v>
      </c>
      <c r="B44" s="22" t="s">
        <v>83</v>
      </c>
      <c r="C44" s="19" t="s">
        <v>1</v>
      </c>
      <c r="D44" s="41">
        <v>7</v>
      </c>
      <c r="E44" s="42">
        <v>5</v>
      </c>
      <c r="F44" s="17"/>
      <c r="G44" s="17">
        <f>ROUND((D44*E44*F44),0)</f>
        <v>0</v>
      </c>
    </row>
    <row r="45" spans="1:7" ht="76.5" x14ac:dyDescent="0.2">
      <c r="A45" s="140">
        <v>20</v>
      </c>
      <c r="B45" s="22" t="s">
        <v>84</v>
      </c>
      <c r="C45" s="19" t="s">
        <v>2</v>
      </c>
      <c r="D45" s="41">
        <v>960</v>
      </c>
      <c r="E45" s="42">
        <v>2</v>
      </c>
      <c r="F45" s="17"/>
      <c r="G45" s="17">
        <f>ROUND((D45*E45*F45),0)</f>
        <v>0</v>
      </c>
    </row>
    <row r="46" spans="1:7" ht="63.75" x14ac:dyDescent="0.2">
      <c r="A46" s="140">
        <v>21</v>
      </c>
      <c r="B46" s="22" t="s">
        <v>85</v>
      </c>
      <c r="C46" s="19" t="s">
        <v>86</v>
      </c>
      <c r="D46" s="41">
        <v>1</v>
      </c>
      <c r="E46" s="42">
        <v>2</v>
      </c>
      <c r="F46" s="17"/>
      <c r="G46" s="17">
        <f>ROUND((D46*E46*F46),0)</f>
        <v>0</v>
      </c>
    </row>
    <row r="47" spans="1:7" ht="15.75" x14ac:dyDescent="0.2">
      <c r="A47" s="140"/>
      <c r="B47" s="193" t="s">
        <v>150</v>
      </c>
      <c r="C47" s="42"/>
      <c r="D47" s="112"/>
      <c r="E47" s="42"/>
      <c r="F47" s="143"/>
      <c r="G47" s="144">
        <f>SUM(G44:G46)</f>
        <v>0</v>
      </c>
    </row>
    <row r="48" spans="1:7" ht="15.75" x14ac:dyDescent="0.2">
      <c r="A48" s="140"/>
      <c r="B48" s="193" t="s">
        <v>151</v>
      </c>
      <c r="C48" s="52"/>
      <c r="D48" s="51"/>
      <c r="E48" s="52"/>
      <c r="F48" s="173">
        <v>0.19</v>
      </c>
      <c r="G48" s="170">
        <f>ROUND(G47*F48,0)</f>
        <v>0</v>
      </c>
    </row>
    <row r="49" spans="1:8" ht="15.75" x14ac:dyDescent="0.2">
      <c r="A49" s="140"/>
      <c r="B49" s="165" t="s">
        <v>144</v>
      </c>
      <c r="C49" s="42"/>
      <c r="D49" s="112"/>
      <c r="E49" s="42"/>
      <c r="F49" s="143"/>
      <c r="G49" s="144">
        <f>SUM(G47:G48)</f>
        <v>0</v>
      </c>
    </row>
    <row r="50" spans="1:8" x14ac:dyDescent="0.2">
      <c r="A50" s="151"/>
      <c r="B50" s="10"/>
      <c r="C50" s="42"/>
      <c r="D50" s="112"/>
      <c r="E50" s="42"/>
      <c r="F50" s="143"/>
      <c r="G50" s="144"/>
    </row>
    <row r="51" spans="1:8" x14ac:dyDescent="0.2">
      <c r="A51" s="151"/>
      <c r="B51" s="10"/>
      <c r="C51" s="42"/>
      <c r="D51" s="112"/>
      <c r="E51" s="42"/>
      <c r="F51" s="143"/>
      <c r="G51" s="144"/>
    </row>
    <row r="52" spans="1:8" ht="27.75" customHeight="1" x14ac:dyDescent="0.2">
      <c r="A52" s="4"/>
      <c r="B52" s="141" t="s">
        <v>155</v>
      </c>
      <c r="C52" s="10"/>
      <c r="D52" s="141"/>
      <c r="E52" s="141"/>
      <c r="F52" s="143"/>
      <c r="G52" s="144">
        <f>G10+G21+G30+G39+G47</f>
        <v>0</v>
      </c>
    </row>
    <row r="53" spans="1:8" ht="15.75" x14ac:dyDescent="0.2">
      <c r="A53" s="4"/>
      <c r="B53" s="193" t="s">
        <v>151</v>
      </c>
      <c r="C53" s="52"/>
      <c r="D53" s="51"/>
      <c r="E53" s="52"/>
      <c r="F53" s="173">
        <v>0.19</v>
      </c>
      <c r="G53" s="170">
        <f>ROUND(G52*F53,0)</f>
        <v>0</v>
      </c>
    </row>
    <row r="54" spans="1:8" ht="31.5" customHeight="1" x14ac:dyDescent="0.2">
      <c r="A54" s="4"/>
      <c r="B54" s="141" t="s">
        <v>156</v>
      </c>
      <c r="C54" s="10"/>
      <c r="D54" s="141"/>
      <c r="E54" s="141"/>
      <c r="F54" s="143"/>
      <c r="G54" s="176">
        <f>SUM(G52:G53)</f>
        <v>0</v>
      </c>
      <c r="H54" s="9">
        <f>G54/4</f>
        <v>0</v>
      </c>
    </row>
    <row r="57" spans="1:8" x14ac:dyDescent="0.2">
      <c r="F57" s="174"/>
      <c r="G57" s="2">
        <f>'CN,ML,CO,NU,UR'!K60</f>
        <v>320904747</v>
      </c>
    </row>
    <row r="59" spans="1:8" ht="28.5" x14ac:dyDescent="0.2">
      <c r="B59" s="133"/>
      <c r="F59" s="174"/>
      <c r="G59" s="2">
        <f>G54+G57</f>
        <v>320904747</v>
      </c>
    </row>
  </sheetData>
  <mergeCells count="3">
    <mergeCell ref="A1:G1"/>
    <mergeCell ref="A2:E2"/>
    <mergeCell ref="F3:G3"/>
  </mergeCells>
  <pageMargins left="0.11811023622047245" right="0.11811023622047245" top="0.23622047244094491" bottom="0.78740157480314965" header="0.15748031496062992" footer="0.55118110236220474"/>
  <pageSetup scale="80" fitToHeight="0" orientation="portrait"/>
  <headerFooter alignWithMargins="0">
    <oddFooter>&amp;R&amp;P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23</vt:i4>
      </vt:variant>
    </vt:vector>
  </HeadingPairs>
  <TitlesOfParts>
    <vt:vector size="36" baseType="lpstr">
      <vt:lpstr>Estudiodemercado DEF</vt:lpstr>
      <vt:lpstr>EstudiodemercadoTotaldef</vt:lpstr>
      <vt:lpstr>Estudiodemercado Roceria</vt:lpstr>
      <vt:lpstr>EstudiodemercadoRoceria1ronda</vt:lpstr>
      <vt:lpstr>EstudiodemercadoRoceria1rondef</vt:lpstr>
      <vt:lpstr>Estudiodemercadodef</vt:lpstr>
      <vt:lpstr>Estudiodemercadodef (2)</vt:lpstr>
      <vt:lpstr>AM,OT,BE,CI,RG</vt:lpstr>
      <vt:lpstr>PPTO AM,OT,BE,CI,RG</vt:lpstr>
      <vt:lpstr>CN,ML,CO,NU,UR</vt:lpstr>
      <vt:lpstr>APU 1 </vt:lpstr>
      <vt:lpstr>FORMATO 7 CN,ML,CO,NU,UR (2)</vt:lpstr>
      <vt:lpstr>FORMATO 7 AM,OT,BE,CI,RG (2)</vt:lpstr>
      <vt:lpstr>'AM,OT,BE,CI,RG'!Área_de_impresión</vt:lpstr>
      <vt:lpstr>'APU 1 '!Área_de_impresión</vt:lpstr>
      <vt:lpstr>'CN,ML,CO,NU,UR'!Área_de_impresión</vt:lpstr>
      <vt:lpstr>'Estudiodemercado DEF'!Área_de_impresión</vt:lpstr>
      <vt:lpstr>'Estudiodemercado Roceria'!Área_de_impresión</vt:lpstr>
      <vt:lpstr>Estudiodemercadodef!Área_de_impresión</vt:lpstr>
      <vt:lpstr>'Estudiodemercadodef (2)'!Área_de_impresión</vt:lpstr>
      <vt:lpstr>EstudiodemercadoRoceria1ronda!Área_de_impresión</vt:lpstr>
      <vt:lpstr>EstudiodemercadoRoceria1rondef!Área_de_impresión</vt:lpstr>
      <vt:lpstr>EstudiodemercadoTotaldef!Área_de_impresión</vt:lpstr>
      <vt:lpstr>'FORMATO 7 AM,OT,BE,CI,RG (2)'!Área_de_impresión</vt:lpstr>
      <vt:lpstr>'FORMATO 7 CN,ML,CO,NU,UR (2)'!Área_de_impresión</vt:lpstr>
      <vt:lpstr>'PPTO AM,OT,BE,CI,RG'!Área_de_impresión</vt:lpstr>
      <vt:lpstr>'AM,OT,BE,CI,RG'!Títulos_a_imprimir</vt:lpstr>
      <vt:lpstr>'CN,ML,CO,NU,UR'!Títulos_a_imprimir</vt:lpstr>
      <vt:lpstr>'Estudiodemercado DEF'!Títulos_a_imprimir</vt:lpstr>
      <vt:lpstr>'Estudiodemercado Roceria'!Títulos_a_imprimir</vt:lpstr>
      <vt:lpstr>Estudiodemercadodef!Títulos_a_imprimir</vt:lpstr>
      <vt:lpstr>'Estudiodemercadodef (2)'!Títulos_a_imprimir</vt:lpstr>
      <vt:lpstr>EstudiodemercadoRoceria1ronda!Títulos_a_imprimir</vt:lpstr>
      <vt:lpstr>EstudiodemercadoRoceria1rondef!Títulos_a_imprimir</vt:lpstr>
      <vt:lpstr>EstudiodemercadoTotaldef!Títulos_a_imprimir</vt:lpstr>
      <vt:lpstr>'PPTO AM,OT,BE,CI,RG'!Títulos_a_imprimir</vt:lpstr>
    </vt:vector>
  </TitlesOfParts>
  <Company>Aerocivil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Aerocivil</dc:creator>
  <cp:lastModifiedBy>Rosa Elisa Gomez Toro</cp:lastModifiedBy>
  <cp:lastPrinted>2018-04-05T17:23:15Z</cp:lastPrinted>
  <dcterms:created xsi:type="dcterms:W3CDTF">2000-05-02T21:08:28Z</dcterms:created>
  <dcterms:modified xsi:type="dcterms:W3CDTF">2018-08-14T13:35:47Z</dcterms:modified>
</cp:coreProperties>
</file>