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andre\OneDrive\Documents\PROCESOS 2021 INVIAS\PIPIRAL VILLAVICENCIO\INTERVENTORIA\PLIEGO\"/>
    </mc:Choice>
  </mc:AlternateContent>
  <xr:revisionPtr revIDLastSave="0" documentId="8_{7ABB50A3-E647-4F9B-B73E-BA5DF1EDBECB}" xr6:coauthVersionLast="47" xr6:coauthVersionMax="47" xr10:uidLastSave="{00000000-0000-0000-0000-000000000000}"/>
  <bookViews>
    <workbookView xWindow="-120" yWindow="-120" windowWidth="20730" windowHeight="11160" xr2:uid="{00000000-000D-0000-FFFF-FFFF00000000}"/>
  </bookViews>
  <sheets>
    <sheet name="PO" sheetId="1" r:id="rId1"/>
    <sheet name="RANGOS" sheetId="4" r:id="rId2"/>
    <sheet name="PLAN DE CARGAS" sheetId="3" r:id="rId3"/>
    <sheet name="ANALISIS FM" sheetId="5" state="hidden" r:id="rId4"/>
    <sheet name="PERFILES PREDIALES" sheetId="6" state="hidden" r:id="rId5"/>
  </sheets>
  <externalReferences>
    <externalReference r:id="rId6"/>
    <externalReference r:id="rId7"/>
    <externalReference r:id="rId8"/>
    <externalReference r:id="rId9"/>
    <externalReference r:id="rId10"/>
  </externalReferences>
  <definedNames>
    <definedName name="________r" localSheetId="2"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2" hidden="1">{"via1",#N/A,TRUE,"general";"via2",#N/A,TRUE,"general";"via3",#N/A,TRUE,"general"}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2" hidden="1">{"TAB1",#N/A,TRUE,"GENERAL";"TAB2",#N/A,TRUE,"GENERAL";"TAB3",#N/A,TRUE,"GENERAL";"TAB4",#N/A,TRUE,"GENERAL";"TAB5",#N/A,TRUE,"GENERAL"}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2" hidden="1">{"via1",#N/A,TRUE,"general";"via2",#N/A,TRUE,"general";"via3",#N/A,TRUE,"general"}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2" hidden="1">{"TAB1",#N/A,TRUE,"GENERAL";"TAB2",#N/A,TRUE,"GENERAL";"TAB3",#N/A,TRUE,"GENERAL";"TAB4",#N/A,TRUE,"GENERAL";"TAB5",#N/A,TRUE,"GENERAL"}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2" hidden="1">{"via1",#N/A,TRUE,"general";"via2",#N/A,TRUE,"general";"via3",#N/A,TRUE,"general"}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2"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2" hidden="1">{"TAB1",#N/A,TRUE,"GENERAL";"TAB2",#N/A,TRUE,"GENERAL";"TAB3",#N/A,TRUE,"GENERAL";"TAB4",#N/A,TRUE,"GENERAL";"TAB5",#N/A,TRUE,"GENERAL"}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2"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2" hidden="1">{"via1",#N/A,TRUE,"general";"via2",#N/A,TRUE,"general";"via3",#N/A,TRUE,"general"}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2"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2"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2"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2" hidden="1">{"via1",#N/A,TRUE,"general";"via2",#N/A,TRUE,"general";"via3",#N/A,TRUE,"general"}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2"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2"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2" hidden="1">{"TAB1",#N/A,TRUE,"GENERAL";"TAB2",#N/A,TRUE,"GENERAL";"TAB3",#N/A,TRUE,"GENERAL";"TAB4",#N/A,TRUE,"GENERAL";"TAB5",#N/A,TRUE,"GENERAL"}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2"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2"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2"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2"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2"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2"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2"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2"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2"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2"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2" hidden="1">#REF!</definedName>
    <definedName name="_Fill" localSheetId="0" hidden="1">#REF!</definedName>
    <definedName name="_Fill" localSheetId="1" hidden="1">#REF!</definedName>
    <definedName name="_Fill" hidden="1">#REF!</definedName>
    <definedName name="_xlnm._FilterDatabase" hidden="1">'[3]46W9'!#REF!</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2" localSheetId="2" hidden="1">#REF!</definedName>
    <definedName name="_Key2" localSheetId="0" hidden="1">#REF!</definedName>
    <definedName name="_Key2" localSheetId="1" hidden="1">#REF!</definedName>
    <definedName name="_Key2"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localSheetId="1" hidden="1">0</definedName>
    <definedName name="_Order2" hidden="1">0</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0" hidden="1">#REF!</definedName>
    <definedName name="_Parse_Out" localSheetId="1" hidden="1">#REF!</definedName>
    <definedName name="_Parse_Out" hidden="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localSheetId="0" hidden="1">#REF!</definedName>
    <definedName name="_Sort" localSheetId="1"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2" hidden="1">"A:\SAIN.mdb"</definedName>
    <definedName name="AccessDatabase" localSheetId="0" hidden="1">"A:\SAIN.mdb"</definedName>
    <definedName name="AccessDatabase" localSheetId="1" hidden="1">"A:\SAIN.mdb"</definedName>
    <definedName name="AccessDatabase" hidden="1">"A:\SAIN.mdb"</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localSheetId="0" hidden="1">#REF!</definedName>
    <definedName name="FAC" localSheetId="1" hidden="1">#REF!</definedName>
    <definedName name="FAC"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0" hidden="1">{"via1",#N/A,TRUE,"general";"via2",#N/A,TRUE,"general";"via3",#N/A,TRUE,"general"}</definedName>
    <definedName name="jj" localSheetId="1"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2" hidden="1">{"TAB1",#N/A,TRUE,"GENERAL";"TAB2",#N/A,TRUE,"GENERAL";"TAB3",#N/A,TRUE,"GENERAL";"TAB4",#N/A,TRUE,"GENERAL";"TAB5",#N/A,TRUE,"GENERAL"}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localSheetId="0" hidden="1">#REF!</definedName>
    <definedName name="PROG" localSheetId="1" hidden="1">#REF!</definedName>
    <definedName name="PROG" hidden="1">#REF!</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 localSheetId="1"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2" hidden="1">{"via1",#N/A,TRUE,"general";"via2",#N/A,TRUE,"general";"via3",#N/A,TRUE,"general"}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3" l="1"/>
  <c r="I11" i="3"/>
  <c r="Q11" i="3"/>
  <c r="C12" i="3"/>
  <c r="D12" i="3" s="1"/>
  <c r="E12" i="3" s="1"/>
  <c r="G12" i="3"/>
  <c r="H12" i="3"/>
  <c r="I12" i="3" s="1"/>
  <c r="K12" i="3"/>
  <c r="L12" i="3" s="1"/>
  <c r="M12" i="3" s="1"/>
  <c r="O12" i="3"/>
  <c r="P12" i="3" s="1"/>
  <c r="Q12" i="3" s="1"/>
  <c r="S12" i="3"/>
  <c r="T12" i="3"/>
  <c r="U12" i="3"/>
  <c r="V12" i="3"/>
  <c r="W12" i="3"/>
  <c r="X12" i="3"/>
  <c r="Y12" i="3"/>
  <c r="Z12" i="3"/>
  <c r="AA12" i="3"/>
  <c r="AB12" i="3"/>
  <c r="AC12" i="3"/>
  <c r="AD12" i="3"/>
  <c r="AE12" i="3"/>
  <c r="AF12" i="3"/>
  <c r="S13" i="3"/>
  <c r="T13" i="3"/>
  <c r="U13" i="3"/>
  <c r="V13" i="3"/>
  <c r="W13" i="3"/>
  <c r="X13" i="3"/>
  <c r="Y13" i="3"/>
  <c r="Z13" i="3"/>
  <c r="AA13" i="3"/>
  <c r="AB13" i="3"/>
  <c r="AC13" i="3"/>
  <c r="AD13" i="3"/>
  <c r="AE13" i="3"/>
  <c r="AF13" i="3"/>
  <c r="S14" i="3"/>
  <c r="W16" i="3"/>
  <c r="AE16" i="3"/>
  <c r="S18" i="3"/>
  <c r="T18" i="3"/>
  <c r="W18" i="3"/>
  <c r="AA18" i="3"/>
  <c r="AB18" i="3"/>
  <c r="S20" i="3"/>
  <c r="W21" i="3"/>
  <c r="S24" i="3"/>
  <c r="S17" i="3" s="1"/>
  <c r="T24" i="3"/>
  <c r="T20" i="3" s="1"/>
  <c r="U24" i="3"/>
  <c r="U22" i="3" s="1"/>
  <c r="V24" i="3"/>
  <c r="V14" i="3" s="1"/>
  <c r="W24" i="3"/>
  <c r="W14" i="3" s="1"/>
  <c r="X24" i="3"/>
  <c r="X14" i="3" s="1"/>
  <c r="Y24" i="3"/>
  <c r="Y16" i="3" s="1"/>
  <c r="Z24" i="3"/>
  <c r="Z14" i="3" s="1"/>
  <c r="AA24" i="3"/>
  <c r="AA14" i="3" s="1"/>
  <c r="AB24" i="3"/>
  <c r="AB14" i="3" s="1"/>
  <c r="AC24" i="3"/>
  <c r="AC17" i="3" s="1"/>
  <c r="AD24" i="3"/>
  <c r="AD17" i="3" s="1"/>
  <c r="AE24" i="3"/>
  <c r="AE17" i="3" s="1"/>
  <c r="AE23" i="3" s="1"/>
  <c r="AE25" i="3" s="1"/>
  <c r="AF24" i="3"/>
  <c r="AF16" i="3" s="1"/>
  <c r="AF23" i="3" s="1"/>
  <c r="AB21" i="3" l="1"/>
  <c r="T21" i="3"/>
  <c r="AB16" i="3"/>
  <c r="T16" i="3"/>
  <c r="AA21" i="3"/>
  <c r="S21" i="3"/>
  <c r="X18" i="3"/>
  <c r="AA16" i="3"/>
  <c r="S16" i="3"/>
  <c r="AF25" i="3"/>
  <c r="X21" i="3"/>
  <c r="X16" i="3"/>
  <c r="Y22" i="3"/>
  <c r="U19" i="3"/>
  <c r="U17" i="3"/>
  <c r="Y14" i="3"/>
  <c r="AB22" i="3"/>
  <c r="X22" i="3"/>
  <c r="T22" i="3"/>
  <c r="Z21" i="3"/>
  <c r="V21" i="3"/>
  <c r="U20" i="3"/>
  <c r="T19" i="3"/>
  <c r="Z18" i="3"/>
  <c r="V18" i="3"/>
  <c r="T17" i="3"/>
  <c r="AD16" i="3"/>
  <c r="AD23" i="3" s="1"/>
  <c r="AD25" i="3" s="1"/>
  <c r="Z16" i="3"/>
  <c r="V16" i="3"/>
  <c r="AA22" i="3"/>
  <c r="W22" i="3"/>
  <c r="W23" i="3" s="1"/>
  <c r="W25" i="3" s="1"/>
  <c r="S22" i="3"/>
  <c r="Y21" i="3"/>
  <c r="U21" i="3"/>
  <c r="S19" i="3"/>
  <c r="Y18" i="3"/>
  <c r="U18" i="3"/>
  <c r="AC16" i="3"/>
  <c r="AC23" i="3" s="1"/>
  <c r="AC25" i="3" s="1"/>
  <c r="U16" i="3"/>
  <c r="Z22" i="3"/>
  <c r="Z23" i="3" s="1"/>
  <c r="Z25" i="3" s="1"/>
  <c r="V22" i="3"/>
  <c r="S23" i="3" l="1"/>
  <c r="S25" i="3" s="1"/>
  <c r="AA23" i="3"/>
  <c r="AA25" i="3" s="1"/>
  <c r="X23" i="3"/>
  <c r="X25" i="3" s="1"/>
  <c r="V23" i="3"/>
  <c r="V25" i="3" s="1"/>
  <c r="AB23" i="3"/>
  <c r="AB25" i="3" s="1"/>
  <c r="U23" i="3"/>
  <c r="U25" i="3" s="1"/>
  <c r="T23" i="3"/>
  <c r="T25" i="3" s="1"/>
  <c r="Y23" i="3"/>
  <c r="Y25" i="3" s="1"/>
  <c r="G26" i="1" l="1"/>
  <c r="G25" i="1"/>
  <c r="G24" i="1"/>
  <c r="G23" i="1"/>
  <c r="G22" i="1"/>
  <c r="G21" i="1"/>
  <c r="G20" i="1"/>
  <c r="G19" i="1"/>
  <c r="G18" i="1"/>
  <c r="G17" i="1"/>
  <c r="I23" i="4"/>
  <c r="I24" i="4"/>
  <c r="I22" i="4"/>
  <c r="I19" i="4"/>
  <c r="I20" i="4"/>
  <c r="I21" i="4"/>
  <c r="I18" i="4"/>
  <c r="I17" i="4"/>
  <c r="I14" i="4"/>
  <c r="H14" i="4" s="1"/>
  <c r="G16" i="4"/>
  <c r="I7" i="4"/>
  <c r="J7" i="4" s="1"/>
  <c r="I8" i="4"/>
  <c r="J8" i="4" s="1"/>
  <c r="I9" i="4"/>
  <c r="J9" i="4" s="1"/>
  <c r="I10" i="4"/>
  <c r="H10" i="4" s="1"/>
  <c r="I11" i="4"/>
  <c r="J11" i="4" s="1"/>
  <c r="I12" i="4"/>
  <c r="J12" i="4" s="1"/>
  <c r="I3" i="4"/>
  <c r="J3" i="4" s="1"/>
  <c r="G13" i="4"/>
  <c r="G14" i="4"/>
  <c r="G15" i="4"/>
  <c r="G4" i="4"/>
  <c r="G5" i="4"/>
  <c r="G6" i="4"/>
  <c r="G7" i="4"/>
  <c r="G8" i="4"/>
  <c r="G9" i="4"/>
  <c r="G10" i="4"/>
  <c r="G11" i="4"/>
  <c r="G3" i="4"/>
  <c r="H12" i="4" l="1"/>
  <c r="H8" i="4"/>
  <c r="H9" i="4"/>
  <c r="H3" i="4"/>
  <c r="H11" i="4"/>
  <c r="H7" i="4"/>
  <c r="J10" i="4"/>
  <c r="G12" i="4" l="1"/>
  <c r="G57" i="1" l="1"/>
  <c r="G58" i="1"/>
  <c r="G56" i="1"/>
  <c r="G55" i="1"/>
  <c r="G54" i="1"/>
  <c r="I16" i="4"/>
  <c r="H16" i="4" s="1"/>
  <c r="I15" i="4"/>
  <c r="H15" i="4" s="1"/>
  <c r="I6" i="4"/>
  <c r="H6" i="4" s="1"/>
  <c r="I5" i="4"/>
  <c r="H5" i="4" s="1"/>
  <c r="J16" i="4" l="1"/>
  <c r="J15" i="4"/>
  <c r="J6" i="4"/>
  <c r="J5" i="4"/>
  <c r="F59" i="5" l="1"/>
  <c r="C56" i="5" s="1"/>
  <c r="C58" i="5" s="1"/>
  <c r="C19" i="5" s="1"/>
  <c r="C57" i="5"/>
  <c r="G45" i="5"/>
  <c r="F45" i="5"/>
  <c r="E45" i="5"/>
  <c r="D45" i="5"/>
  <c r="D40" i="5"/>
  <c r="C42" i="5"/>
  <c r="C40" i="5" s="1"/>
  <c r="E40" i="5"/>
  <c r="A41" i="5"/>
  <c r="A42" i="5" s="1"/>
  <c r="A43" i="5" s="1"/>
  <c r="A44" i="5" s="1"/>
  <c r="A45" i="5" s="1"/>
  <c r="A46" i="5" s="1"/>
  <c r="A47" i="5" s="1"/>
  <c r="A48" i="5" s="1"/>
  <c r="A49" i="5" s="1"/>
  <c r="H40" i="5"/>
  <c r="C36" i="5"/>
  <c r="G36" i="5" s="1"/>
  <c r="L35" i="5"/>
  <c r="K35" i="5"/>
  <c r="G35" i="5"/>
  <c r="F35" i="5"/>
  <c r="F34" i="5" s="1"/>
  <c r="N34" i="5" s="1"/>
  <c r="E35" i="5"/>
  <c r="E34" i="5" s="1"/>
  <c r="D35" i="5"/>
  <c r="D34" i="5" s="1"/>
  <c r="L34" i="5" s="1"/>
  <c r="G34" i="5"/>
  <c r="C34" i="5"/>
  <c r="K34" i="5" s="1"/>
  <c r="K33" i="5"/>
  <c r="G33" i="5"/>
  <c r="F33" i="5"/>
  <c r="N33" i="5" s="1"/>
  <c r="E33" i="5"/>
  <c r="M33" i="5" s="1"/>
  <c r="D33" i="5"/>
  <c r="L33" i="5" s="1"/>
  <c r="L32" i="5"/>
  <c r="K32" i="5"/>
  <c r="G32" i="5"/>
  <c r="F32" i="5"/>
  <c r="N32" i="5" s="1"/>
  <c r="E32" i="5"/>
  <c r="M32" i="5" s="1"/>
  <c r="D32" i="5"/>
  <c r="N31" i="5"/>
  <c r="M31" i="5"/>
  <c r="L31" i="5"/>
  <c r="K31" i="5"/>
  <c r="N30" i="5"/>
  <c r="K30" i="5"/>
  <c r="G30" i="5"/>
  <c r="F30" i="5"/>
  <c r="E30" i="5"/>
  <c r="M30" i="5" s="1"/>
  <c r="D30" i="5"/>
  <c r="N29" i="5"/>
  <c r="M29" i="5"/>
  <c r="L29" i="5"/>
  <c r="K29" i="5"/>
  <c r="N28" i="5"/>
  <c r="M28" i="5"/>
  <c r="L28" i="5"/>
  <c r="K28" i="5"/>
  <c r="G27" i="5"/>
  <c r="F27" i="5"/>
  <c r="N27" i="5" s="1"/>
  <c r="E27" i="5"/>
  <c r="M27" i="5" s="1"/>
  <c r="D27" i="5"/>
  <c r="L27" i="5" s="1"/>
  <c r="C27" i="5"/>
  <c r="N26" i="5"/>
  <c r="M26" i="5"/>
  <c r="L26" i="5"/>
  <c r="K26" i="5"/>
  <c r="L25" i="5"/>
  <c r="K25" i="5"/>
  <c r="G25" i="5"/>
  <c r="F25" i="5"/>
  <c r="N25" i="5" s="1"/>
  <c r="E25" i="5"/>
  <c r="M25" i="5" s="1"/>
  <c r="D25" i="5"/>
  <c r="N24" i="5"/>
  <c r="M24" i="5"/>
  <c r="L24" i="5"/>
  <c r="K24" i="5"/>
  <c r="A24" i="5"/>
  <c r="A25" i="5" s="1"/>
  <c r="A26" i="5" s="1"/>
  <c r="A27" i="5" s="1"/>
  <c r="A28" i="5" s="1"/>
  <c r="A29" i="5" s="1"/>
  <c r="A30" i="5" s="1"/>
  <c r="A31" i="5" s="1"/>
  <c r="A32" i="5" s="1"/>
  <c r="A33" i="5" s="1"/>
  <c r="A34" i="5" s="1"/>
  <c r="A35" i="5" s="1"/>
  <c r="A36" i="5" s="1"/>
  <c r="A37" i="5" s="1"/>
  <c r="A38" i="5" s="1"/>
  <c r="A39" i="5" s="1"/>
  <c r="H23" i="5"/>
  <c r="C18" i="5"/>
  <c r="F18" i="5" s="1"/>
  <c r="G17" i="5"/>
  <c r="F17" i="5"/>
  <c r="E17" i="5"/>
  <c r="D17" i="5"/>
  <c r="G16" i="5"/>
  <c r="F16" i="5"/>
  <c r="E16" i="5"/>
  <c r="D16" i="5"/>
  <c r="G15" i="5"/>
  <c r="F15" i="5"/>
  <c r="E15" i="5"/>
  <c r="D15" i="5"/>
  <c r="G14" i="5"/>
  <c r="F14" i="5"/>
  <c r="E14" i="5"/>
  <c r="D14" i="5"/>
  <c r="H13" i="5"/>
  <c r="G13" i="5"/>
  <c r="F13" i="5"/>
  <c r="E13" i="5"/>
  <c r="D13" i="5"/>
  <c r="G12" i="5"/>
  <c r="F12" i="5"/>
  <c r="E12" i="5"/>
  <c r="D12" i="5"/>
  <c r="H11" i="5"/>
  <c r="D11" i="5"/>
  <c r="C11" i="5"/>
  <c r="G11" i="5" s="1"/>
  <c r="J10" i="5"/>
  <c r="E10" i="5"/>
  <c r="C10" i="5"/>
  <c r="G10" i="5" s="1"/>
  <c r="H8" i="5"/>
  <c r="C8" i="5"/>
  <c r="G8" i="5" s="1"/>
  <c r="A8" i="5"/>
  <c r="A9" i="5" s="1"/>
  <c r="A10" i="5" s="1"/>
  <c r="A11" i="5" s="1"/>
  <c r="A12" i="5" s="1"/>
  <c r="A13" i="5" s="1"/>
  <c r="A14" i="5" s="1"/>
  <c r="A15" i="5" s="1"/>
  <c r="A16" i="5" s="1"/>
  <c r="A17" i="5" s="1"/>
  <c r="A18" i="5" s="1"/>
  <c r="A19" i="5" s="1"/>
  <c r="A20" i="5" s="1"/>
  <c r="A21" i="5" s="1"/>
  <c r="A22" i="5" s="1"/>
  <c r="K7" i="5"/>
  <c r="K6" i="5"/>
  <c r="K5" i="5"/>
  <c r="K4" i="5"/>
  <c r="H10" i="5" l="1"/>
  <c r="H7" i="5" s="1"/>
  <c r="H53" i="5" s="1"/>
  <c r="H50" i="5" s="1"/>
  <c r="H52" i="5" s="1"/>
  <c r="E11" i="5"/>
  <c r="M35" i="5"/>
  <c r="D8" i="5"/>
  <c r="C23" i="5"/>
  <c r="F40" i="5"/>
  <c r="F60" i="5"/>
  <c r="G23" i="5"/>
  <c r="E8" i="5"/>
  <c r="D10" i="5"/>
  <c r="D36" i="5"/>
  <c r="D23" i="5" s="1"/>
  <c r="G40" i="5"/>
  <c r="D19" i="5"/>
  <c r="G19" i="5"/>
  <c r="E19" i="5"/>
  <c r="F19" i="5"/>
  <c r="M34" i="5"/>
  <c r="G18" i="5"/>
  <c r="G7" i="5" s="1"/>
  <c r="G53" i="5" s="1"/>
  <c r="F8" i="5"/>
  <c r="F10" i="5"/>
  <c r="F11" i="5"/>
  <c r="D18" i="5"/>
  <c r="K27" i="5"/>
  <c r="L30" i="5"/>
  <c r="N35" i="5"/>
  <c r="E36" i="5"/>
  <c r="E23" i="5" s="1"/>
  <c r="C7" i="5"/>
  <c r="E18" i="5"/>
  <c r="F36" i="5"/>
  <c r="F23" i="5" s="1"/>
  <c r="E7" i="5" l="1"/>
  <c r="E53" i="5" s="1"/>
  <c r="E50" i="5" s="1"/>
  <c r="D7" i="5"/>
  <c r="D53" i="5" s="1"/>
  <c r="D50" i="5" s="1"/>
  <c r="C53" i="5"/>
  <c r="E51" i="5"/>
  <c r="C51" i="5"/>
  <c r="C50" i="5"/>
  <c r="F7" i="5"/>
  <c r="F53" i="5" s="1"/>
  <c r="G51" i="5"/>
  <c r="G50" i="5"/>
  <c r="D51" i="5"/>
  <c r="D52" i="5" l="1"/>
  <c r="C52" i="5"/>
  <c r="G52" i="5"/>
  <c r="E52" i="5"/>
  <c r="F51" i="5"/>
  <c r="F50" i="5"/>
  <c r="F52" i="5" l="1"/>
  <c r="I13" i="4" l="1"/>
  <c r="H13" i="4" s="1"/>
  <c r="J14" i="4" l="1"/>
  <c r="J13" i="4"/>
  <c r="G32" i="1" l="1"/>
  <c r="G49" i="1" l="1"/>
  <c r="G47" i="1"/>
  <c r="G28" i="1" l="1"/>
  <c r="G29" i="1"/>
  <c r="G30" i="1"/>
  <c r="G35" i="1"/>
  <c r="G51" i="1"/>
  <c r="G52" i="1"/>
  <c r="I60" i="1"/>
  <c r="G50" i="1" l="1"/>
  <c r="G59" i="1" s="1"/>
  <c r="G34" i="1"/>
  <c r="I4" i="4"/>
  <c r="H4" i="4" s="1"/>
  <c r="J4" i="4" l="1"/>
  <c r="G39" i="1" l="1"/>
  <c r="G41" i="1" s="1"/>
  <c r="G60" i="1" s="1"/>
  <c r="G62" i="1" s="1"/>
  <c r="G63" i="1" s="1"/>
  <c r="J38" i="1"/>
  <c r="G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Rodriguez</author>
  </authors>
  <commentList>
    <comment ref="B18" authorId="0" shapeId="0" xr:uid="{00000000-0006-0000-0300-000001000000}">
      <text>
        <r>
          <rPr>
            <b/>
            <sz val="8"/>
            <color indexed="81"/>
            <rFont val="Tahoma"/>
            <family val="2"/>
          </rPr>
          <t>Jorge Rodriguez:</t>
        </r>
        <r>
          <rPr>
            <sz val="8"/>
            <color indexed="81"/>
            <rFont val="Tahoma"/>
            <family val="2"/>
          </rPr>
          <t xml:space="preserve">
Solo aplica hasta 2 SMMLV (0,1172)</t>
        </r>
      </text>
    </comment>
    <comment ref="B19" authorId="0" shapeId="0" xr:uid="{00000000-0006-0000-0300-000002000000}">
      <text>
        <r>
          <rPr>
            <b/>
            <sz val="8"/>
            <color indexed="81"/>
            <rFont val="Tahoma"/>
            <family val="2"/>
          </rPr>
          <t>Jorge Rodriguez:</t>
        </r>
        <r>
          <rPr>
            <sz val="8"/>
            <color indexed="81"/>
            <rFont val="Tahoma"/>
            <family val="2"/>
          </rPr>
          <t xml:space="preserve">
No es una obligación, sin embargo se asume para 8 SMMLV</t>
        </r>
      </text>
    </comment>
    <comment ref="B30" authorId="0" shapeId="0" xr:uid="{00000000-0006-0000-0300-000003000000}">
      <text>
        <r>
          <rPr>
            <b/>
            <sz val="8"/>
            <color indexed="81"/>
            <rFont val="Tahoma"/>
            <family val="2"/>
          </rPr>
          <t>Jorge Rodriguez:</t>
        </r>
        <r>
          <rPr>
            <sz val="8"/>
            <color indexed="81"/>
            <rFont val="Tahoma"/>
            <family val="2"/>
          </rPr>
          <t xml:space="preserve">
Excluí costos financieros (préstamos, sobregiros)</t>
        </r>
      </text>
    </comment>
    <comment ref="B41" authorId="0" shapeId="0" xr:uid="{00000000-0006-0000-0300-000004000000}">
      <text>
        <r>
          <rPr>
            <b/>
            <sz val="8"/>
            <color indexed="81"/>
            <rFont val="Tahoma"/>
            <family val="2"/>
          </rPr>
          <t>Jorge Rodriguez:</t>
        </r>
        <r>
          <rPr>
            <sz val="8"/>
            <color indexed="81"/>
            <rFont val="Tahoma"/>
            <family val="2"/>
          </rPr>
          <t xml:space="preserve">
Asumo 50 % a cargo de cada una de las partes contratantes
</t>
        </r>
      </text>
    </comment>
    <comment ref="B43" authorId="0" shapeId="0" xr:uid="{00000000-0006-0000-0300-000005000000}">
      <text>
        <r>
          <rPr>
            <b/>
            <sz val="8"/>
            <color indexed="81"/>
            <rFont val="Tahoma"/>
            <family val="2"/>
          </rPr>
          <t>Jorge Rodriguez:</t>
        </r>
        <r>
          <rPr>
            <sz val="8"/>
            <color indexed="81"/>
            <rFont val="Tahoma"/>
            <family val="2"/>
          </rPr>
          <t xml:space="preserve">
Asumo que significan 2/3 de los impuestos de renta</t>
        </r>
      </text>
    </comment>
    <comment ref="B45" authorId="0" shapeId="0" xr:uid="{00000000-0006-0000-0300-000006000000}">
      <text>
        <r>
          <rPr>
            <b/>
            <sz val="8"/>
            <color indexed="81"/>
            <rFont val="Tahoma"/>
            <family val="2"/>
          </rPr>
          <t>Jorge Rodriguez:</t>
        </r>
        <r>
          <rPr>
            <sz val="8"/>
            <color indexed="81"/>
            <rFont val="Tahoma"/>
            <family val="2"/>
          </rPr>
          <t xml:space="preserve">
Solo aplica en contratos distritales</t>
        </r>
      </text>
    </comment>
  </commentList>
</comments>
</file>

<file path=xl/sharedStrings.xml><?xml version="1.0" encoding="utf-8"?>
<sst xmlns="http://schemas.openxmlformats.org/spreadsheetml/2006/main" count="254" uniqueCount="215">
  <si>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</si>
  <si>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</si>
  <si>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</si>
  <si>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</si>
  <si>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</si>
  <si>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</si>
  <si>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</si>
  <si>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</si>
  <si>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</si>
  <si>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</si>
  <si>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r>
      <t xml:space="preserve">SUBTOTAL OTROS COSTOS DIRECTOS = SUMATORIA DE (11) = </t>
    </r>
    <r>
      <rPr>
        <b/>
        <sz val="9"/>
        <color indexed="12"/>
        <rFont val="Arial Narrow"/>
        <family val="2"/>
      </rPr>
      <t>(B)</t>
    </r>
  </si>
  <si>
    <t>Según comprobante por mes</t>
  </si>
  <si>
    <t>Transportes aereos y/o terrestres (incluye peajes y combustible)</t>
  </si>
  <si>
    <t>OTROS COSTOS</t>
  </si>
  <si>
    <t>Mes</t>
  </si>
  <si>
    <t>COSTOS DE ALQUILER DE EQUIPOS Y OFICINA</t>
  </si>
  <si>
    <t>Dia</t>
  </si>
  <si>
    <t>VIÁTICOS</t>
  </si>
  <si>
    <t>OTROS COSTOS DIRECTOS</t>
  </si>
  <si>
    <r>
      <t xml:space="preserve">(8)*(9)*(10) = </t>
    </r>
    <r>
      <rPr>
        <b/>
        <sz val="9"/>
        <color indexed="12"/>
        <rFont val="Arial Narrow"/>
        <family val="2"/>
      </rPr>
      <t>(11)</t>
    </r>
  </si>
  <si>
    <t>(10)</t>
  </si>
  <si>
    <t>(9)</t>
  </si>
  <si>
    <t>(8)</t>
  </si>
  <si>
    <t>PARCIAL ($)</t>
  </si>
  <si>
    <t>($)</t>
  </si>
  <si>
    <t>VALOR</t>
  </si>
  <si>
    <t>UTILIZACION</t>
  </si>
  <si>
    <t>COSTO</t>
  </si>
  <si>
    <t>UNIDAD</t>
  </si>
  <si>
    <t>CONCEPTO</t>
  </si>
  <si>
    <t>CANT.</t>
  </si>
  <si>
    <r>
      <t xml:space="preserve">SUBTOTAL COSTOS DE PERSONAL =  (6) * (7) = </t>
    </r>
    <r>
      <rPr>
        <b/>
        <sz val="9"/>
        <color indexed="12"/>
        <rFont val="Arial Narrow"/>
        <family val="2"/>
      </rPr>
      <t xml:space="preserve">(A) </t>
    </r>
  </si>
  <si>
    <r>
      <t>FACTOR MULTIPLICADOR</t>
    </r>
    <r>
      <rPr>
        <b/>
        <sz val="9"/>
        <color indexed="12"/>
        <rFont val="Arial Narrow"/>
        <family val="2"/>
      </rPr>
      <t xml:space="preserve"> (7)</t>
    </r>
  </si>
  <si>
    <r>
      <t>SUBTOTAL COSTOS DE PERSONAL = SUMATORIA DE (5) =</t>
    </r>
    <r>
      <rPr>
        <b/>
        <sz val="9"/>
        <color indexed="12"/>
        <rFont val="Arial Narrow"/>
        <family val="2"/>
      </rPr>
      <t xml:space="preserve"> (6)</t>
    </r>
  </si>
  <si>
    <t>OTROS COSTOS DE PERSONAL</t>
  </si>
  <si>
    <t>PERSONAL AUXILIAR TÉCNICO</t>
  </si>
  <si>
    <t xml:space="preserve">Secretaria </t>
  </si>
  <si>
    <t>PERSONAL ADMINISTRATIVO</t>
  </si>
  <si>
    <t>PERSONAL TÉCNICO</t>
  </si>
  <si>
    <t>Profesional de Aseguramiento o Gestión de la Calidad</t>
  </si>
  <si>
    <t>PERSONAL PROFESIONAL</t>
  </si>
  <si>
    <t xml:space="preserve">COSTOS DIRECTOS DE PERSONAL </t>
  </si>
  <si>
    <r>
      <t>(1)*((2)+(3))*(4) =</t>
    </r>
    <r>
      <rPr>
        <b/>
        <sz val="9"/>
        <color indexed="12"/>
        <rFont val="Arial Narrow"/>
        <family val="2"/>
      </rPr>
      <t xml:space="preserve"> (5)</t>
    </r>
  </si>
  <si>
    <t>(4)</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</si>
  <si>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</si>
  <si>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</si>
  <si>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</si>
  <si>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</si>
  <si>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</si>
  <si>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</si>
  <si>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</si>
  <si>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</si>
  <si>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</si>
  <si>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</si>
  <si>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</si>
  <si>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</si>
  <si>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</si>
  <si>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</si>
  <si>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</si>
  <si>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SUBDIRECCION DE LA RED NACIONAL DE CARRETERAS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</si>
  <si>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</si>
  <si>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</si>
  <si>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</si>
  <si>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</si>
  <si>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</si>
  <si>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</si>
  <si>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</si>
  <si>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</si>
  <si>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</si>
  <si>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</si>
  <si>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</si>
  <si>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</si>
  <si>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</si>
  <si>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</si>
  <si>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</si>
  <si>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</si>
  <si>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</si>
  <si>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Todas las actividades de Interventoría estan apoyadas por el Personal Logistico de la Interventoría, tales como: Secretaria, Conductor(es).</t>
  </si>
  <si>
    <t>RECURSO</t>
  </si>
  <si>
    <t>LIMITE INFERIOR</t>
  </si>
  <si>
    <t>LIMITE SUPERIOR</t>
  </si>
  <si>
    <t>CONCURSO DE MÉRITOS ABIERTO No. CMA-DO-SRN-0XX-2020</t>
  </si>
  <si>
    <t>Cadenero</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</si>
  <si>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</si>
  <si>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</si>
  <si>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</si>
  <si>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</si>
  <si>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</si>
  <si>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</si>
  <si>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</si>
  <si>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</si>
  <si>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</si>
  <si>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Inspector SST</t>
  </si>
  <si>
    <t xml:space="preserve">Elementos e insumos IMPLEMENTACIÓN PROTOCOLO DE BIOSEGURIDAD POR COVID -19 </t>
  </si>
  <si>
    <t>Especialista en Hidráulica e Hidrología</t>
  </si>
  <si>
    <t xml:space="preserve">Topógrafo Inspector </t>
  </si>
  <si>
    <t xml:space="preserve">Laboratorista Inspector </t>
  </si>
  <si>
    <t>PROVISIÓN JORNADAS 7X24</t>
  </si>
  <si>
    <t>Conductor</t>
  </si>
  <si>
    <t>2.7. Para el caso del reembolso de los costos globales, es responsabilidad de la Interventoría el gasto racional de estos recursos, de acuerdo con las necesidades del proyecto dentro del plazo contractual.</t>
  </si>
  <si>
    <t>Viaticos Director y/o Especialistas</t>
  </si>
  <si>
    <t xml:space="preserve">Camioneta o Campero de más de  2000 c.c.  (1): 4x4  (Incluye peajes y Combustible) El modelo del vehiculo ofrecido  deberá corresponder a modelos 2015 o superior. </t>
  </si>
  <si>
    <t>Equipo completo de topografia</t>
  </si>
  <si>
    <t>Laboratorio de ensayos de materiales, suelos, pavimentos y concretos completo</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</si>
  <si>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</si>
  <si>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</si>
  <si>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</si>
  <si>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</si>
  <si>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</si>
  <si>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</si>
  <si>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</si>
  <si>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</si>
  <si>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CALCULO DEL FACTOR MUTIPLICADOR (actualización JERP para trabajos distintos al IDU Junio-09)</t>
  </si>
  <si>
    <t>VALOR DEL CONTRATO EN SMMLV</t>
  </si>
  <si>
    <t>Rango del Contrato-------&gt;</t>
  </si>
  <si>
    <t xml:space="preserve"> 0 a 1,500</t>
  </si>
  <si>
    <t>1,500 a 3,000</t>
  </si>
  <si>
    <t>3,000 a 6,000</t>
  </si>
  <si>
    <t>6,000 a 10,000</t>
  </si>
  <si>
    <t>+ DE 10,000</t>
  </si>
  <si>
    <t>0-1316'</t>
  </si>
  <si>
    <t>1316' - 2633'</t>
  </si>
  <si>
    <t>2633'-5266'</t>
  </si>
  <si>
    <t>5266' - 8778'</t>
  </si>
  <si>
    <t>&gt;8778'</t>
  </si>
  <si>
    <t>MARIO CESAR</t>
  </si>
  <si>
    <t>ITEM</t>
  </si>
  <si>
    <t>%</t>
  </si>
  <si>
    <t>SALARIOS</t>
  </si>
  <si>
    <t>PRESTACIONES SOCIALES</t>
  </si>
  <si>
    <t>Cesantía</t>
  </si>
  <si>
    <t>Intereses de Cesantía</t>
  </si>
  <si>
    <t>Prima</t>
  </si>
  <si>
    <t>Vacaciones</t>
  </si>
  <si>
    <t>Sesuridad Social Salud</t>
  </si>
  <si>
    <t>Sesuridad Social Pensión</t>
  </si>
  <si>
    <t>Aseguradora de Riesgos Profesionales</t>
  </si>
  <si>
    <t>Subsidio Familiar</t>
  </si>
  <si>
    <t>ICBF</t>
  </si>
  <si>
    <t>SENA</t>
  </si>
  <si>
    <t>Subsidio de Transporte</t>
  </si>
  <si>
    <t>Dotación</t>
  </si>
  <si>
    <t>Recargo dominicales y festivos</t>
  </si>
  <si>
    <t>recargo nocturno</t>
  </si>
  <si>
    <t>Otros</t>
  </si>
  <si>
    <t>COSTOS OFICINA DEL CONSULTOR</t>
  </si>
  <si>
    <t>Arriendo de Oficina, administración y servicios públicos</t>
  </si>
  <si>
    <t>Papelería Oficina consultor</t>
  </si>
  <si>
    <t>Personal administrativo no facturado</t>
  </si>
  <si>
    <t>Personal profesional no facturado</t>
  </si>
  <si>
    <t>Asesoría legal, tributaria y médica</t>
  </si>
  <si>
    <t>Gastos de representación</t>
  </si>
  <si>
    <t xml:space="preserve">Gastos bancarios </t>
  </si>
  <si>
    <t>Equipos y mantenimiento de oficina</t>
  </si>
  <si>
    <t>Seguros de oficina del consultor</t>
  </si>
  <si>
    <t>Correos</t>
  </si>
  <si>
    <t>Documentación Técnica</t>
  </si>
  <si>
    <t>Costos Propuestas</t>
  </si>
  <si>
    <t>Equipos de mitigación ambiental y social</t>
  </si>
  <si>
    <t>Gastos de vehículo</t>
  </si>
  <si>
    <t>Depreciación de muebles y equipos</t>
  </si>
  <si>
    <t>Licenciamiento de software</t>
  </si>
  <si>
    <t>COSTOS DE PERFECCIONAMIENTO (IMPUESTOS Y POLIZAS)</t>
  </si>
  <si>
    <t>Timbre</t>
  </si>
  <si>
    <t>Publicación en el diario oficial</t>
  </si>
  <si>
    <t>Retefuente</t>
  </si>
  <si>
    <t>ReteICA</t>
  </si>
  <si>
    <t>Estampilla Universidad Distrital - Nacional</t>
  </si>
  <si>
    <t>Póliza de calidad</t>
  </si>
  <si>
    <t>Poliza de cumplimiento</t>
  </si>
  <si>
    <t>Póliza de salarios y prestaciones sociales</t>
  </si>
  <si>
    <t>Cree</t>
  </si>
  <si>
    <t>IMPREVISTOS 3 % AL 1 %</t>
  </si>
  <si>
    <t>UTILIDADES 10 % (1+2+3+4)</t>
  </si>
  <si>
    <t>TOTAL FACTOR MUTIPLICADOR</t>
  </si>
  <si>
    <t>BASES PROVISIONALES</t>
  </si>
  <si>
    <t>Casco+Botas+Overol (c/4 meses)</t>
  </si>
  <si>
    <t>casco</t>
  </si>
  <si>
    <t>SMMLV AÑO 2,019</t>
  </si>
  <si>
    <t xml:space="preserve">botas </t>
  </si>
  <si>
    <t>Incidencia para 8 SMMLV</t>
  </si>
  <si>
    <t>overol</t>
  </si>
  <si>
    <t>Profesional Técnico Predial</t>
  </si>
  <si>
    <t>CARGO</t>
  </si>
  <si>
    <t>Profesional Jurídico Predial</t>
  </si>
  <si>
    <t xml:space="preserve">Experiencia General </t>
  </si>
  <si>
    <t>Experiencia Específica</t>
  </si>
  <si>
    <t xml:space="preserve">Formación </t>
  </si>
  <si>
    <t>Matrícula profesional vigente como profesional en Ingeniería Civil, Catastral y/o Topográfica.</t>
  </si>
  <si>
    <t>Matrícula profesional vigente como abogado</t>
  </si>
  <si>
    <t xml:space="preserve">  Experiencia general (o experiencia profesional): no menor de cinco (5) años, contados a partir de la fecha de terminación y aprobación del pensum académico de educación superior y hasta la fecha de cierre del presente proceso de contratación.</t>
  </si>
  <si>
    <t xml:space="preserve">  Experiencia especifica: mínimo cinco (5) años acumulada, contados a partir de la fecha de terminación y aprobación del pensum académico de educación superior y hasta la fecha de cierre del presente proceso de contratación, en gestión predial en proyectos de infraestructura (procesos de compra predial) para entidades públicas o privadas.</t>
  </si>
  <si>
    <t xml:space="preserve">DEDICACIÓN FORMULARIO </t>
  </si>
  <si>
    <t xml:space="preserve">CHECK </t>
  </si>
  <si>
    <r>
      <t>CMA-DO-SRN-</t>
    </r>
    <r>
      <rPr>
        <b/>
        <sz val="9"/>
        <color rgb="FFFF0000"/>
        <rFont val="Arial Narrow"/>
        <family val="2"/>
      </rPr>
      <t>XXX</t>
    </r>
    <r>
      <rPr>
        <b/>
        <sz val="9"/>
        <rFont val="Arial Narrow"/>
        <family val="2"/>
      </rPr>
      <t>-2021</t>
    </r>
  </si>
  <si>
    <t>Director de Interventoria</t>
  </si>
  <si>
    <t>Ingeniero Residente de Interventoría</t>
  </si>
  <si>
    <t>Profesional Ambiental</t>
  </si>
  <si>
    <t>Especialista en Geologia y/o Geotecnia</t>
  </si>
  <si>
    <t>INTERVENTORIA PARA EL MANTENIMIENTO DE LA CARRETERA PIPIRAL - VILLAVICENCIO, RUTA 40MTA, DEPARTAMENTO DEL META.</t>
  </si>
  <si>
    <t xml:space="preserve">CUATRO (4) MESES </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</si>
  <si>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</si>
  <si>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2.11.  El Interventor dará estricto cumplimiento al protocolo de bioseguridad, así como al Decreto 531 de 2020 y la Resolución 312 de 2019. La provisión de recursos para la implementación de las acciones propuestas en dicho documento, avalado por la ARL respectiva, el cual fue requerido para contratos de interventoría en la CIRCULAR CONJUNTA 003 del 8 de abril de 2020, adoptada por INVIAS mediante Circular Externa No. 02 del 13 de abril de 2010, es un valor fijo; es decir, no puede ser modificado. Su ejecución se realizará de acuerdo a lo establecido en la Circular Externa No. 003 del 7 de mayo y su complemento de fecha 13 de mayo de 2020. El pago por este concepto se incluirá en las actas de costos de interventoría de acuerdo con lo que se establece en la especificación particular INVIAS 102.1P - Implementación del Protocolo de Bioseguridad por COVID-19</t>
  </si>
  <si>
    <t xml:space="preserve">2.12 No se requiere el desglose del factor multiplicador					</t>
  </si>
  <si>
    <t xml:space="preserve">Especialista en Pavimentos y/o Vias </t>
  </si>
  <si>
    <t xml:space="preserve">Profesional Juridico Predial </t>
  </si>
  <si>
    <t xml:space="preserve">Director de Interventoria, Profesional Tecnico Predial, Especialista en Geologia y/o Geotecnia, Especialista en Estructuras, Especialiats en Pavimentos y/o Vias, Especialista en Hidraulica e Hidrologia, Profesional de Aseguramiento o Gestion de la Calidad Profesional Juridico Predial. </t>
  </si>
  <si>
    <t xml:space="preserve">Director de Interventoria, Ingeniero Residente de Interventoria, Profesional Ambiental, Profesional Tecnico Predial,   Topografo Inspector,Laboratorista Inspector, Inspector SST, Cadenero </t>
  </si>
  <si>
    <t xml:space="preserve">Director de Interventoria, Ingeniero Residente de Interventoria, Profesional Ambiental, Profesional Tecnico Predial,  Especialista en Geologia y/o Geotecnia, Especialista en Estructuras, Especialiats en Pavimentos y/o Vias, Especialista en Hidraulica e Hidrologia, Profesional de Aseguramiento o Gestion de la Calidad, Profesional Juridico Predial, Topografo Inspector, Laboratorista Inspector, Inspector SST, Cadenero </t>
  </si>
  <si>
    <t>Director de Interventoria, Ingeniero Residente de Interventoria, Profesional Ambiental, Profesional Tecnico Predial,  Especialista en Geologia y/o Geotecnia, Especialista en Estructuras, Especialiats en Pavimentos y/o Vias, Especialista en Hidraulica e Hidrologia, Profesional de Aseguramiento o Gestion de la Calidad, Profesional Juridico Predial.</t>
  </si>
  <si>
    <t xml:space="preserve">Director de Interventoría, Ingeniero Residente de Interventoría, Profesional Ambiental. </t>
  </si>
  <si>
    <t xml:space="preserve">Camioneta o Campero de más de  2000 c.c. (1): 4x4 (Incluye peajes y Combustible) El modelo del vehiculo ofrecido  deberá corresponder a modelos 2015 o superior. </t>
  </si>
  <si>
    <t>2.8. Los valores que aparecen fijos e inmodificables, no podrán alterarse</t>
  </si>
  <si>
    <t>DIRECCIÓN OPERATIVA</t>
  </si>
  <si>
    <t>SUBDIRECCIÓN RED NACIONAL DE CARRETERAS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</si>
</sst>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quot;$&quot;\ * #,##0.00_);_(&quot;$&quot;\ * \(#,##0.00\);_(&quot;$&quot;\ * &quot;-&quot;??_);_(@_)"/>
    <numFmt numFmtId="169" formatCode="_-* #,##0.00\ _€_-;\-* #,##0.00\ _€_-;_-* &quot;-&quot;??\ _€_-;_-@_-"/>
    <numFmt numFmtId="170" formatCode="_ * #,##0.00_ ;_ * \-#,##0.00_ ;_ * &quot;-&quot;??_ ;_ @_ "/>
    <numFmt numFmtId="171" formatCode="_-[$$-240A]\ * #,##0.00_ ;_-[$$-240A]\ * \-#,##0.00\ ;_-[$$-240A]\ * &quot;-&quot;??_ ;_-@_ "/>
    <numFmt numFmtId="172" formatCode="#,##0.00_ ;\-#,##0.00\ "/>
    <numFmt numFmtId="173" formatCode="0.0000%"/>
    <numFmt numFmtId="174" formatCode="0.000000%"/>
    <numFmt numFmtId="175" formatCode="0.000%"/>
  </numFmts>
  <fonts count="4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10"/>
      <color theme="1"/>
      <name val="Arial Narrow"/>
      <family val="2"/>
    </font>
    <font>
      <b/>
      <sz val="9"/>
      <color rgb="FFFF0000"/>
      <name val="Arial Narrow"/>
      <family val="2"/>
    </font>
    <font>
      <sz val="7"/>
      <name val="Arial Narrow"/>
      <family val="2"/>
    </font>
    <font>
      <sz val="11"/>
      <name val="Arial Narrow"/>
      <family val="2"/>
    </font>
    <font>
      <sz val="9"/>
      <color theme="0" tint="-0.249977111117893"/>
      <name val="Arial Narrow"/>
      <family val="2"/>
    </font>
    <font>
      <sz val="10"/>
      <color indexed="8"/>
      <name val="Arial"/>
      <family val="2"/>
    </font>
    <font>
      <b/>
      <sz val="10"/>
      <color indexed="8"/>
      <name val="Arial"/>
      <family val="2"/>
    </font>
    <font>
      <b/>
      <sz val="12"/>
      <color indexed="8"/>
      <name val="Arial"/>
      <family val="2"/>
    </font>
    <font>
      <i/>
      <sz val="10"/>
      <color indexed="8"/>
      <name val="Arial"/>
      <family val="2"/>
    </font>
    <font>
      <sz val="10"/>
      <color indexed="18"/>
      <name val="Arial"/>
      <family val="2"/>
    </font>
    <font>
      <b/>
      <sz val="8"/>
      <color indexed="81"/>
      <name val="Tahoma"/>
      <family val="2"/>
    </font>
    <font>
      <sz val="8"/>
      <color indexed="81"/>
      <name val="Tahoma"/>
      <family val="2"/>
    </font>
    <font>
      <b/>
      <sz val="11"/>
      <color theme="1"/>
      <name val="Arial Narrow"/>
      <family val="2"/>
    </font>
    <font>
      <sz val="11"/>
      <color rgb="FF000000"/>
      <name val="Calibri"/>
      <family val="2"/>
    </font>
    <font>
      <b/>
      <sz val="12"/>
      <color rgb="FFFF0000"/>
      <name val="Arial Narrow"/>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0.249977111117893"/>
        <bgColor indexed="64"/>
      </patternFill>
    </fill>
    <fill>
      <patternFill patternType="solid">
        <fgColor rgb="FFFF0000"/>
        <bgColor indexed="64"/>
      </patternFill>
    </fill>
    <fill>
      <patternFill patternType="solid">
        <fgColor theme="7"/>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indexed="47"/>
        <bgColor indexed="64"/>
      </patternFill>
    </fill>
  </fills>
  <borders count="81">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4">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8"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70" fontId="7" fillId="0" borderId="0" applyFont="0" applyFill="0" applyBorder="0" applyAlignment="0" applyProtection="0"/>
    <xf numFmtId="166" fontId="7" fillId="0" borderId="0" applyFont="0" applyFill="0" applyBorder="0" applyAlignment="0" applyProtection="0"/>
    <xf numFmtId="0" fontId="7" fillId="0" borderId="0"/>
    <xf numFmtId="9" fontId="14" fillId="0" borderId="0" applyFont="0" applyFill="0" applyBorder="0" applyAlignment="0" applyProtection="0"/>
    <xf numFmtId="0" fontId="7" fillId="0" borderId="0"/>
    <xf numFmtId="0" fontId="14" fillId="0" borderId="0"/>
    <xf numFmtId="0" fontId="1" fillId="0" borderId="0"/>
    <xf numFmtId="0" fontId="1" fillId="0" borderId="0"/>
    <xf numFmtId="0" fontId="7" fillId="0" borderId="0"/>
    <xf numFmtId="0" fontId="14" fillId="0" borderId="0"/>
    <xf numFmtId="0" fontId="14"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0" fontId="39" fillId="0" borderId="0" applyNumberFormat="0" applyBorder="0" applyAlignment="0"/>
  </cellStyleXfs>
  <cellXfs count="316">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6" fillId="0" borderId="0" xfId="3" applyFont="1" applyFill="1" applyAlignment="1">
      <alignment horizontal="left" vertical="center"/>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6" fillId="0" borderId="1" xfId="3" applyFont="1" applyFill="1" applyBorder="1" applyAlignment="1">
      <alignment vertical="center"/>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1" fillId="2" borderId="0" xfId="1" applyFont="1" applyFill="1" applyAlignment="1">
      <alignment vertical="center" wrapText="1"/>
    </xf>
    <xf numFmtId="167" fontId="3" fillId="0" borderId="8" xfId="8" applyNumberFormat="1" applyFont="1" applyBorder="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10" xfId="1" applyFont="1" applyBorder="1" applyAlignment="1">
      <alignment horizontal="center" vertical="center" wrapText="1"/>
    </xf>
    <xf numFmtId="171"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7" fontId="13" fillId="3" borderId="16" xfId="1" applyNumberFormat="1" applyFont="1" applyFill="1" applyBorder="1" applyAlignment="1">
      <alignment vertical="center" wrapText="1"/>
    </xf>
    <xf numFmtId="0" fontId="13" fillId="3" borderId="17" xfId="1" applyFont="1" applyFill="1" applyBorder="1" applyAlignment="1">
      <alignment vertical="center" wrapText="1"/>
    </xf>
    <xf numFmtId="167" fontId="13"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7" fontId="10" fillId="0" borderId="20" xfId="1" quotePrefix="1" applyNumberFormat="1" applyFont="1" applyBorder="1" applyAlignment="1">
      <alignment horizontal="center" vertical="center" wrapText="1"/>
    </xf>
    <xf numFmtId="0" fontId="10" fillId="0" borderId="22" xfId="1" quotePrefix="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6" xfId="1" applyNumberFormat="1" applyFont="1" applyBorder="1" applyAlignment="1">
      <alignment horizontal="center" vertical="center" wrapText="1"/>
    </xf>
    <xf numFmtId="167" fontId="3" fillId="0" borderId="24" xfId="1" applyNumberFormat="1" applyFont="1" applyBorder="1" applyAlignment="1">
      <alignment horizontal="center" vertical="center" wrapText="1"/>
    </xf>
    <xf numFmtId="0" fontId="3" fillId="0" borderId="7" xfId="1" applyFont="1" applyBorder="1" applyAlignment="1">
      <alignment horizontal="center" vertical="center" wrapText="1"/>
    </xf>
    <xf numFmtId="169" fontId="11" fillId="2" borderId="0" xfId="1" applyNumberFormat="1" applyFont="1" applyFill="1" applyAlignment="1">
      <alignment vertical="center" wrapText="1"/>
    </xf>
    <xf numFmtId="167" fontId="3" fillId="0" borderId="8" xfId="8" applyNumberFormat="1" applyFont="1" applyBorder="1" applyAlignment="1">
      <alignment horizontal="right"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9" fillId="3" borderId="36" xfId="1" applyFont="1" applyFill="1" applyBorder="1" applyAlignment="1">
      <alignment vertical="center" wrapText="1"/>
    </xf>
    <xf numFmtId="0" fontId="3" fillId="0" borderId="23" xfId="1" applyFont="1" applyBorder="1" applyAlignment="1">
      <alignment horizontal="center" vertical="center" wrapText="1"/>
    </xf>
    <xf numFmtId="167" fontId="3" fillId="0" borderId="37" xfId="1" applyNumberFormat="1" applyFont="1" applyBorder="1" applyAlignment="1">
      <alignment horizontal="center" vertical="center" wrapText="1"/>
    </xf>
    <xf numFmtId="167" fontId="3" fillId="0" borderId="38" xfId="1" applyNumberFormat="1" applyFont="1" applyBorder="1" applyAlignment="1">
      <alignment horizontal="center" vertical="center" wrapText="1"/>
    </xf>
    <xf numFmtId="167" fontId="15" fillId="2" borderId="26" xfId="1" applyNumberFormat="1" applyFont="1" applyFill="1" applyBorder="1" applyAlignment="1">
      <alignment vertical="center" wrapText="1"/>
    </xf>
    <xf numFmtId="0" fontId="16" fillId="2" borderId="40" xfId="1" applyFont="1" applyFill="1" applyBorder="1" applyAlignment="1">
      <alignment vertical="center" wrapText="1"/>
    </xf>
    <xf numFmtId="0" fontId="9" fillId="2" borderId="43" xfId="1" applyFont="1" applyFill="1" applyBorder="1" applyAlignment="1">
      <alignment horizontal="center" vertical="center" wrapText="1"/>
    </xf>
    <xf numFmtId="167" fontId="3" fillId="2" borderId="37"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2" fillId="0" borderId="0" xfId="16" applyFont="1" applyAlignment="1">
      <alignment horizontal="center" vertical="center" wrapText="1"/>
    </xf>
    <xf numFmtId="0" fontId="6" fillId="0" borderId="0" xfId="3" applyFont="1" applyFill="1" applyAlignment="1">
      <alignment vertical="center"/>
    </xf>
    <xf numFmtId="2" fontId="8" fillId="0" borderId="0" xfId="16" applyNumberFormat="1" applyFont="1" applyFill="1" applyAlignment="1">
      <alignment horizontal="center" vertical="center" textRotation="255" wrapText="1"/>
    </xf>
    <xf numFmtId="0" fontId="12" fillId="0" borderId="0" xfId="16" applyFont="1" applyFill="1" applyAlignment="1">
      <alignment horizontal="center" vertical="center" textRotation="255"/>
    </xf>
    <xf numFmtId="0" fontId="19" fillId="0" borderId="49"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2" fillId="0" borderId="52" xfId="16" applyFont="1" applyFill="1" applyBorder="1" applyAlignment="1">
      <alignment horizontal="justify" vertical="center" wrapText="1"/>
    </xf>
    <xf numFmtId="0" fontId="23" fillId="0" borderId="39" xfId="3" applyFont="1" applyFill="1" applyBorder="1" applyAlignment="1">
      <alignment vertical="center"/>
    </xf>
    <xf numFmtId="0" fontId="23" fillId="0" borderId="38" xfId="3" applyFont="1" applyFill="1" applyBorder="1" applyAlignment="1">
      <alignment vertical="center"/>
    </xf>
    <xf numFmtId="0" fontId="23" fillId="0" borderId="53" xfId="3" applyFont="1" applyFill="1" applyBorder="1" applyAlignment="1">
      <alignment vertical="center"/>
    </xf>
    <xf numFmtId="0" fontId="23" fillId="0" borderId="54" xfId="3" applyFont="1" applyFill="1" applyBorder="1" applyAlignment="1">
      <alignment vertical="center"/>
    </xf>
    <xf numFmtId="0" fontId="22" fillId="0" borderId="43" xfId="16" applyFont="1" applyFill="1" applyBorder="1" applyAlignment="1">
      <alignment horizontal="justify" vertical="center" wrapText="1"/>
    </xf>
    <xf numFmtId="0" fontId="23" fillId="0" borderId="55" xfId="3" applyFont="1" applyFill="1" applyBorder="1" applyAlignment="1">
      <alignment vertical="center"/>
    </xf>
    <xf numFmtId="0" fontId="23" fillId="0" borderId="56" xfId="3" applyFont="1" applyFill="1" applyBorder="1" applyAlignment="1">
      <alignment vertical="center"/>
    </xf>
    <xf numFmtId="0" fontId="23" fillId="0" borderId="57" xfId="3" applyFont="1" applyFill="1" applyBorder="1" applyAlignment="1">
      <alignment vertical="center"/>
    </xf>
    <xf numFmtId="0" fontId="23" fillId="0" borderId="58" xfId="3" applyFont="1" applyFill="1" applyBorder="1" applyAlignment="1">
      <alignment vertical="center"/>
    </xf>
    <xf numFmtId="0" fontId="22" fillId="0" borderId="59" xfId="16" applyFont="1" applyFill="1" applyBorder="1" applyAlignment="1">
      <alignment horizontal="left" vertical="center" wrapText="1"/>
    </xf>
    <xf numFmtId="0" fontId="23" fillId="0" borderId="27" xfId="3" applyFont="1" applyFill="1" applyBorder="1" applyAlignment="1">
      <alignment vertical="center"/>
    </xf>
    <xf numFmtId="0" fontId="23" fillId="0" borderId="24" xfId="3" applyFont="1" applyFill="1" applyBorder="1" applyAlignment="1">
      <alignment vertical="center"/>
    </xf>
    <xf numFmtId="0" fontId="23" fillId="0" borderId="60" xfId="3" applyFont="1" applyFill="1" applyBorder="1" applyAlignment="1">
      <alignment vertical="center"/>
    </xf>
    <xf numFmtId="0" fontId="23" fillId="0" borderId="61" xfId="3" applyFont="1" applyFill="1" applyBorder="1" applyAlignment="1">
      <alignment vertical="center"/>
    </xf>
    <xf numFmtId="0" fontId="22" fillId="0" borderId="62" xfId="16" applyFont="1" applyFill="1" applyBorder="1" applyAlignment="1">
      <alignment horizontal="left" vertical="center" wrapText="1"/>
    </xf>
    <xf numFmtId="0" fontId="6" fillId="0" borderId="63" xfId="3" applyFont="1" applyFill="1" applyBorder="1" applyAlignment="1">
      <alignment vertical="center"/>
    </xf>
    <xf numFmtId="0" fontId="22" fillId="0" borderId="66" xfId="3" applyFont="1" applyFill="1" applyBorder="1" applyAlignment="1">
      <alignment horizontal="center" vertical="center"/>
    </xf>
    <xf numFmtId="0" fontId="6" fillId="0" borderId="67" xfId="3" applyFont="1" applyBorder="1" applyAlignment="1">
      <alignment vertical="center"/>
    </xf>
    <xf numFmtId="2" fontId="14" fillId="0" borderId="0" xfId="17" applyNumberFormat="1" applyFill="1"/>
    <xf numFmtId="0" fontId="17"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20"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26" fillId="5" borderId="9" xfId="18" applyFont="1" applyFill="1" applyBorder="1" applyAlignment="1">
      <alignment vertical="center"/>
    </xf>
    <xf numFmtId="0" fontId="26" fillId="5" borderId="9" xfId="18" applyFont="1" applyFill="1" applyBorder="1" applyAlignment="1">
      <alignment horizontal="center" vertical="center"/>
    </xf>
    <xf numFmtId="0" fontId="14" fillId="0" borderId="0" xfId="18"/>
    <xf numFmtId="0" fontId="9" fillId="5" borderId="6" xfId="1" applyFont="1" applyFill="1" applyBorder="1" applyAlignment="1">
      <alignment vertical="center" wrapText="1"/>
    </xf>
    <xf numFmtId="167" fontId="9" fillId="5" borderId="6" xfId="1" applyNumberFormat="1" applyFont="1" applyFill="1" applyBorder="1" applyAlignment="1">
      <alignment vertical="center" wrapText="1"/>
    </xf>
    <xf numFmtId="167" fontId="9" fillId="5" borderId="5" xfId="1" applyNumberFormat="1" applyFont="1" applyFill="1" applyBorder="1" applyAlignment="1">
      <alignment vertical="center" wrapText="1"/>
    </xf>
    <xf numFmtId="0" fontId="3" fillId="5" borderId="7" xfId="1" applyFont="1" applyFill="1" applyBorder="1" applyAlignment="1">
      <alignment horizontal="center" vertical="center" wrapText="1"/>
    </xf>
    <xf numFmtId="0" fontId="3" fillId="5" borderId="12" xfId="1" applyFont="1" applyFill="1" applyBorder="1" applyAlignment="1">
      <alignment horizontal="center" vertical="center" wrapText="1"/>
    </xf>
    <xf numFmtId="167" fontId="9" fillId="5" borderId="33" xfId="8" applyNumberFormat="1" applyFont="1" applyFill="1" applyBorder="1" applyAlignment="1">
      <alignment horizontal="right" vertical="center" wrapText="1"/>
    </xf>
    <xf numFmtId="0" fontId="3" fillId="5" borderId="4" xfId="1" applyFont="1" applyFill="1" applyBorder="1" applyAlignment="1">
      <alignment horizontal="center" vertical="center" wrapText="1"/>
    </xf>
    <xf numFmtId="167" fontId="9" fillId="5" borderId="28" xfId="8" applyNumberFormat="1" applyFont="1" applyFill="1" applyBorder="1" applyAlignment="1">
      <alignment horizontal="right" vertical="center" wrapText="1"/>
    </xf>
    <xf numFmtId="0" fontId="3" fillId="5" borderId="10" xfId="1" applyFont="1" applyFill="1" applyBorder="1" applyAlignment="1">
      <alignment vertical="center" wrapText="1"/>
    </xf>
    <xf numFmtId="167" fontId="9" fillId="5" borderId="8" xfId="6" applyNumberFormat="1" applyFont="1" applyFill="1" applyBorder="1" applyAlignment="1">
      <alignment vertical="center" wrapText="1"/>
    </xf>
    <xf numFmtId="167" fontId="9" fillId="5" borderId="8" xfId="7" applyNumberFormat="1" applyFont="1" applyFill="1" applyBorder="1" applyAlignment="1">
      <alignment vertical="center" wrapText="1"/>
    </xf>
    <xf numFmtId="0" fontId="27" fillId="2" borderId="0" xfId="1" applyFont="1" applyFill="1" applyAlignment="1">
      <alignment horizontal="center" vertical="center" wrapText="1"/>
    </xf>
    <xf numFmtId="0" fontId="3" fillId="0" borderId="7" xfId="1" applyFont="1" applyFill="1" applyBorder="1" applyAlignment="1">
      <alignment horizontal="center" vertical="center" wrapText="1"/>
    </xf>
    <xf numFmtId="167" fontId="3" fillId="0" borderId="31" xfId="1" applyNumberFormat="1" applyFont="1" applyBorder="1" applyAlignment="1">
      <alignment horizontal="right" vertical="center" wrapText="1"/>
    </xf>
    <xf numFmtId="167" fontId="3" fillId="0" borderId="31" xfId="1" applyNumberFormat="1" applyFont="1" applyFill="1" applyBorder="1" applyAlignment="1">
      <alignment horizontal="right" vertical="center" wrapText="1"/>
    </xf>
    <xf numFmtId="171" fontId="3" fillId="0" borderId="31"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2" fillId="0" borderId="0" xfId="4" applyFont="1" applyFill="1" applyAlignment="1">
      <alignment vertical="center"/>
    </xf>
    <xf numFmtId="0" fontId="15" fillId="2" borderId="0" xfId="1" applyFont="1" applyFill="1" applyBorder="1" applyAlignment="1">
      <alignment vertical="center" wrapText="1"/>
    </xf>
    <xf numFmtId="167" fontId="15" fillId="2" borderId="0" xfId="1" applyNumberFormat="1" applyFont="1" applyFill="1" applyBorder="1" applyAlignment="1">
      <alignment vertical="center" wrapText="1"/>
    </xf>
    <xf numFmtId="9" fontId="3" fillId="2" borderId="0" xfId="20" applyFont="1" applyFill="1" applyAlignment="1">
      <alignment vertical="center" wrapText="1"/>
    </xf>
    <xf numFmtId="2" fontId="20" fillId="4" borderId="70" xfId="16" applyNumberFormat="1" applyFont="1" applyFill="1" applyBorder="1" applyAlignment="1">
      <alignment horizontal="center" vertical="center"/>
    </xf>
    <xf numFmtId="2" fontId="20" fillId="4" borderId="71" xfId="16" applyNumberFormat="1" applyFont="1" applyFill="1" applyBorder="1" applyAlignment="1">
      <alignment horizontal="center" vertical="center"/>
    </xf>
    <xf numFmtId="0" fontId="3" fillId="0" borderId="38" xfId="1" applyFont="1" applyBorder="1" applyAlignment="1">
      <alignment horizontal="center" vertical="center" wrapText="1"/>
    </xf>
    <xf numFmtId="0" fontId="29" fillId="0" borderId="0" xfId="12" applyNumberFormat="1" applyFont="1" applyFill="1" applyBorder="1" applyAlignment="1">
      <alignment horizontal="right" vertical="center" wrapText="1"/>
    </xf>
    <xf numFmtId="0" fontId="29" fillId="0" borderId="0" xfId="12" applyNumberFormat="1"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29" fillId="0" borderId="0" xfId="12" applyNumberFormat="1" applyFont="1" applyFill="1" applyBorder="1" applyAlignment="1">
      <alignment vertical="center" wrapText="1"/>
    </xf>
    <xf numFmtId="167" fontId="3" fillId="7" borderId="8" xfId="8" applyNumberFormat="1" applyFont="1" applyFill="1" applyBorder="1" applyAlignment="1">
      <alignment horizontal="right" vertical="center" wrapText="1"/>
    </xf>
    <xf numFmtId="2" fontId="3" fillId="2" borderId="9" xfId="12" applyNumberFormat="1" applyFont="1" applyFill="1" applyBorder="1" applyAlignment="1">
      <alignment horizontal="center" vertical="center" wrapText="1"/>
    </xf>
    <xf numFmtId="4" fontId="3" fillId="0" borderId="9" xfId="1" applyNumberFormat="1" applyFont="1" applyBorder="1" applyAlignment="1">
      <alignment horizontal="center" vertical="center" wrapText="1"/>
    </xf>
    <xf numFmtId="2" fontId="3" fillId="0" borderId="9" xfId="12" applyNumberFormat="1" applyFont="1" applyFill="1" applyBorder="1" applyAlignment="1">
      <alignment horizontal="center" vertical="center" wrapText="1"/>
    </xf>
    <xf numFmtId="0" fontId="3" fillId="0" borderId="7" xfId="12" applyFont="1" applyFill="1" applyBorder="1" applyAlignment="1">
      <alignment horizontal="center" vertical="center" wrapText="1"/>
    </xf>
    <xf numFmtId="0" fontId="13" fillId="6" borderId="41" xfId="12" applyFont="1" applyFill="1" applyBorder="1" applyAlignment="1">
      <alignment vertical="center" wrapText="1"/>
    </xf>
    <xf numFmtId="0" fontId="3" fillId="0" borderId="7" xfId="10"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5" borderId="6" xfId="1" applyNumberFormat="1" applyFont="1" applyFill="1" applyBorder="1" applyAlignment="1">
      <alignment vertical="center" wrapText="1"/>
    </xf>
    <xf numFmtId="2" fontId="3" fillId="5" borderId="6" xfId="1" applyNumberFormat="1" applyFont="1" applyFill="1" applyBorder="1" applyAlignment="1">
      <alignment horizontal="center" vertical="center" wrapText="1"/>
    </xf>
    <xf numFmtId="167" fontId="3" fillId="5" borderId="5" xfId="1" applyNumberFormat="1" applyFont="1" applyFill="1" applyBorder="1" applyAlignment="1">
      <alignment horizontal="center" vertical="center" wrapText="1"/>
    </xf>
    <xf numFmtId="167" fontId="3" fillId="5" borderId="16" xfId="8" applyNumberFormat="1" applyFont="1" applyFill="1" applyBorder="1" applyAlignment="1">
      <alignment vertical="center" wrapText="1"/>
    </xf>
    <xf numFmtId="171" fontId="3" fillId="5" borderId="2" xfId="1" applyNumberFormat="1" applyFont="1" applyFill="1" applyBorder="1" applyAlignment="1">
      <alignment vertical="center" wrapText="1"/>
    </xf>
    <xf numFmtId="167" fontId="3" fillId="0" borderId="6" xfId="1" applyNumberFormat="1" applyFont="1" applyBorder="1" applyAlignment="1">
      <alignment horizontal="right" vertical="center" wrapText="1"/>
    </xf>
    <xf numFmtId="0" fontId="3" fillId="0" borderId="32" xfId="1" applyFont="1" applyBorder="1" applyAlignment="1">
      <alignment vertical="center" wrapText="1"/>
    </xf>
    <xf numFmtId="167" fontId="3" fillId="5" borderId="5" xfId="8" applyNumberFormat="1" applyFont="1" applyFill="1" applyBorder="1" applyAlignment="1">
      <alignment vertical="center" wrapText="1"/>
    </xf>
    <xf numFmtId="171" fontId="3" fillId="5" borderId="6" xfId="1" applyNumberFormat="1" applyFont="1" applyFill="1" applyBorder="1" applyAlignment="1">
      <alignment horizontal="center" vertical="center" wrapText="1"/>
    </xf>
    <xf numFmtId="0" fontId="9" fillId="5" borderId="2" xfId="1" applyFont="1" applyFill="1" applyBorder="1" applyAlignment="1">
      <alignment vertical="center" wrapText="1"/>
    </xf>
    <xf numFmtId="167" fontId="3" fillId="5" borderId="45" xfId="1" applyNumberFormat="1" applyFont="1" applyFill="1" applyBorder="1" applyAlignment="1">
      <alignment vertical="center" wrapText="1"/>
    </xf>
    <xf numFmtId="167" fontId="3" fillId="5" borderId="2" xfId="1" applyNumberFormat="1" applyFont="1" applyFill="1" applyBorder="1" applyAlignment="1">
      <alignment vertical="center" wrapText="1"/>
    </xf>
    <xf numFmtId="0" fontId="27" fillId="2" borderId="31" xfId="1" applyFont="1" applyFill="1" applyBorder="1" applyAlignment="1">
      <alignment horizontal="center" vertical="center" wrapText="1"/>
    </xf>
    <xf numFmtId="0" fontId="4" fillId="0" borderId="9" xfId="2" applyFont="1" applyFill="1" applyBorder="1" applyAlignment="1">
      <alignment horizontal="center" vertical="center" wrapText="1"/>
    </xf>
    <xf numFmtId="0" fontId="4" fillId="0" borderId="72" xfId="2"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5" borderId="73" xfId="1" applyFont="1" applyFill="1" applyBorder="1" applyAlignment="1">
      <alignment vertical="center" wrapText="1"/>
    </xf>
    <xf numFmtId="167" fontId="9" fillId="5" borderId="75" xfId="6" applyNumberFormat="1" applyFont="1" applyFill="1" applyBorder="1" applyAlignment="1">
      <alignment vertical="center" wrapText="1"/>
    </xf>
    <xf numFmtId="166" fontId="3" fillId="2" borderId="0" xfId="21" applyFont="1" applyFill="1" applyAlignment="1">
      <alignment vertical="center" wrapText="1"/>
    </xf>
    <xf numFmtId="0" fontId="3" fillId="5" borderId="15" xfId="1" applyFont="1" applyFill="1" applyBorder="1" applyAlignment="1">
      <alignment vertical="center" wrapText="1"/>
    </xf>
    <xf numFmtId="167" fontId="9" fillId="5"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10" xfId="1" applyFont="1" applyFill="1" applyBorder="1" applyAlignment="1">
      <alignment horizontal="center" vertical="center" wrapText="1"/>
    </xf>
    <xf numFmtId="167" fontId="3" fillId="0" borderId="8" xfId="8" applyNumberFormat="1" applyFont="1" applyFill="1" applyBorder="1" applyAlignment="1">
      <alignment horizontal="right" vertical="center" wrapText="1"/>
    </xf>
    <xf numFmtId="0" fontId="3" fillId="0" borderId="0" xfId="1" applyFont="1" applyFill="1" applyBorder="1" applyAlignment="1">
      <alignment vertical="center" wrapText="1"/>
    </xf>
    <xf numFmtId="2" fontId="3" fillId="0" borderId="0" xfId="1" applyNumberFormat="1" applyFont="1" applyFill="1" applyAlignment="1">
      <alignment vertical="center" wrapText="1"/>
    </xf>
    <xf numFmtId="0" fontId="30" fillId="5" borderId="7" xfId="1" applyFont="1" applyFill="1" applyBorder="1" applyAlignment="1">
      <alignment horizontal="center" vertical="center" wrapText="1"/>
    </xf>
    <xf numFmtId="167" fontId="3" fillId="7" borderId="31" xfId="1" applyNumberFormat="1" applyFont="1" applyFill="1" applyBorder="1" applyAlignment="1">
      <alignment horizontal="right" vertical="center" wrapText="1"/>
    </xf>
    <xf numFmtId="0" fontId="3" fillId="7" borderId="7" xfId="1" applyFont="1" applyFill="1" applyBorder="1" applyAlignment="1">
      <alignment horizontal="center" vertical="center" wrapText="1"/>
    </xf>
    <xf numFmtId="0" fontId="3" fillId="7" borderId="23" xfId="10" applyFont="1" applyFill="1" applyBorder="1" applyAlignment="1">
      <alignment vertical="center" wrapText="1"/>
    </xf>
    <xf numFmtId="0" fontId="3" fillId="7" borderId="9" xfId="1" applyFont="1" applyFill="1" applyBorder="1" applyAlignment="1">
      <alignment horizontal="center" vertical="center" wrapText="1"/>
    </xf>
    <xf numFmtId="4" fontId="3" fillId="7" borderId="9" xfId="1" applyNumberFormat="1" applyFont="1" applyFill="1" applyBorder="1" applyAlignment="1">
      <alignment horizontal="center" vertical="center" wrapText="1"/>
    </xf>
    <xf numFmtId="0" fontId="3" fillId="7" borderId="44" xfId="1" applyFont="1" applyFill="1" applyBorder="1" applyAlignment="1">
      <alignment horizontal="center" vertical="center" wrapText="1"/>
    </xf>
    <xf numFmtId="0" fontId="3" fillId="7" borderId="69" xfId="1" applyFont="1" applyFill="1" applyBorder="1" applyAlignment="1">
      <alignment vertical="center" wrapText="1"/>
    </xf>
    <xf numFmtId="0" fontId="3" fillId="7" borderId="69" xfId="1" applyFont="1" applyFill="1" applyBorder="1" applyAlignment="1">
      <alignment horizontal="center" vertical="center" wrapText="1"/>
    </xf>
    <xf numFmtId="167" fontId="3" fillId="7" borderId="68" xfId="1" applyNumberFormat="1" applyFont="1" applyFill="1" applyBorder="1" applyAlignment="1">
      <alignment horizontal="right" vertical="center" wrapText="1"/>
    </xf>
    <xf numFmtId="4" fontId="3" fillId="7" borderId="69" xfId="1" applyNumberFormat="1" applyFont="1" applyFill="1" applyBorder="1" applyAlignment="1">
      <alignment horizontal="center" vertical="center" wrapText="1"/>
    </xf>
    <xf numFmtId="172" fontId="9" fillId="7" borderId="8" xfId="11" applyNumberFormat="1" applyFont="1" applyFill="1" applyBorder="1" applyAlignment="1">
      <alignment vertical="center" wrapText="1"/>
    </xf>
    <xf numFmtId="0" fontId="31" fillId="0" borderId="0" xfId="0" applyFont="1"/>
    <xf numFmtId="0" fontId="31" fillId="0" borderId="0" xfId="0" quotePrefix="1" applyFont="1"/>
    <xf numFmtId="0" fontId="33" fillId="0" borderId="0" xfId="0" applyFont="1" applyAlignment="1">
      <alignment horizontal="center" vertical="center"/>
    </xf>
    <xf numFmtId="0" fontId="33" fillId="0" borderId="0" xfId="0" quotePrefix="1" applyFont="1" applyAlignment="1">
      <alignment horizontal="center" vertical="center"/>
    </xf>
    <xf numFmtId="0" fontId="31" fillId="0" borderId="0" xfId="0" applyFont="1" applyAlignment="1">
      <alignment horizontal="center" wrapText="1"/>
    </xf>
    <xf numFmtId="164" fontId="31" fillId="0" borderId="0" xfId="22" applyFont="1"/>
    <xf numFmtId="164" fontId="31" fillId="0" borderId="0" xfId="0" applyNumberFormat="1" applyFont="1"/>
    <xf numFmtId="0" fontId="34" fillId="0" borderId="0" xfId="0" applyFont="1"/>
    <xf numFmtId="0" fontId="34" fillId="0" borderId="0" xfId="0" applyFont="1" applyAlignment="1">
      <alignment horizontal="center"/>
    </xf>
    <xf numFmtId="0" fontId="32" fillId="0" borderId="1" xfId="0" applyFont="1" applyBorder="1"/>
    <xf numFmtId="9" fontId="32" fillId="0" borderId="1" xfId="20" applyFont="1" applyBorder="1" applyAlignment="1">
      <alignment horizontal="center"/>
    </xf>
    <xf numFmtId="0" fontId="32" fillId="0" borderId="0" xfId="0" applyFont="1"/>
    <xf numFmtId="173" fontId="32" fillId="0" borderId="0" xfId="20" applyNumberFormat="1" applyFont="1" applyAlignment="1">
      <alignment horizontal="center"/>
    </xf>
    <xf numFmtId="173" fontId="31" fillId="7" borderId="0" xfId="20" applyNumberFormat="1" applyFont="1" applyFill="1"/>
    <xf numFmtId="173" fontId="31" fillId="8" borderId="0" xfId="20" applyNumberFormat="1" applyFont="1" applyFill="1"/>
    <xf numFmtId="173" fontId="31" fillId="7" borderId="0" xfId="0" applyNumberFormat="1" applyFont="1" applyFill="1"/>
    <xf numFmtId="0" fontId="31" fillId="7" borderId="0" xfId="0" applyFont="1" applyFill="1"/>
    <xf numFmtId="173" fontId="31" fillId="9" borderId="0" xfId="20" applyNumberFormat="1" applyFont="1" applyFill="1"/>
    <xf numFmtId="2" fontId="31" fillId="0" borderId="0" xfId="0" applyNumberFormat="1" applyFont="1"/>
    <xf numFmtId="173" fontId="31" fillId="0" borderId="0" xfId="20" applyNumberFormat="1" applyFont="1"/>
    <xf numFmtId="173" fontId="32" fillId="0" borderId="0" xfId="20" applyNumberFormat="1" applyFont="1"/>
    <xf numFmtId="0" fontId="31" fillId="0" borderId="0" xfId="0" applyFont="1" applyAlignment="1">
      <alignment wrapText="1"/>
    </xf>
    <xf numFmtId="173" fontId="31" fillId="10" borderId="0" xfId="20" applyNumberFormat="1" applyFont="1" applyFill="1"/>
    <xf numFmtId="164" fontId="31" fillId="0" borderId="9" xfId="22" applyFont="1" applyBorder="1"/>
    <xf numFmtId="173" fontId="31" fillId="11" borderId="0" xfId="20" applyNumberFormat="1" applyFont="1" applyFill="1"/>
    <xf numFmtId="173" fontId="31" fillId="12" borderId="0" xfId="20" applyNumberFormat="1" applyFont="1" applyFill="1"/>
    <xf numFmtId="173" fontId="31" fillId="13" borderId="0" xfId="20" applyNumberFormat="1" applyFont="1" applyFill="1"/>
    <xf numFmtId="0" fontId="31" fillId="0" borderId="1" xfId="0" applyFont="1" applyBorder="1"/>
    <xf numFmtId="0" fontId="31" fillId="0" borderId="1" xfId="0" applyFont="1" applyBorder="1" applyAlignment="1">
      <alignment wrapText="1"/>
    </xf>
    <xf numFmtId="173" fontId="31" fillId="0" borderId="1" xfId="20" applyNumberFormat="1" applyFont="1" applyBorder="1"/>
    <xf numFmtId="0" fontId="31" fillId="0" borderId="0" xfId="0" applyFont="1" applyBorder="1" applyAlignment="1">
      <alignment wrapText="1"/>
    </xf>
    <xf numFmtId="173" fontId="31" fillId="0" borderId="0" xfId="20" applyNumberFormat="1" applyFont="1" applyBorder="1"/>
    <xf numFmtId="0" fontId="32" fillId="0" borderId="0" xfId="0" applyFont="1" applyAlignment="1">
      <alignment wrapText="1"/>
    </xf>
    <xf numFmtId="0" fontId="32" fillId="0" borderId="6" xfId="0" applyFont="1" applyBorder="1"/>
    <xf numFmtId="173" fontId="32" fillId="0" borderId="6" xfId="20" applyNumberFormat="1" applyFont="1" applyBorder="1"/>
    <xf numFmtId="0" fontId="32" fillId="0" borderId="6" xfId="0" applyFont="1" applyBorder="1" applyAlignment="1">
      <alignment wrapText="1"/>
    </xf>
    <xf numFmtId="2" fontId="33" fillId="14" borderId="0" xfId="0" applyNumberFormat="1" applyFont="1" applyFill="1" applyAlignment="1">
      <alignment horizontal="center"/>
    </xf>
    <xf numFmtId="174" fontId="31" fillId="0" borderId="0" xfId="0" applyNumberFormat="1" applyFont="1"/>
    <xf numFmtId="0" fontId="35" fillId="0" borderId="0" xfId="0" applyFont="1"/>
    <xf numFmtId="3" fontId="35" fillId="15" borderId="0" xfId="20" applyNumberFormat="1" applyFont="1" applyFill="1"/>
    <xf numFmtId="175" fontId="31" fillId="0" borderId="0" xfId="20" applyNumberFormat="1" applyFont="1"/>
    <xf numFmtId="0" fontId="14" fillId="0" borderId="0" xfId="0" applyFont="1" applyAlignment="1">
      <alignment vertical="center" wrapText="1"/>
    </xf>
    <xf numFmtId="0" fontId="38" fillId="0" borderId="9" xfId="0" applyFont="1" applyBorder="1" applyAlignment="1">
      <alignment horizontal="center" vertical="center" wrapText="1"/>
    </xf>
    <xf numFmtId="0" fontId="14" fillId="0" borderId="9" xfId="0" applyFont="1" applyBorder="1" applyAlignment="1">
      <alignment vertical="center" wrapText="1"/>
    </xf>
    <xf numFmtId="0" fontId="14" fillId="0" borderId="9" xfId="0" applyFont="1" applyBorder="1" applyAlignment="1">
      <alignment horizontal="center" vertical="center" wrapText="1"/>
    </xf>
    <xf numFmtId="2" fontId="14" fillId="0" borderId="0" xfId="17" applyNumberFormat="1" applyFill="1" applyAlignment="1">
      <alignment horizontal="center"/>
    </xf>
    <xf numFmtId="2" fontId="6" fillId="0" borderId="0" xfId="3" applyNumberFormat="1" applyFont="1" applyAlignment="1">
      <alignment horizontal="center" vertical="center"/>
    </xf>
    <xf numFmtId="0" fontId="6" fillId="0" borderId="0" xfId="3" applyFont="1" applyAlignment="1">
      <alignment horizontal="right" vertical="center"/>
    </xf>
    <xf numFmtId="0" fontId="3" fillId="0" borderId="10" xfId="23" applyFont="1" applyFill="1" applyBorder="1" applyAlignment="1">
      <alignment vertical="center"/>
    </xf>
    <xf numFmtId="0" fontId="3" fillId="0" borderId="10" xfId="23" applyFont="1" applyFill="1" applyBorder="1" applyAlignment="1"/>
    <xf numFmtId="0" fontId="3" fillId="0" borderId="10" xfId="23" applyFont="1" applyBorder="1" applyAlignment="1">
      <alignment vertical="center"/>
    </xf>
    <xf numFmtId="0" fontId="27" fillId="2" borderId="0" xfId="1" applyFont="1" applyFill="1" applyAlignment="1">
      <alignment vertical="center" wrapText="1"/>
    </xf>
    <xf numFmtId="165" fontId="3" fillId="2" borderId="0" xfId="1" applyNumberFormat="1" applyFont="1" applyFill="1" applyAlignment="1">
      <alignment vertical="center" wrapText="1"/>
    </xf>
    <xf numFmtId="10" fontId="3" fillId="2" borderId="0" xfId="20" applyNumberFormat="1" applyFont="1" applyFill="1" applyAlignment="1">
      <alignment vertical="center" wrapText="1"/>
    </xf>
    <xf numFmtId="171" fontId="3" fillId="0" borderId="9" xfId="10" applyNumberFormat="1" applyFont="1" applyFill="1" applyBorder="1" applyAlignment="1">
      <alignment vertical="center" wrapText="1"/>
    </xf>
    <xf numFmtId="0" fontId="3" fillId="2" borderId="0" xfId="1" applyFont="1" applyFill="1" applyAlignment="1">
      <alignment vertical="center" wrapText="1"/>
    </xf>
    <xf numFmtId="0" fontId="3" fillId="0" borderId="9" xfId="1" applyFont="1" applyBorder="1" applyAlignment="1">
      <alignment vertical="center" wrapText="1"/>
    </xf>
    <xf numFmtId="0" fontId="26" fillId="5" borderId="9" xfId="18" applyFont="1" applyFill="1" applyBorder="1" applyAlignment="1">
      <alignment horizontal="center" vertical="center"/>
    </xf>
    <xf numFmtId="0" fontId="14" fillId="0" borderId="0" xfId="18"/>
    <xf numFmtId="167" fontId="3" fillId="0" borderId="9" xfId="1" applyNumberFormat="1" applyFont="1" applyFill="1" applyBorder="1" applyAlignment="1">
      <alignment horizontal="right" vertical="center" wrapText="1"/>
    </xf>
    <xf numFmtId="0" fontId="4" fillId="0" borderId="18" xfId="16" applyFont="1" applyFill="1" applyBorder="1" applyAlignment="1">
      <alignment horizontal="justify" vertical="center" wrapText="1"/>
    </xf>
    <xf numFmtId="9" fontId="12" fillId="0" borderId="72" xfId="20" applyFont="1" applyFill="1" applyBorder="1" applyAlignment="1">
      <alignment horizontal="center" vertical="center"/>
    </xf>
    <xf numFmtId="9" fontId="12" fillId="0" borderId="9" xfId="20" applyFont="1" applyFill="1" applyBorder="1" applyAlignment="1">
      <alignment horizontal="center" vertical="center"/>
    </xf>
    <xf numFmtId="0" fontId="12" fillId="0" borderId="43" xfId="16" applyFont="1" applyFill="1" applyBorder="1" applyAlignment="1">
      <alignment horizontal="left" vertical="center" wrapText="1"/>
    </xf>
    <xf numFmtId="0" fontId="13" fillId="6" borderId="43" xfId="12" applyFont="1" applyFill="1" applyBorder="1" applyAlignment="1">
      <alignment horizontal="left" vertical="center" wrapText="1"/>
    </xf>
    <xf numFmtId="0" fontId="13" fillId="6" borderId="42" xfId="12" applyFont="1" applyFill="1" applyBorder="1" applyAlignment="1">
      <alignment horizontal="left" vertical="center" wrapText="1"/>
    </xf>
    <xf numFmtId="0" fontId="21" fillId="0" borderId="36" xfId="4" applyFont="1" applyFill="1" applyBorder="1" applyAlignment="1">
      <alignment horizontal="left" vertical="center" wrapText="1"/>
    </xf>
    <xf numFmtId="0" fontId="21" fillId="0" borderId="17" xfId="4" applyFont="1" applyFill="1" applyBorder="1" applyAlignment="1">
      <alignment horizontal="left" vertical="center" wrapText="1"/>
    </xf>
    <xf numFmtId="0" fontId="21" fillId="0" borderId="16" xfId="4" applyFont="1" applyFill="1" applyBorder="1" applyAlignment="1">
      <alignment horizontal="left" vertical="center" wrapText="1"/>
    </xf>
    <xf numFmtId="0" fontId="28" fillId="0" borderId="10" xfId="2" applyFont="1" applyFill="1" applyBorder="1" applyAlignment="1">
      <alignment horizontal="justify" vertical="center" wrapText="1"/>
    </xf>
    <xf numFmtId="0" fontId="28" fillId="0" borderId="9" xfId="2" applyFont="1" applyFill="1" applyBorder="1" applyAlignment="1">
      <alignment horizontal="justify" vertical="center" wrapText="1"/>
    </xf>
    <xf numFmtId="0" fontId="28" fillId="0" borderId="8" xfId="2" applyFont="1" applyFill="1" applyBorder="1" applyAlignment="1">
      <alignment horizontal="justify" vertical="center" wrapText="1"/>
    </xf>
    <xf numFmtId="0" fontId="9" fillId="5" borderId="14" xfId="1" applyFont="1" applyFill="1" applyBorder="1" applyAlignment="1">
      <alignment horizontal="left" vertical="center" wrapText="1"/>
    </xf>
    <xf numFmtId="0" fontId="9" fillId="5" borderId="35" xfId="1" applyFont="1" applyFill="1" applyBorder="1" applyAlignment="1">
      <alignment horizontal="left" vertical="center" wrapText="1"/>
    </xf>
    <xf numFmtId="0" fontId="9" fillId="5" borderId="1" xfId="1" applyFont="1" applyFill="1" applyBorder="1" applyAlignment="1">
      <alignment horizontal="left" vertical="center" wrapText="1"/>
    </xf>
    <xf numFmtId="0" fontId="9" fillId="5" borderId="34" xfId="1" applyFont="1" applyFill="1" applyBorder="1" applyAlignment="1">
      <alignment horizontal="left" vertical="center" wrapText="1"/>
    </xf>
    <xf numFmtId="0" fontId="9" fillId="0" borderId="32" xfId="1" applyFont="1" applyBorder="1" applyAlignment="1">
      <alignment horizontal="left" vertical="center" wrapText="1"/>
    </xf>
    <xf numFmtId="0" fontId="9" fillId="0" borderId="6" xfId="1" applyFont="1" applyBorder="1" applyAlignment="1">
      <alignment horizontal="left" vertical="center" wrapText="1"/>
    </xf>
    <xf numFmtId="0" fontId="9" fillId="0" borderId="31" xfId="1" applyFont="1" applyBorder="1" applyAlignment="1">
      <alignment horizontal="left" vertical="center" wrapText="1"/>
    </xf>
    <xf numFmtId="0" fontId="9" fillId="5" borderId="30" xfId="1" applyFont="1" applyFill="1" applyBorder="1" applyAlignment="1">
      <alignment horizontal="left" vertical="center" wrapText="1"/>
    </xf>
    <xf numFmtId="0" fontId="9" fillId="5" borderId="3" xfId="1" applyFont="1" applyFill="1" applyBorder="1" applyAlignment="1">
      <alignment horizontal="left" vertical="center" wrapText="1"/>
    </xf>
    <xf numFmtId="0" fontId="9" fillId="5" borderId="29" xfId="1" applyFont="1" applyFill="1" applyBorder="1" applyAlignment="1">
      <alignment horizontal="left" vertical="center" wrapText="1"/>
    </xf>
    <xf numFmtId="0" fontId="3" fillId="0" borderId="27"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0"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4" xfId="1" applyNumberFormat="1" applyFont="1" applyBorder="1" applyAlignment="1">
      <alignment horizontal="center" vertical="center" wrapText="1"/>
    </xf>
    <xf numFmtId="43" fontId="3" fillId="0" borderId="23" xfId="1" applyNumberFormat="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28" fillId="0" borderId="15" xfId="2" applyFont="1" applyFill="1" applyBorder="1" applyAlignment="1">
      <alignment horizontal="justify" vertical="center" wrapText="1"/>
    </xf>
    <xf numFmtId="0" fontId="28" fillId="0" borderId="14" xfId="2" applyFont="1" applyFill="1" applyBorder="1" applyAlignment="1">
      <alignment horizontal="justify" vertical="center" wrapText="1"/>
    </xf>
    <xf numFmtId="0" fontId="28" fillId="0" borderId="13" xfId="2" applyFont="1" applyFill="1" applyBorder="1" applyAlignment="1">
      <alignment horizontal="justify" vertical="center" wrapText="1"/>
    </xf>
    <xf numFmtId="0" fontId="28" fillId="0" borderId="7"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9" fillId="5" borderId="74"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40"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6" xfId="13" applyFont="1" applyFill="1" applyBorder="1" applyAlignment="1">
      <alignment horizontal="center" vertical="center" wrapText="1"/>
    </xf>
    <xf numFmtId="0" fontId="3" fillId="0" borderId="39" xfId="1" applyFont="1" applyBorder="1" applyAlignment="1">
      <alignment horizontal="center" vertical="center" wrapText="1"/>
    </xf>
    <xf numFmtId="0" fontId="3" fillId="0" borderId="38" xfId="1" applyFont="1" applyBorder="1" applyAlignment="1">
      <alignment horizontal="center" vertical="center" wrapText="1"/>
    </xf>
    <xf numFmtId="0" fontId="13" fillId="3" borderId="17" xfId="1" applyFont="1" applyFill="1" applyBorder="1" applyAlignment="1">
      <alignment horizontal="left" vertical="center" wrapText="1"/>
    </xf>
    <xf numFmtId="0" fontId="13" fillId="3" borderId="16" xfId="1" applyFont="1" applyFill="1" applyBorder="1" applyAlignment="1">
      <alignment horizontal="left" vertical="center" wrapText="1"/>
    </xf>
    <xf numFmtId="0" fontId="9" fillId="2" borderId="42" xfId="1" applyFont="1" applyFill="1" applyBorder="1" applyAlignment="1">
      <alignment horizontal="center" vertical="center" wrapText="1"/>
    </xf>
    <xf numFmtId="0" fontId="9" fillId="2" borderId="41" xfId="1" applyFont="1" applyFill="1" applyBorder="1" applyAlignment="1">
      <alignment horizontal="center" vertical="center" wrapText="1"/>
    </xf>
    <xf numFmtId="0" fontId="9" fillId="0" borderId="40" xfId="13" applyFont="1" applyFill="1" applyBorder="1" applyAlignment="1">
      <alignment horizontal="center" vertical="center" wrapText="1"/>
    </xf>
    <xf numFmtId="0" fontId="9" fillId="0" borderId="0" xfId="13" applyFont="1" applyFill="1" applyBorder="1" applyAlignment="1">
      <alignment horizontal="center" vertical="center" wrapText="1"/>
    </xf>
    <xf numFmtId="0" fontId="9" fillId="0" borderId="26" xfId="13" applyFont="1" applyFill="1" applyBorder="1" applyAlignment="1">
      <alignment horizontal="center" vertical="center" wrapText="1"/>
    </xf>
    <xf numFmtId="0" fontId="16" fillId="2" borderId="40" xfId="1" applyFont="1" applyFill="1" applyBorder="1" applyAlignment="1">
      <alignment horizontal="center" vertical="center" wrapText="1"/>
    </xf>
    <xf numFmtId="0" fontId="16" fillId="2" borderId="0" xfId="1" applyFont="1" applyFill="1" applyBorder="1" applyAlignment="1">
      <alignment horizontal="center" vertical="center" wrapText="1"/>
    </xf>
    <xf numFmtId="0" fontId="16" fillId="2" borderId="26" xfId="1" applyFont="1" applyFill="1" applyBorder="1" applyAlignment="1">
      <alignment horizontal="center" vertical="center" wrapText="1"/>
    </xf>
    <xf numFmtId="0" fontId="9" fillId="0" borderId="40" xfId="14" applyFont="1" applyBorder="1" applyAlignment="1">
      <alignment horizontal="center" vertical="center"/>
    </xf>
    <xf numFmtId="0" fontId="9" fillId="0" borderId="0" xfId="14" applyFont="1" applyBorder="1" applyAlignment="1">
      <alignment horizontal="center" vertical="center"/>
    </xf>
    <xf numFmtId="0" fontId="9" fillId="0" borderId="26" xfId="14" applyFont="1" applyBorder="1" applyAlignment="1">
      <alignment horizontal="center" vertical="center"/>
    </xf>
    <xf numFmtId="0" fontId="6" fillId="0" borderId="64" xfId="3" applyFont="1" applyFill="1" applyBorder="1" applyAlignment="1">
      <alignment horizontal="center" vertical="center"/>
    </xf>
    <xf numFmtId="0" fontId="6" fillId="0" borderId="65" xfId="3" applyFont="1" applyFill="1" applyBorder="1" applyAlignment="1">
      <alignment horizontal="center" vertical="center"/>
    </xf>
    <xf numFmtId="0" fontId="6" fillId="0" borderId="77" xfId="3" applyFont="1" applyFill="1" applyBorder="1" applyAlignment="1">
      <alignment horizontal="center" vertical="center"/>
    </xf>
    <xf numFmtId="0" fontId="6" fillId="0" borderId="1" xfId="3" applyFont="1" applyBorder="1" applyAlignment="1">
      <alignment vertical="center"/>
    </xf>
    <xf numFmtId="0" fontId="6" fillId="0" borderId="45" xfId="3" applyFont="1" applyBorder="1" applyAlignment="1">
      <alignment horizontal="left" vertical="center"/>
    </xf>
    <xf numFmtId="0" fontId="19" fillId="0" borderId="43" xfId="3" applyFont="1" applyFill="1" applyBorder="1" applyAlignment="1">
      <alignment horizontal="center" vertical="center"/>
    </xf>
    <xf numFmtId="0" fontId="19" fillId="0" borderId="42" xfId="3" applyFont="1" applyFill="1" applyBorder="1" applyAlignment="1">
      <alignment horizontal="center" vertical="center"/>
    </xf>
    <xf numFmtId="0" fontId="19" fillId="0" borderId="41" xfId="3" applyFont="1" applyFill="1" applyBorder="1" applyAlignment="1">
      <alignment horizontal="center" vertical="center"/>
    </xf>
    <xf numFmtId="0" fontId="18" fillId="0" borderId="0" xfId="3" applyFont="1" applyFill="1" applyBorder="1" applyAlignment="1">
      <alignment horizontal="center" vertical="center" wrapText="1"/>
    </xf>
    <xf numFmtId="0" fontId="19" fillId="0" borderId="46" xfId="3" applyFont="1" applyFill="1" applyBorder="1" applyAlignment="1">
      <alignment horizontal="center" vertical="center"/>
    </xf>
    <xf numFmtId="0" fontId="19" fillId="0" borderId="50" xfId="3" applyFont="1" applyFill="1" applyBorder="1" applyAlignment="1">
      <alignment horizontal="center" vertical="center"/>
    </xf>
    <xf numFmtId="0" fontId="19" fillId="0" borderId="51" xfId="3" applyFont="1" applyFill="1" applyBorder="1" applyAlignment="1">
      <alignment horizontal="center" vertical="center"/>
    </xf>
    <xf numFmtId="0" fontId="19" fillId="0" borderId="47" xfId="3" applyFont="1" applyFill="1" applyBorder="1" applyAlignment="1">
      <alignment horizontal="center" vertical="center"/>
    </xf>
    <xf numFmtId="0" fontId="19" fillId="0" borderId="48" xfId="3" applyFont="1" applyFill="1" applyBorder="1" applyAlignment="1">
      <alignment horizontal="center" vertical="center"/>
    </xf>
    <xf numFmtId="0" fontId="20" fillId="2" borderId="78" xfId="3" applyFont="1" applyFill="1" applyBorder="1" applyAlignment="1">
      <alignment horizontal="center" vertical="center" wrapText="1"/>
    </xf>
    <xf numFmtId="0" fontId="20" fillId="2" borderId="79" xfId="3" applyFont="1" applyFill="1" applyBorder="1" applyAlignment="1">
      <alignment horizontal="center" vertical="center" wrapText="1"/>
    </xf>
    <xf numFmtId="0" fontId="20" fillId="2" borderId="80" xfId="3" applyFont="1" applyFill="1" applyBorder="1" applyAlignment="1">
      <alignment horizontal="center" vertical="center" wrapText="1"/>
    </xf>
    <xf numFmtId="0" fontId="19" fillId="2" borderId="76" xfId="3" applyFont="1" applyFill="1" applyBorder="1" applyAlignment="1">
      <alignment horizontal="center" vertical="center" wrapText="1"/>
    </xf>
    <xf numFmtId="0" fontId="19" fillId="2" borderId="48" xfId="3" applyFont="1" applyFill="1" applyBorder="1" applyAlignment="1">
      <alignment horizontal="center" vertical="center" wrapText="1"/>
    </xf>
    <xf numFmtId="0" fontId="40" fillId="2" borderId="0" xfId="16" applyFont="1" applyFill="1" applyBorder="1" applyAlignment="1">
      <alignment horizontal="center" vertical="center" wrapText="1"/>
    </xf>
    <xf numFmtId="0" fontId="17" fillId="0" borderId="0" xfId="16" applyFont="1" applyAlignment="1">
      <alignment horizontal="center" vertical="center" wrapText="1"/>
    </xf>
    <xf numFmtId="0" fontId="32" fillId="0" borderId="0" xfId="0" applyFont="1" applyAlignment="1">
      <alignment horizontal="center"/>
    </xf>
  </cellXfs>
  <cellStyles count="24">
    <cellStyle name="Millares" xfId="21" builtinId="3"/>
    <cellStyle name="Millares 2 2" xfId="8" xr:uid="{00000000-0005-0000-0000-000001000000}"/>
    <cellStyle name="Millares 2 2 2 2 2" xfId="9" xr:uid="{00000000-0005-0000-0000-000002000000}"/>
    <cellStyle name="Moneda [0]" xfId="22" builtinId="7"/>
    <cellStyle name="Moneda 3 2" xfId="6" xr:uid="{00000000-0005-0000-0000-000004000000}"/>
    <cellStyle name="Moneda 3 4" xfId="7" xr:uid="{00000000-0005-0000-0000-000005000000}"/>
    <cellStyle name="Moneda 5 2" xfId="5" xr:uid="{00000000-0005-0000-0000-000006000000}"/>
    <cellStyle name="Normal" xfId="0" builtinId="0"/>
    <cellStyle name="Normal 10 3" xfId="4" xr:uid="{00000000-0005-0000-0000-000008000000}"/>
    <cellStyle name="Normal 10 5 2" xfId="14" xr:uid="{00000000-0005-0000-0000-000009000000}"/>
    <cellStyle name="Normal 12 2 2" xfId="16" xr:uid="{00000000-0005-0000-0000-00000A000000}"/>
    <cellStyle name="Normal 2 3" xfId="13" xr:uid="{00000000-0005-0000-0000-00000B000000}"/>
    <cellStyle name="Normal 3 11 2" xfId="2" xr:uid="{00000000-0005-0000-0000-00000C000000}"/>
    <cellStyle name="Normal 3 2" xfId="1" xr:uid="{00000000-0005-0000-0000-00000D000000}"/>
    <cellStyle name="Normal 3 2 2" xfId="12" xr:uid="{00000000-0005-0000-0000-00000E000000}"/>
    <cellStyle name="Normal 3 3" xfId="23" xr:uid="{00000000-0005-0000-0000-00000F000000}"/>
    <cellStyle name="Normal 3 4" xfId="19" xr:uid="{00000000-0005-0000-0000-000010000000}"/>
    <cellStyle name="Normal 3 4 10" xfId="10" xr:uid="{00000000-0005-0000-0000-000011000000}"/>
    <cellStyle name="Normal 4" xfId="18" xr:uid="{00000000-0005-0000-0000-000012000000}"/>
    <cellStyle name="Normal 5 3" xfId="17" xr:uid="{00000000-0005-0000-0000-000013000000}"/>
    <cellStyle name="Normal 7 2 3 2" xfId="15" xr:uid="{00000000-0005-0000-0000-000014000000}"/>
    <cellStyle name="Normal_ESTABLECIMIENTO Y MANTENIMIENTO 2" xfId="3" xr:uid="{00000000-0005-0000-0000-000015000000}"/>
    <cellStyle name="Porcentaje" xfId="20" builtinId="5"/>
    <cellStyle name="Porcentaje 2 2" xfId="11" xr:uid="{00000000-0005-0000-0000-000017000000}"/>
  </cellStyles>
  <dxfs count="16">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A84"/>
  <sheetViews>
    <sheetView tabSelected="1" zoomScale="115" zoomScaleNormal="115" workbookViewId="0">
      <selection activeCell="B5" sqref="B5:G5"/>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customWidth="1"/>
    <col min="11" max="200" width="11.5703125" style="1" customWidth="1"/>
    <col min="201" max="16384" width="12.5703125" style="1"/>
  </cols>
  <sheetData>
    <row r="1" spans="2:200" ht="11.25" customHeight="1" x14ac:dyDescent="0.25">
      <c r="B1" s="50"/>
      <c r="C1" s="49"/>
      <c r="D1" s="49"/>
      <c r="E1" s="48"/>
      <c r="F1" s="47"/>
      <c r="G1" s="46"/>
    </row>
    <row r="2" spans="2:200" x14ac:dyDescent="0.25">
      <c r="B2" s="288" t="s">
        <v>58</v>
      </c>
      <c r="C2" s="289"/>
      <c r="D2" s="289"/>
      <c r="E2" s="289"/>
      <c r="F2" s="289"/>
      <c r="G2" s="290"/>
    </row>
    <row r="3" spans="2:200" x14ac:dyDescent="0.25">
      <c r="B3" s="288" t="s">
        <v>57</v>
      </c>
      <c r="C3" s="289"/>
      <c r="D3" s="289"/>
      <c r="E3" s="289"/>
      <c r="F3" s="289"/>
      <c r="G3" s="290"/>
    </row>
    <row r="4" spans="2:200" x14ac:dyDescent="0.25">
      <c r="B4" s="288" t="s">
        <v>213</v>
      </c>
      <c r="C4" s="289"/>
      <c r="D4" s="289"/>
      <c r="E4" s="289"/>
      <c r="F4" s="289"/>
      <c r="G4" s="290"/>
    </row>
    <row r="5" spans="2:200" s="232" customFormat="1" x14ac:dyDescent="0.25">
      <c r="B5" s="288" t="s">
        <v>214</v>
      </c>
      <c r="C5" s="289"/>
      <c r="D5" s="289"/>
      <c r="E5" s="289"/>
      <c r="F5" s="289"/>
      <c r="G5" s="290"/>
    </row>
    <row r="6" spans="2:200" x14ac:dyDescent="0.25">
      <c r="B6" s="291" t="s">
        <v>56</v>
      </c>
      <c r="C6" s="292"/>
      <c r="D6" s="292"/>
      <c r="E6" s="292"/>
      <c r="F6" s="292"/>
      <c r="G6" s="293"/>
    </row>
    <row r="7" spans="2:200" x14ac:dyDescent="0.25">
      <c r="B7" s="291" t="s">
        <v>194</v>
      </c>
      <c r="C7" s="292"/>
      <c r="D7" s="292"/>
      <c r="E7" s="292"/>
      <c r="F7" s="292"/>
      <c r="G7" s="293"/>
    </row>
    <row r="8" spans="2:200" ht="43.5" customHeight="1" x14ac:dyDescent="0.25">
      <c r="B8" s="285" t="s">
        <v>199</v>
      </c>
      <c r="C8" s="286"/>
      <c r="D8" s="286"/>
      <c r="E8" s="286"/>
      <c r="F8" s="286"/>
      <c r="G8" s="287"/>
      <c r="H8" s="228"/>
    </row>
    <row r="9" spans="2:200" ht="14.25" thickBot="1" x14ac:dyDescent="0.3">
      <c r="B9" s="276"/>
      <c r="C9" s="277"/>
      <c r="D9" s="277"/>
      <c r="E9" s="277"/>
      <c r="F9" s="277"/>
      <c r="G9" s="278"/>
    </row>
    <row r="10" spans="2:200" ht="15" customHeight="1" thickBot="1" x14ac:dyDescent="0.3">
      <c r="B10" s="276" t="s">
        <v>55</v>
      </c>
      <c r="C10" s="277"/>
      <c r="D10" s="277"/>
      <c r="E10" s="45" t="s">
        <v>54</v>
      </c>
      <c r="F10" s="283" t="s">
        <v>200</v>
      </c>
      <c r="G10" s="284"/>
    </row>
    <row r="11" spans="2:200" s="13" customFormat="1" ht="14.25" customHeight="1" thickBot="1" x14ac:dyDescent="0.3">
      <c r="B11" s="44"/>
      <c r="C11" s="115"/>
      <c r="D11" s="115"/>
      <c r="E11" s="116"/>
      <c r="F11" s="115"/>
      <c r="G11" s="43"/>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3" customFormat="1" ht="27" x14ac:dyDescent="0.25">
      <c r="B12" s="279" t="s">
        <v>30</v>
      </c>
      <c r="C12" s="280" t="s">
        <v>53</v>
      </c>
      <c r="D12" s="120" t="s">
        <v>52</v>
      </c>
      <c r="E12" s="42" t="s">
        <v>51</v>
      </c>
      <c r="F12" s="120" t="s">
        <v>50</v>
      </c>
      <c r="G12" s="41" t="s">
        <v>25</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3" customFormat="1" x14ac:dyDescent="0.25">
      <c r="B13" s="260"/>
      <c r="C13" s="263"/>
      <c r="D13" s="40" t="s">
        <v>49</v>
      </c>
      <c r="E13" s="31" t="s">
        <v>48</v>
      </c>
      <c r="F13" s="40" t="s">
        <v>47</v>
      </c>
      <c r="G13" s="30" t="s">
        <v>23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3" customFormat="1" ht="14.25" thickBot="1" x14ac:dyDescent="0.3">
      <c r="B14" s="29" t="s">
        <v>46</v>
      </c>
      <c r="C14" s="264"/>
      <c r="D14" s="27" t="s">
        <v>45</v>
      </c>
      <c r="E14" s="28" t="s">
        <v>44</v>
      </c>
      <c r="F14" s="27" t="s">
        <v>43</v>
      </c>
      <c r="G14" s="26" t="s">
        <v>42</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3" customFormat="1" x14ac:dyDescent="0.25">
      <c r="B15" s="39"/>
      <c r="C15" s="281" t="s">
        <v>41</v>
      </c>
      <c r="D15" s="281"/>
      <c r="E15" s="281"/>
      <c r="F15" s="281"/>
      <c r="G15" s="282"/>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3" customFormat="1" x14ac:dyDescent="0.25">
      <c r="B16" s="165"/>
      <c r="C16" s="97" t="s">
        <v>40</v>
      </c>
      <c r="D16" s="97"/>
      <c r="E16" s="98"/>
      <c r="F16" s="97"/>
      <c r="G16" s="99"/>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3" customFormat="1" x14ac:dyDescent="0.25">
      <c r="B17" s="19">
        <v>1</v>
      </c>
      <c r="C17" s="225" t="s">
        <v>195</v>
      </c>
      <c r="D17" s="16">
        <v>6000000</v>
      </c>
      <c r="E17" s="16"/>
      <c r="F17" s="130">
        <v>2</v>
      </c>
      <c r="G17" s="36">
        <f t="shared" ref="G17:G26" si="0">+(D17+E17)*B17*F17</f>
        <v>12000000</v>
      </c>
      <c r="H17" s="154"/>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3" customFormat="1" x14ac:dyDescent="0.25">
      <c r="B18" s="19">
        <v>1</v>
      </c>
      <c r="C18" s="225" t="s">
        <v>196</v>
      </c>
      <c r="D18" s="16">
        <v>4500000</v>
      </c>
      <c r="E18" s="16"/>
      <c r="F18" s="130">
        <v>4</v>
      </c>
      <c r="G18" s="36">
        <f t="shared" si="0"/>
        <v>18000000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160" customFormat="1" x14ac:dyDescent="0.25">
      <c r="B19" s="161">
        <v>1</v>
      </c>
      <c r="C19" s="225" t="s">
        <v>197</v>
      </c>
      <c r="D19" s="151">
        <v>3500000</v>
      </c>
      <c r="E19" s="151"/>
      <c r="F19" s="158">
        <v>2</v>
      </c>
      <c r="G19" s="162">
        <f t="shared" si="0"/>
        <v>7000000</v>
      </c>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row>
    <row r="20" spans="2:200" s="13" customFormat="1" x14ac:dyDescent="0.25">
      <c r="B20" s="132">
        <v>1</v>
      </c>
      <c r="C20" s="225" t="s">
        <v>182</v>
      </c>
      <c r="D20" s="123">
        <v>3500000</v>
      </c>
      <c r="E20" s="124"/>
      <c r="F20" s="131">
        <v>1</v>
      </c>
      <c r="G20" s="36">
        <f t="shared" si="0"/>
        <v>3500000</v>
      </c>
      <c r="H20" s="1"/>
      <c r="I20" s="125"/>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row>
    <row r="21" spans="2:200" s="13" customFormat="1" x14ac:dyDescent="0.25">
      <c r="B21" s="132">
        <v>1</v>
      </c>
      <c r="C21" s="225" t="s">
        <v>198</v>
      </c>
      <c r="D21" s="123">
        <v>6000000</v>
      </c>
      <c r="E21" s="124"/>
      <c r="F21" s="131">
        <v>1</v>
      </c>
      <c r="G21" s="36">
        <f t="shared" si="0"/>
        <v>6000000</v>
      </c>
      <c r="H21" s="1"/>
      <c r="I21" s="125"/>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60" customFormat="1" x14ac:dyDescent="0.25">
      <c r="B22" s="132">
        <v>1</v>
      </c>
      <c r="C22" s="225" t="s">
        <v>84</v>
      </c>
      <c r="D22" s="123">
        <v>6000000</v>
      </c>
      <c r="E22" s="124"/>
      <c r="F22" s="131">
        <v>0.75</v>
      </c>
      <c r="G22" s="162">
        <f t="shared" si="0"/>
        <v>4500000</v>
      </c>
      <c r="H22" s="159"/>
      <c r="I22" s="164"/>
      <c r="J22" s="159"/>
      <c r="K22" s="159"/>
      <c r="L22" s="159"/>
      <c r="M22" s="159"/>
      <c r="N22" s="159"/>
      <c r="O22" s="159"/>
      <c r="P22" s="159"/>
      <c r="Q22" s="159"/>
      <c r="R22" s="159"/>
      <c r="S22" s="159"/>
      <c r="T22" s="159"/>
      <c r="U22" s="159"/>
      <c r="V22" s="159"/>
      <c r="W22" s="159"/>
      <c r="X22" s="159"/>
      <c r="Y22" s="159"/>
      <c r="Z22" s="159"/>
      <c r="AA22" s="159"/>
      <c r="AB22" s="159"/>
      <c r="AC22" s="159"/>
      <c r="AD22" s="159"/>
      <c r="AE22" s="159"/>
      <c r="AF22" s="159"/>
      <c r="AG22" s="159"/>
      <c r="AH22" s="159"/>
      <c r="AI22" s="159"/>
      <c r="AJ22" s="159"/>
      <c r="AK22" s="159"/>
      <c r="AL22" s="159"/>
      <c r="AM22" s="159"/>
      <c r="AN22" s="159"/>
      <c r="AO22" s="159"/>
      <c r="AP22" s="159"/>
      <c r="AQ22" s="159"/>
      <c r="AR22" s="159"/>
      <c r="AS22" s="159"/>
      <c r="AT22" s="159"/>
      <c r="AU22" s="159"/>
      <c r="AV22" s="159"/>
      <c r="AW22" s="159"/>
      <c r="AX22" s="159"/>
      <c r="AY22" s="159"/>
      <c r="AZ22" s="159"/>
      <c r="BA22" s="159"/>
      <c r="BB22" s="159"/>
      <c r="BC22" s="159"/>
      <c r="BD22" s="159"/>
      <c r="BE22" s="159"/>
      <c r="BF22" s="159"/>
      <c r="BG22" s="159"/>
      <c r="BH22" s="159"/>
      <c r="BI22" s="159"/>
      <c r="BJ22" s="159"/>
      <c r="BK22" s="159"/>
      <c r="BL22" s="159"/>
      <c r="BM22" s="159"/>
      <c r="BN22" s="159"/>
      <c r="BO22" s="159"/>
      <c r="BP22" s="159"/>
      <c r="BQ22" s="159"/>
      <c r="BR22" s="159"/>
      <c r="BS22" s="159"/>
      <c r="BT22" s="159"/>
      <c r="BU22" s="159"/>
      <c r="BV22" s="159"/>
      <c r="BW22" s="159"/>
      <c r="BX22" s="159"/>
      <c r="BY22" s="159"/>
      <c r="BZ22" s="159"/>
      <c r="CA22" s="159"/>
      <c r="CB22" s="159"/>
      <c r="CC22" s="159"/>
      <c r="CD22" s="159"/>
      <c r="CE22" s="159"/>
      <c r="CF22" s="159"/>
      <c r="CG22" s="159"/>
      <c r="CH22" s="159"/>
      <c r="CI22" s="159"/>
      <c r="CJ22" s="159"/>
      <c r="CK22" s="159"/>
      <c r="CL22" s="159"/>
      <c r="CM22" s="159"/>
      <c r="CN22" s="159"/>
      <c r="CO22" s="159"/>
      <c r="CP22" s="159"/>
      <c r="CQ22" s="159"/>
      <c r="CR22" s="159"/>
      <c r="CS22" s="159"/>
      <c r="CT22" s="159"/>
      <c r="CU22" s="159"/>
      <c r="CV22" s="159"/>
      <c r="CW22" s="159"/>
      <c r="CX22" s="159"/>
      <c r="CY22" s="159"/>
      <c r="CZ22" s="159"/>
      <c r="DA22" s="159"/>
      <c r="DB22" s="159"/>
      <c r="DC22" s="159"/>
      <c r="DD22" s="159"/>
      <c r="DE22" s="159"/>
      <c r="DF22" s="159"/>
      <c r="DG22" s="159"/>
      <c r="DH22" s="159"/>
      <c r="DI22" s="159"/>
      <c r="DJ22" s="159"/>
      <c r="DK22" s="159"/>
      <c r="DL22" s="159"/>
      <c r="DM22" s="159"/>
      <c r="DN22" s="159"/>
      <c r="DO22" s="159"/>
      <c r="DP22" s="159"/>
      <c r="DQ22" s="159"/>
      <c r="DR22" s="159"/>
      <c r="DS22" s="159"/>
      <c r="DT22" s="159"/>
      <c r="DU22" s="159"/>
      <c r="DV22" s="159"/>
      <c r="DW22" s="159"/>
      <c r="DX22" s="159"/>
      <c r="DY22" s="159"/>
      <c r="DZ22" s="159"/>
      <c r="EA22" s="159"/>
      <c r="EB22" s="159"/>
      <c r="EC22" s="159"/>
      <c r="ED22" s="159"/>
      <c r="EE22" s="159"/>
      <c r="EF22" s="159"/>
      <c r="EG22" s="159"/>
      <c r="EH22" s="159"/>
      <c r="EI22" s="159"/>
      <c r="EJ22" s="159"/>
      <c r="EK22" s="159"/>
      <c r="EL22" s="159"/>
      <c r="EM22" s="159"/>
      <c r="EN22" s="159"/>
      <c r="EO22" s="159"/>
      <c r="EP22" s="159"/>
      <c r="EQ22" s="159"/>
      <c r="ER22" s="159"/>
      <c r="ES22" s="159"/>
      <c r="ET22" s="159"/>
      <c r="EU22" s="159"/>
      <c r="EV22" s="159"/>
      <c r="EW22" s="159"/>
      <c r="EX22" s="159"/>
      <c r="EY22" s="159"/>
      <c r="EZ22" s="159"/>
      <c r="FA22" s="159"/>
      <c r="FB22" s="159"/>
      <c r="FC22" s="159"/>
      <c r="FD22" s="159"/>
      <c r="FE22" s="159"/>
      <c r="FF22" s="159"/>
      <c r="FG22" s="159"/>
      <c r="FH22" s="159"/>
      <c r="FI22" s="159"/>
      <c r="FJ22" s="159"/>
      <c r="FK22" s="159"/>
      <c r="FL22" s="159"/>
      <c r="FM22" s="159"/>
      <c r="FN22" s="159"/>
      <c r="FO22" s="159"/>
      <c r="FP22" s="159"/>
      <c r="FQ22" s="159"/>
      <c r="FR22" s="159"/>
      <c r="FS22" s="159"/>
      <c r="FT22" s="159"/>
      <c r="FU22" s="159"/>
      <c r="FV22" s="159"/>
      <c r="FW22" s="159"/>
      <c r="FX22" s="159"/>
      <c r="FY22" s="159"/>
      <c r="FZ22" s="159"/>
      <c r="GA22" s="159"/>
      <c r="GB22" s="159"/>
      <c r="GC22" s="159"/>
      <c r="GD22" s="159"/>
      <c r="GE22" s="159"/>
      <c r="GF22" s="159"/>
      <c r="GG22" s="159"/>
      <c r="GH22" s="159"/>
      <c r="GI22" s="159"/>
      <c r="GJ22" s="159"/>
      <c r="GK22" s="159"/>
      <c r="GL22" s="159"/>
      <c r="GM22" s="159"/>
      <c r="GN22" s="159"/>
      <c r="GO22" s="159"/>
      <c r="GP22" s="159"/>
      <c r="GQ22" s="159"/>
      <c r="GR22" s="159"/>
    </row>
    <row r="23" spans="2:200" s="13" customFormat="1" x14ac:dyDescent="0.25">
      <c r="B23" s="132">
        <v>1</v>
      </c>
      <c r="C23" s="225" t="s">
        <v>204</v>
      </c>
      <c r="D23" s="123">
        <v>6000000</v>
      </c>
      <c r="E23" s="124"/>
      <c r="F23" s="131">
        <v>0.75</v>
      </c>
      <c r="G23" s="36">
        <f t="shared" si="0"/>
        <v>4500000</v>
      </c>
      <c r="H23" s="1"/>
      <c r="I23" s="125"/>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row>
    <row r="24" spans="2:200" s="13" customFormat="1" x14ac:dyDescent="0.25">
      <c r="B24" s="132">
        <v>1</v>
      </c>
      <c r="C24" s="225" t="s">
        <v>94</v>
      </c>
      <c r="D24" s="123">
        <v>6000000</v>
      </c>
      <c r="E24" s="124"/>
      <c r="F24" s="131">
        <v>0.75</v>
      </c>
      <c r="G24" s="36">
        <f t="shared" si="0"/>
        <v>4500000</v>
      </c>
      <c r="H24" s="1"/>
      <c r="I24" s="125"/>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3" customFormat="1" x14ac:dyDescent="0.25">
      <c r="B25" s="132">
        <v>1</v>
      </c>
      <c r="C25" s="225" t="s">
        <v>39</v>
      </c>
      <c r="D25" s="123">
        <v>3400000</v>
      </c>
      <c r="E25" s="124"/>
      <c r="F25" s="131">
        <v>2</v>
      </c>
      <c r="G25" s="36">
        <f t="shared" si="0"/>
        <v>6800000</v>
      </c>
      <c r="H25" s="1"/>
      <c r="I25" s="125"/>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3" customFormat="1" x14ac:dyDescent="0.25">
      <c r="B26" s="132">
        <v>1</v>
      </c>
      <c r="C26" s="225" t="s">
        <v>205</v>
      </c>
      <c r="D26" s="123">
        <v>3500000</v>
      </c>
      <c r="E26" s="124"/>
      <c r="F26" s="131">
        <v>1</v>
      </c>
      <c r="G26" s="36">
        <f t="shared" si="0"/>
        <v>3500000</v>
      </c>
      <c r="H26" s="1"/>
      <c r="I26" s="125"/>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3" customFormat="1" x14ac:dyDescent="0.25">
      <c r="B27" s="165">
        <v>1</v>
      </c>
      <c r="C27" s="97" t="s">
        <v>38</v>
      </c>
      <c r="D27" s="136"/>
      <c r="E27" s="136"/>
      <c r="F27" s="144"/>
      <c r="G27" s="143"/>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3" customFormat="1" x14ac:dyDescent="0.25">
      <c r="B28" s="19">
        <v>1</v>
      </c>
      <c r="C28" s="226" t="s">
        <v>95</v>
      </c>
      <c r="D28" s="16">
        <v>2000000</v>
      </c>
      <c r="E28" s="16"/>
      <c r="F28" s="130">
        <v>3.5</v>
      </c>
      <c r="G28" s="36">
        <f>+(D28+E28)*B28*F28</f>
        <v>7000000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60" customFormat="1" x14ac:dyDescent="0.25">
      <c r="B29" s="161">
        <v>1</v>
      </c>
      <c r="C29" s="227" t="s">
        <v>96</v>
      </c>
      <c r="D29" s="151">
        <v>2000000</v>
      </c>
      <c r="E29" s="151"/>
      <c r="F29" s="158">
        <v>3.5</v>
      </c>
      <c r="G29" s="162">
        <f>+(D29+E29)*B29*F29</f>
        <v>7000000</v>
      </c>
      <c r="H29" s="159"/>
      <c r="I29" s="159"/>
      <c r="J29" s="163"/>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row>
    <row r="30" spans="2:200" s="13" customFormat="1" x14ac:dyDescent="0.25">
      <c r="B30" s="19">
        <v>1</v>
      </c>
      <c r="C30" s="227" t="s">
        <v>92</v>
      </c>
      <c r="D30" s="16">
        <v>1100000</v>
      </c>
      <c r="E30" s="16"/>
      <c r="F30" s="130">
        <v>3.5</v>
      </c>
      <c r="G30" s="36">
        <f>+(D30+E30)*B30*F30</f>
        <v>3850000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3" customFormat="1" x14ac:dyDescent="0.25">
      <c r="B31" s="165"/>
      <c r="C31" s="97" t="s">
        <v>35</v>
      </c>
      <c r="D31" s="136"/>
      <c r="E31" s="136"/>
      <c r="F31" s="144"/>
      <c r="G31" s="143"/>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3" customFormat="1" x14ac:dyDescent="0.25">
      <c r="B32" s="19">
        <v>1</v>
      </c>
      <c r="C32" s="38" t="s">
        <v>82</v>
      </c>
      <c r="D32" s="16">
        <v>1100000</v>
      </c>
      <c r="E32" s="16"/>
      <c r="F32" s="130">
        <v>3.5</v>
      </c>
      <c r="G32" s="36">
        <f t="shared" ref="G32" si="1">+(D32+E32)*B32*F32</f>
        <v>3850000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9" s="13" customFormat="1" x14ac:dyDescent="0.25">
      <c r="B33" s="165"/>
      <c r="C33" s="97" t="s">
        <v>37</v>
      </c>
      <c r="D33" s="136"/>
      <c r="E33" s="136"/>
      <c r="F33" s="144"/>
      <c r="G33" s="143"/>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9" s="13" customFormat="1" x14ac:dyDescent="0.25">
      <c r="B34" s="19">
        <v>1</v>
      </c>
      <c r="C34" s="38" t="s">
        <v>36</v>
      </c>
      <c r="D34" s="16">
        <v>1200000</v>
      </c>
      <c r="E34" s="16"/>
      <c r="F34" s="130">
        <v>4</v>
      </c>
      <c r="G34" s="36">
        <f>+(D34+E34)*B34*F34</f>
        <v>4800000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9" s="13" customFormat="1" ht="14.25" thickBot="1" x14ac:dyDescent="0.3">
      <c r="B35" s="19">
        <v>1</v>
      </c>
      <c r="C35" s="38" t="s">
        <v>98</v>
      </c>
      <c r="D35" s="16">
        <v>1200000</v>
      </c>
      <c r="E35" s="16"/>
      <c r="F35" s="130">
        <v>4</v>
      </c>
      <c r="G35" s="36">
        <f>+(D35+E35)*B35*F35</f>
        <v>4800000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9" s="121" customFormat="1" ht="16.5" customHeight="1" thickBot="1" x14ac:dyDescent="0.3">
      <c r="B36" s="241" t="s">
        <v>34</v>
      </c>
      <c r="C36" s="242"/>
      <c r="D36" s="242"/>
      <c r="E36" s="242"/>
      <c r="F36" s="242"/>
      <c r="G36" s="133"/>
      <c r="N36" s="126"/>
      <c r="O36" s="127"/>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122"/>
      <c r="GL36" s="122"/>
      <c r="GM36" s="122"/>
      <c r="GN36" s="122"/>
      <c r="GO36" s="122"/>
      <c r="GP36" s="122"/>
      <c r="GQ36" s="122"/>
      <c r="GR36" s="122"/>
      <c r="GS36" s="122"/>
      <c r="GT36" s="122"/>
      <c r="GU36" s="122"/>
      <c r="GV36" s="122"/>
      <c r="GW36" s="122"/>
      <c r="GX36" s="122"/>
      <c r="GY36" s="122"/>
      <c r="GZ36" s="122"/>
      <c r="HA36" s="122"/>
    </row>
    <row r="37" spans="2:209" s="13" customFormat="1" x14ac:dyDescent="0.25">
      <c r="B37" s="101"/>
      <c r="C37" s="145" t="s">
        <v>97</v>
      </c>
      <c r="D37" s="146"/>
      <c r="E37" s="147"/>
      <c r="F37" s="140"/>
      <c r="G37" s="139"/>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9" s="13" customFormat="1" x14ac:dyDescent="0.25">
      <c r="B38" s="37"/>
      <c r="C38" s="142" t="s">
        <v>83</v>
      </c>
      <c r="D38" s="141"/>
      <c r="E38" s="141"/>
      <c r="F38" s="148" t="s">
        <v>87</v>
      </c>
      <c r="G38" s="128">
        <v>1021000</v>
      </c>
      <c r="I38" s="1"/>
      <c r="J38" s="35" t="e">
        <f>G17+G18+G20+G28+#REF!+G34+G35</f>
        <v>#REF!</v>
      </c>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9" s="13" customFormat="1" x14ac:dyDescent="0.25">
      <c r="B39" s="101"/>
      <c r="C39" s="250" t="s">
        <v>33</v>
      </c>
      <c r="D39" s="251"/>
      <c r="E39" s="251"/>
      <c r="F39" s="252"/>
      <c r="G39" s="102">
        <f>SUM(G17:G38)</f>
        <v>102621000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9" s="13" customFormat="1" x14ac:dyDescent="0.25">
      <c r="B40" s="34"/>
      <c r="C40" s="253" t="s">
        <v>32</v>
      </c>
      <c r="D40" s="254"/>
      <c r="E40" s="254"/>
      <c r="F40" s="255"/>
      <c r="G40" s="176">
        <v>2.36</v>
      </c>
      <c r="H40" s="108" t="s">
        <v>88</v>
      </c>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9" s="13" customFormat="1" ht="14.25" thickBot="1" x14ac:dyDescent="0.3">
      <c r="B41" s="103"/>
      <c r="C41" s="256" t="s">
        <v>31</v>
      </c>
      <c r="D41" s="257"/>
      <c r="E41" s="257"/>
      <c r="F41" s="258"/>
      <c r="G41" s="104">
        <f>ROUND(G39*G40,0)</f>
        <v>242185560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9" s="13" customFormat="1" x14ac:dyDescent="0.25">
      <c r="B42" s="259" t="s">
        <v>30</v>
      </c>
      <c r="C42" s="261" t="s">
        <v>29</v>
      </c>
      <c r="D42" s="263" t="s">
        <v>28</v>
      </c>
      <c r="E42" s="33" t="s">
        <v>27</v>
      </c>
      <c r="F42" s="265" t="s">
        <v>26</v>
      </c>
      <c r="G42" s="32" t="s">
        <v>25</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9" s="13" customFormat="1" x14ac:dyDescent="0.25">
      <c r="B43" s="260"/>
      <c r="C43" s="261"/>
      <c r="D43" s="263"/>
      <c r="E43" s="31" t="s">
        <v>24</v>
      </c>
      <c r="F43" s="266"/>
      <c r="G43" s="30" t="s">
        <v>23</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9" s="13" customFormat="1" ht="14.25" thickBot="1" x14ac:dyDescent="0.3">
      <c r="B44" s="29" t="s">
        <v>22</v>
      </c>
      <c r="C44" s="262"/>
      <c r="D44" s="264"/>
      <c r="E44" s="28" t="s">
        <v>21</v>
      </c>
      <c r="F44" s="27" t="s">
        <v>20</v>
      </c>
      <c r="G44" s="26" t="s">
        <v>19</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9" s="13" customFormat="1" x14ac:dyDescent="0.25">
      <c r="B45" s="25"/>
      <c r="C45" s="23" t="s">
        <v>18</v>
      </c>
      <c r="D45" s="23"/>
      <c r="E45" s="24"/>
      <c r="F45" s="23"/>
      <c r="G45" s="22"/>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9" s="13" customFormat="1" ht="21.75" customHeight="1" x14ac:dyDescent="0.25">
      <c r="B46" s="100"/>
      <c r="C46" s="97" t="s">
        <v>17</v>
      </c>
      <c r="D46" s="97"/>
      <c r="E46" s="98"/>
      <c r="F46" s="97"/>
      <c r="G46" s="99"/>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9" s="13" customFormat="1" ht="24" customHeight="1" x14ac:dyDescent="0.25">
      <c r="B47" s="34">
        <v>1</v>
      </c>
      <c r="C47" s="18" t="s">
        <v>100</v>
      </c>
      <c r="D47" s="17" t="s">
        <v>16</v>
      </c>
      <c r="E47" s="110">
        <v>180000</v>
      </c>
      <c r="F47" s="129">
        <v>12</v>
      </c>
      <c r="G47" s="15">
        <f>+B47*E47*F47</f>
        <v>2160000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9" s="13" customFormat="1" x14ac:dyDescent="0.25">
      <c r="B48" s="100"/>
      <c r="C48" s="97" t="s">
        <v>15</v>
      </c>
      <c r="D48" s="97"/>
      <c r="E48" s="136"/>
      <c r="F48" s="137"/>
      <c r="G48" s="138"/>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3" customFormat="1" ht="38.25" customHeight="1" x14ac:dyDescent="0.25">
      <c r="B49" s="109">
        <v>1</v>
      </c>
      <c r="C49" s="53" t="s">
        <v>211</v>
      </c>
      <c r="D49" s="51" t="s">
        <v>14</v>
      </c>
      <c r="E49" s="111">
        <v>4000000</v>
      </c>
      <c r="F49" s="130">
        <v>4</v>
      </c>
      <c r="G49" s="52">
        <f>+B49*E49*F49</f>
        <v>16000000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60" customFormat="1" ht="27.75" customHeight="1" x14ac:dyDescent="0.25">
      <c r="B50" s="109">
        <v>1</v>
      </c>
      <c r="C50" s="157" t="s">
        <v>102</v>
      </c>
      <c r="D50" s="51" t="s">
        <v>11</v>
      </c>
      <c r="E50" s="111">
        <v>2500000</v>
      </c>
      <c r="F50" s="158">
        <v>3.5</v>
      </c>
      <c r="G50" s="52">
        <f>+B50*E50*F50</f>
        <v>8750000</v>
      </c>
      <c r="H50" s="159"/>
      <c r="I50" s="159"/>
      <c r="J50" s="159"/>
      <c r="K50" s="159"/>
      <c r="L50" s="159"/>
      <c r="M50" s="159"/>
      <c r="N50" s="159"/>
      <c r="O50" s="159"/>
      <c r="P50" s="159"/>
      <c r="Q50" s="159"/>
      <c r="R50" s="159"/>
      <c r="S50" s="159"/>
      <c r="T50" s="159"/>
      <c r="U50" s="159"/>
      <c r="V50" s="159"/>
      <c r="W50" s="159"/>
      <c r="X50" s="159"/>
      <c r="Y50" s="159"/>
      <c r="Z50" s="159"/>
      <c r="AA50" s="159"/>
      <c r="AB50" s="159"/>
      <c r="AC50" s="159"/>
      <c r="AD50" s="159"/>
      <c r="AE50" s="159"/>
      <c r="AF50" s="159"/>
      <c r="AG50" s="159"/>
      <c r="AH50" s="159"/>
      <c r="AI50" s="159"/>
      <c r="AJ50" s="159"/>
      <c r="AK50" s="159"/>
      <c r="AL50" s="159"/>
      <c r="AM50" s="159"/>
      <c r="AN50" s="159"/>
      <c r="AO50" s="159"/>
      <c r="AP50" s="159"/>
      <c r="AQ50" s="159"/>
      <c r="AR50" s="159"/>
      <c r="AS50" s="159"/>
      <c r="AT50" s="159"/>
      <c r="AU50" s="159"/>
      <c r="AV50" s="159"/>
      <c r="AW50" s="159"/>
      <c r="AX50" s="159"/>
      <c r="AY50" s="159"/>
      <c r="AZ50" s="159"/>
      <c r="BA50" s="159"/>
      <c r="BB50" s="159"/>
      <c r="BC50" s="159"/>
      <c r="BD50" s="159"/>
      <c r="BE50" s="159"/>
      <c r="BF50" s="159"/>
      <c r="BG50" s="159"/>
      <c r="BH50" s="159"/>
      <c r="BI50" s="159"/>
      <c r="BJ50" s="159"/>
      <c r="BK50" s="159"/>
      <c r="BL50" s="159"/>
      <c r="BM50" s="159"/>
      <c r="BN50" s="159"/>
      <c r="BO50" s="159"/>
      <c r="BP50" s="159"/>
      <c r="BQ50" s="159"/>
      <c r="BR50" s="159"/>
      <c r="BS50" s="159"/>
      <c r="BT50" s="159"/>
      <c r="BU50" s="159"/>
      <c r="BV50" s="159"/>
      <c r="BW50" s="159"/>
      <c r="BX50" s="159"/>
      <c r="BY50" s="159"/>
      <c r="BZ50" s="159"/>
      <c r="CA50" s="159"/>
      <c r="CB50" s="159"/>
      <c r="CC50" s="159"/>
      <c r="CD50" s="159"/>
      <c r="CE50" s="159"/>
      <c r="CF50" s="159"/>
      <c r="CG50" s="159"/>
      <c r="CH50" s="159"/>
      <c r="CI50" s="159"/>
      <c r="CJ50" s="159"/>
      <c r="CK50" s="159"/>
      <c r="CL50" s="159"/>
      <c r="CM50" s="159"/>
      <c r="CN50" s="159"/>
      <c r="CO50" s="159"/>
      <c r="CP50" s="159"/>
      <c r="CQ50" s="159"/>
      <c r="CR50" s="159"/>
      <c r="CS50" s="159"/>
      <c r="CT50" s="159"/>
      <c r="CU50" s="159"/>
      <c r="CV50" s="159"/>
      <c r="CW50" s="159"/>
      <c r="CX50" s="159"/>
      <c r="CY50" s="159"/>
      <c r="CZ50" s="159"/>
      <c r="DA50" s="159"/>
      <c r="DB50" s="159"/>
      <c r="DC50" s="159"/>
      <c r="DD50" s="159"/>
      <c r="DE50" s="159"/>
      <c r="DF50" s="159"/>
      <c r="DG50" s="159"/>
      <c r="DH50" s="159"/>
      <c r="DI50" s="159"/>
      <c r="DJ50" s="159"/>
      <c r="DK50" s="159"/>
      <c r="DL50" s="159"/>
      <c r="DM50" s="159"/>
      <c r="DN50" s="159"/>
      <c r="DO50" s="159"/>
      <c r="DP50" s="159"/>
      <c r="DQ50" s="159"/>
      <c r="DR50" s="159"/>
      <c r="DS50" s="159"/>
      <c r="DT50" s="159"/>
      <c r="DU50" s="159"/>
      <c r="DV50" s="159"/>
      <c r="DW50" s="159"/>
      <c r="DX50" s="159"/>
      <c r="DY50" s="159"/>
      <c r="DZ50" s="159"/>
      <c r="EA50" s="159"/>
      <c r="EB50" s="159"/>
      <c r="EC50" s="159"/>
      <c r="ED50" s="159"/>
      <c r="EE50" s="159"/>
      <c r="EF50" s="159"/>
      <c r="EG50" s="159"/>
      <c r="EH50" s="159"/>
      <c r="EI50" s="159"/>
      <c r="EJ50" s="159"/>
      <c r="EK50" s="159"/>
      <c r="EL50" s="159"/>
      <c r="EM50" s="159"/>
      <c r="EN50" s="159"/>
      <c r="EO50" s="159"/>
      <c r="EP50" s="159"/>
      <c r="EQ50" s="159"/>
      <c r="ER50" s="159"/>
      <c r="ES50" s="159"/>
      <c r="ET50" s="159"/>
      <c r="EU50" s="159"/>
      <c r="EV50" s="159"/>
      <c r="EW50" s="159"/>
      <c r="EX50" s="159"/>
      <c r="EY50" s="159"/>
      <c r="EZ50" s="159"/>
      <c r="FA50" s="159"/>
      <c r="FB50" s="159"/>
      <c r="FC50" s="159"/>
      <c r="FD50" s="159"/>
      <c r="FE50" s="159"/>
      <c r="FF50" s="159"/>
      <c r="FG50" s="159"/>
      <c r="FH50" s="159"/>
      <c r="FI50" s="159"/>
      <c r="FJ50" s="159"/>
      <c r="FK50" s="159"/>
      <c r="FL50" s="159"/>
      <c r="FM50" s="159"/>
      <c r="FN50" s="159"/>
      <c r="FO50" s="159"/>
      <c r="FP50" s="159"/>
      <c r="FQ50" s="159"/>
      <c r="FR50" s="159"/>
      <c r="FS50" s="159"/>
      <c r="FT50" s="159"/>
      <c r="FU50" s="159"/>
      <c r="FV50" s="159"/>
      <c r="FW50" s="159"/>
      <c r="FX50" s="159"/>
      <c r="FY50" s="159"/>
      <c r="FZ50" s="159"/>
      <c r="GA50" s="159"/>
      <c r="GB50" s="159"/>
      <c r="GC50" s="159"/>
      <c r="GD50" s="159"/>
      <c r="GE50" s="159"/>
      <c r="GF50" s="159"/>
      <c r="GG50" s="159"/>
      <c r="GH50" s="159"/>
      <c r="GI50" s="159"/>
      <c r="GJ50" s="159"/>
      <c r="GK50" s="159"/>
      <c r="GL50" s="159"/>
      <c r="GM50" s="159"/>
      <c r="GN50" s="159"/>
      <c r="GO50" s="159"/>
      <c r="GP50" s="159"/>
      <c r="GQ50" s="159"/>
      <c r="GR50" s="159"/>
    </row>
    <row r="51" spans="1:200" s="13" customFormat="1" ht="27.75" customHeight="1" x14ac:dyDescent="0.25">
      <c r="B51" s="34">
        <v>1</v>
      </c>
      <c r="C51" s="18" t="s">
        <v>103</v>
      </c>
      <c r="D51" s="17" t="s">
        <v>11</v>
      </c>
      <c r="E51" s="110">
        <v>1800000</v>
      </c>
      <c r="F51" s="130">
        <v>3.5</v>
      </c>
      <c r="G51" s="15">
        <f>+B51*E51*F51</f>
        <v>6300000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3" customFormat="1" ht="27.75" customHeight="1" x14ac:dyDescent="0.25">
      <c r="B52" s="34">
        <v>1</v>
      </c>
      <c r="C52" s="18" t="s">
        <v>104</v>
      </c>
      <c r="D52" s="17" t="s">
        <v>11</v>
      </c>
      <c r="E52" s="110">
        <v>1000000</v>
      </c>
      <c r="F52" s="130">
        <v>4</v>
      </c>
      <c r="G52" s="15">
        <f>+B52*E52*F52</f>
        <v>4000000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3" customFormat="1" x14ac:dyDescent="0.25">
      <c r="B53" s="100"/>
      <c r="C53" s="97" t="s">
        <v>13</v>
      </c>
      <c r="D53" s="97"/>
      <c r="E53" s="136"/>
      <c r="F53" s="137"/>
      <c r="G53" s="138"/>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3" customFormat="1" ht="27.75" customHeight="1" x14ac:dyDescent="0.25">
      <c r="B54" s="134">
        <v>1</v>
      </c>
      <c r="C54" s="21" t="s">
        <v>12</v>
      </c>
      <c r="D54" s="135" t="s">
        <v>11</v>
      </c>
      <c r="E54" s="112">
        <v>1200000</v>
      </c>
      <c r="F54" s="130">
        <v>4</v>
      </c>
      <c r="G54" s="20">
        <f>+E54*F54</f>
        <v>4800000</v>
      </c>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3" customFormat="1" ht="27.75" customHeight="1" x14ac:dyDescent="0.25">
      <c r="B55" s="34">
        <v>1</v>
      </c>
      <c r="C55" s="18" t="s">
        <v>105</v>
      </c>
      <c r="D55" s="17" t="s">
        <v>11</v>
      </c>
      <c r="E55" s="110">
        <v>400000</v>
      </c>
      <c r="F55" s="130">
        <v>4</v>
      </c>
      <c r="G55" s="20">
        <f t="shared" ref="G55:G58" si="2">+E55*F55</f>
        <v>1600000</v>
      </c>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3" customFormat="1" ht="27.75" customHeight="1" x14ac:dyDescent="0.25">
      <c r="B56" s="34">
        <v>1</v>
      </c>
      <c r="C56" s="18" t="s">
        <v>106</v>
      </c>
      <c r="D56" s="17" t="s">
        <v>11</v>
      </c>
      <c r="E56" s="110">
        <v>300000</v>
      </c>
      <c r="F56" s="130">
        <v>4</v>
      </c>
      <c r="G56" s="20">
        <f t="shared" si="2"/>
        <v>1200000</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3" customFormat="1" ht="27.75" customHeight="1" x14ac:dyDescent="0.25">
      <c r="B57" s="167">
        <v>1</v>
      </c>
      <c r="C57" s="168" t="s">
        <v>93</v>
      </c>
      <c r="D57" s="169" t="s">
        <v>11</v>
      </c>
      <c r="E57" s="166">
        <v>675000</v>
      </c>
      <c r="F57" s="170">
        <v>4</v>
      </c>
      <c r="G57" s="20">
        <f t="shared" si="2"/>
        <v>2700000</v>
      </c>
      <c r="H57" s="108" t="s">
        <v>87</v>
      </c>
      <c r="I57" s="1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3" customFormat="1" ht="27.75" customHeight="1" thickBot="1" x14ac:dyDescent="0.3">
      <c r="B58" s="171">
        <v>1</v>
      </c>
      <c r="C58" s="172" t="s">
        <v>85</v>
      </c>
      <c r="D58" s="173" t="s">
        <v>11</v>
      </c>
      <c r="E58" s="174">
        <v>100000</v>
      </c>
      <c r="F58" s="175">
        <v>4</v>
      </c>
      <c r="G58" s="20">
        <f t="shared" si="2"/>
        <v>400000</v>
      </c>
      <c r="H58" s="108" t="s">
        <v>87</v>
      </c>
      <c r="I58" s="14">
        <v>41.3</v>
      </c>
      <c r="J58" s="14"/>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3" customFormat="1" x14ac:dyDescent="0.25">
      <c r="B59" s="152"/>
      <c r="C59" s="274" t="s">
        <v>10</v>
      </c>
      <c r="D59" s="274"/>
      <c r="E59" s="274"/>
      <c r="F59" s="274"/>
      <c r="G59" s="153">
        <f>SUM(G47:G58)</f>
        <v>47910000</v>
      </c>
      <c r="H59" s="1"/>
      <c r="I59" s="14">
        <v>3.7</v>
      </c>
      <c r="J59" s="14"/>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3" customFormat="1" x14ac:dyDescent="0.25">
      <c r="B60" s="105"/>
      <c r="C60" s="275" t="s">
        <v>9</v>
      </c>
      <c r="D60" s="275"/>
      <c r="E60" s="275"/>
      <c r="F60" s="275"/>
      <c r="G60" s="106">
        <f>G41+G59</f>
        <v>290095560</v>
      </c>
      <c r="H60" s="1"/>
      <c r="I60" s="14">
        <f>+I59/I58</f>
        <v>8.9588377723970949E-2</v>
      </c>
      <c r="J60" s="14"/>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s="13" customFormat="1" x14ac:dyDescent="0.25">
      <c r="B61" s="105"/>
      <c r="C61" s="275" t="s">
        <v>86</v>
      </c>
      <c r="D61" s="275"/>
      <c r="E61" s="275"/>
      <c r="F61" s="275"/>
      <c r="G61" s="106">
        <v>46038894</v>
      </c>
      <c r="H61" s="108" t="s">
        <v>87</v>
      </c>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row>
    <row r="62" spans="1:200" s="13" customFormat="1" x14ac:dyDescent="0.25">
      <c r="B62" s="105"/>
      <c r="C62" s="275" t="s">
        <v>8</v>
      </c>
      <c r="D62" s="275"/>
      <c r="E62" s="275"/>
      <c r="F62" s="275"/>
      <c r="G62" s="106">
        <f>G60+G61</f>
        <v>336134454</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row>
    <row r="63" spans="1:200" s="13" customFormat="1" x14ac:dyDescent="0.25">
      <c r="B63" s="105"/>
      <c r="C63" s="275" t="s">
        <v>7</v>
      </c>
      <c r="D63" s="275"/>
      <c r="E63" s="275"/>
      <c r="F63" s="275"/>
      <c r="G63" s="107">
        <f>ROUND(G62*19%,0)</f>
        <v>63865546</v>
      </c>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row>
    <row r="64" spans="1:200" s="13" customFormat="1" ht="14.25" thickBot="1" x14ac:dyDescent="0.3">
      <c r="A64" s="160"/>
      <c r="B64" s="155"/>
      <c r="C64" s="249" t="s">
        <v>6</v>
      </c>
      <c r="D64" s="249"/>
      <c r="E64" s="249"/>
      <c r="F64" s="249"/>
      <c r="G64" s="156">
        <f>G62+G63</f>
        <v>400000000</v>
      </c>
      <c r="H64" s="154"/>
      <c r="I64" s="229"/>
      <c r="J64" s="230"/>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row>
    <row r="65" spans="2:7" ht="30" customHeight="1" x14ac:dyDescent="0.25">
      <c r="B65" s="243" t="s">
        <v>5</v>
      </c>
      <c r="C65" s="244"/>
      <c r="D65" s="244"/>
      <c r="E65" s="244"/>
      <c r="F65" s="244"/>
      <c r="G65" s="245"/>
    </row>
    <row r="66" spans="2:7" ht="28.5" customHeight="1" x14ac:dyDescent="0.25">
      <c r="B66" s="246" t="s">
        <v>89</v>
      </c>
      <c r="C66" s="247"/>
      <c r="D66" s="247"/>
      <c r="E66" s="247"/>
      <c r="F66" s="247"/>
      <c r="G66" s="248"/>
    </row>
    <row r="67" spans="2:7" ht="27" customHeight="1" x14ac:dyDescent="0.25">
      <c r="B67" s="246" t="s">
        <v>4</v>
      </c>
      <c r="C67" s="247"/>
      <c r="D67" s="247"/>
      <c r="E67" s="247"/>
      <c r="F67" s="247"/>
      <c r="G67" s="248"/>
    </row>
    <row r="68" spans="2:7" ht="24.75" customHeight="1" x14ac:dyDescent="0.25">
      <c r="B68" s="246" t="s">
        <v>3</v>
      </c>
      <c r="C68" s="247"/>
      <c r="D68" s="247"/>
      <c r="E68" s="247"/>
      <c r="F68" s="247"/>
      <c r="G68" s="248"/>
    </row>
    <row r="69" spans="2:7" ht="51.75" customHeight="1" x14ac:dyDescent="0.25">
      <c r="B69" s="246" t="s">
        <v>107</v>
      </c>
      <c r="C69" s="247"/>
      <c r="D69" s="247"/>
      <c r="E69" s="247"/>
      <c r="F69" s="247"/>
      <c r="G69" s="248"/>
    </row>
    <row r="70" spans="2:7" ht="28.5" customHeight="1" x14ac:dyDescent="0.25">
      <c r="B70" s="246" t="s">
        <v>90</v>
      </c>
      <c r="C70" s="247"/>
      <c r="D70" s="247"/>
      <c r="E70" s="247"/>
      <c r="F70" s="247"/>
      <c r="G70" s="248"/>
    </row>
    <row r="71" spans="2:7" ht="28.5" customHeight="1" x14ac:dyDescent="0.25">
      <c r="B71" s="246" t="s">
        <v>108</v>
      </c>
      <c r="C71" s="247"/>
      <c r="D71" s="247"/>
      <c r="E71" s="247"/>
      <c r="F71" s="247"/>
      <c r="G71" s="248"/>
    </row>
    <row r="72" spans="2:7" ht="28.5" customHeight="1" x14ac:dyDescent="0.25">
      <c r="B72" s="246" t="s">
        <v>109</v>
      </c>
      <c r="C72" s="247"/>
      <c r="D72" s="247"/>
      <c r="E72" s="247"/>
      <c r="F72" s="247"/>
      <c r="G72" s="248"/>
    </row>
    <row r="73" spans="2:7" ht="28.5" customHeight="1" x14ac:dyDescent="0.25">
      <c r="B73" s="246" t="s">
        <v>110</v>
      </c>
      <c r="C73" s="247"/>
      <c r="D73" s="247"/>
      <c r="E73" s="247"/>
      <c r="F73" s="247"/>
      <c r="G73" s="248"/>
    </row>
    <row r="74" spans="2:7" ht="24.75" customHeight="1" x14ac:dyDescent="0.25">
      <c r="B74" s="246" t="s">
        <v>99</v>
      </c>
      <c r="C74" s="247"/>
      <c r="D74" s="247"/>
      <c r="E74" s="247"/>
      <c r="F74" s="247"/>
      <c r="G74" s="248"/>
    </row>
    <row r="75" spans="2:7" ht="24.75" customHeight="1" x14ac:dyDescent="0.25">
      <c r="B75" s="246" t="s">
        <v>212</v>
      </c>
      <c r="C75" s="247"/>
      <c r="D75" s="247"/>
      <c r="E75" s="247"/>
      <c r="F75" s="247"/>
      <c r="G75" s="248"/>
    </row>
    <row r="76" spans="2:7" ht="24.75" customHeight="1" x14ac:dyDescent="0.25">
      <c r="B76" s="246" t="s">
        <v>111</v>
      </c>
      <c r="C76" s="247"/>
      <c r="D76" s="247"/>
      <c r="E76" s="247"/>
      <c r="F76" s="247"/>
      <c r="G76" s="248"/>
    </row>
    <row r="77" spans="2:7" ht="26.25" customHeight="1" x14ac:dyDescent="0.25">
      <c r="B77" s="246" t="s">
        <v>201</v>
      </c>
      <c r="C77" s="247"/>
      <c r="D77" s="247"/>
      <c r="E77" s="247"/>
      <c r="F77" s="247"/>
      <c r="G77" s="248"/>
    </row>
    <row r="78" spans="2:7" ht="47.25" customHeight="1" x14ac:dyDescent="0.25">
      <c r="B78" s="246" t="s">
        <v>202</v>
      </c>
      <c r="C78" s="247"/>
      <c r="D78" s="247"/>
      <c r="E78" s="247"/>
      <c r="F78" s="247"/>
      <c r="G78" s="248"/>
    </row>
    <row r="79" spans="2:7" s="232" customFormat="1" ht="24.75" customHeight="1" x14ac:dyDescent="0.25">
      <c r="B79" s="271" t="s">
        <v>203</v>
      </c>
      <c r="C79" s="272"/>
      <c r="D79" s="272"/>
      <c r="E79" s="272"/>
      <c r="F79" s="272"/>
      <c r="G79" s="273"/>
    </row>
    <row r="80" spans="2:7" ht="45.75" customHeight="1" thickBot="1" x14ac:dyDescent="0.3">
      <c r="B80" s="268" t="s">
        <v>91</v>
      </c>
      <c r="C80" s="269"/>
      <c r="D80" s="269"/>
      <c r="E80" s="269"/>
      <c r="F80" s="269"/>
      <c r="G80" s="270"/>
    </row>
    <row r="81" spans="2:7" x14ac:dyDescent="0.25">
      <c r="B81" s="114"/>
      <c r="C81" s="114"/>
      <c r="D81" s="114"/>
      <c r="E81" s="114"/>
      <c r="F81" s="114"/>
      <c r="G81" s="114"/>
    </row>
    <row r="82" spans="2:7" ht="15.75" x14ac:dyDescent="0.25">
      <c r="B82" s="12" t="s">
        <v>2</v>
      </c>
      <c r="C82" s="113"/>
      <c r="D82" s="113"/>
      <c r="E82" s="11"/>
      <c r="F82" s="10"/>
      <c r="G82" s="10"/>
    </row>
    <row r="83" spans="2:7" ht="38.25" customHeight="1" x14ac:dyDescent="0.25">
      <c r="B83" s="9"/>
      <c r="C83" s="8"/>
      <c r="D83" s="113"/>
      <c r="E83" s="7"/>
      <c r="F83" s="6"/>
      <c r="G83" s="6"/>
    </row>
    <row r="84" spans="2:7" ht="16.5" x14ac:dyDescent="0.25">
      <c r="B84" s="5" t="s">
        <v>1</v>
      </c>
      <c r="C84" s="113"/>
      <c r="D84" s="113"/>
      <c r="E84" s="267" t="s">
        <v>0</v>
      </c>
      <c r="F84" s="267"/>
      <c r="G84" s="267"/>
    </row>
  </sheetData>
  <mergeCells count="44">
    <mergeCell ref="B8:G8"/>
    <mergeCell ref="B2:G2"/>
    <mergeCell ref="B3:G3"/>
    <mergeCell ref="B4:G4"/>
    <mergeCell ref="B6:G6"/>
    <mergeCell ref="B7:G7"/>
    <mergeCell ref="B5:G5"/>
    <mergeCell ref="B9:G9"/>
    <mergeCell ref="B10:D10"/>
    <mergeCell ref="B12:B13"/>
    <mergeCell ref="C12:C14"/>
    <mergeCell ref="C15:G15"/>
    <mergeCell ref="F10:G10"/>
    <mergeCell ref="C59:F59"/>
    <mergeCell ref="C60:F60"/>
    <mergeCell ref="C61:F61"/>
    <mergeCell ref="C62:F62"/>
    <mergeCell ref="C63:F63"/>
    <mergeCell ref="E84:G84"/>
    <mergeCell ref="B72:G72"/>
    <mergeCell ref="B74:G74"/>
    <mergeCell ref="B75:G75"/>
    <mergeCell ref="B76:G76"/>
    <mergeCell ref="B77:G77"/>
    <mergeCell ref="B80:G80"/>
    <mergeCell ref="B73:G73"/>
    <mergeCell ref="B78:G78"/>
    <mergeCell ref="B79:G79"/>
    <mergeCell ref="B36:F36"/>
    <mergeCell ref="B65:G65"/>
    <mergeCell ref="B69:G69"/>
    <mergeCell ref="B70:G70"/>
    <mergeCell ref="B71:G71"/>
    <mergeCell ref="C64:F64"/>
    <mergeCell ref="B66:G66"/>
    <mergeCell ref="B67:G67"/>
    <mergeCell ref="B68:G68"/>
    <mergeCell ref="C39:F39"/>
    <mergeCell ref="C40:F40"/>
    <mergeCell ref="C41:F41"/>
    <mergeCell ref="B42:B43"/>
    <mergeCell ref="C42:C44"/>
    <mergeCell ref="D42:D44"/>
    <mergeCell ref="F42:F4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G2:J24"/>
  <sheetViews>
    <sheetView topLeftCell="D1" zoomScale="85" zoomScaleNormal="85" workbookViewId="0">
      <selection activeCell="G2" sqref="G2:J24"/>
    </sheetView>
  </sheetViews>
  <sheetFormatPr baseColWidth="10" defaultColWidth="11.42578125" defaultRowHeight="16.5" x14ac:dyDescent="0.3"/>
  <cols>
    <col min="1" max="6" width="11.42578125" style="96"/>
    <col min="7" max="7" width="48.5703125" style="96" customWidth="1"/>
    <col min="8" max="8" width="15.5703125" style="96" customWidth="1"/>
    <col min="9" max="9" width="15.5703125" style="235" hidden="1" customWidth="1"/>
    <col min="10" max="10" width="15.5703125" style="96" customWidth="1"/>
    <col min="11" max="11" width="11.42578125" style="96"/>
    <col min="12" max="12" width="15.85546875" style="96" customWidth="1"/>
    <col min="13" max="262" width="11.42578125" style="96"/>
    <col min="263" max="263" width="48.5703125" style="96" customWidth="1"/>
    <col min="264" max="264" width="15.5703125" style="96" customWidth="1"/>
    <col min="265" max="265" width="13.5703125" style="96" bestFit="1" customWidth="1"/>
    <col min="266" max="266" width="16.7109375" style="96" customWidth="1"/>
    <col min="267" max="267" width="11.42578125" style="96"/>
    <col min="268" max="268" width="15.85546875" style="96" customWidth="1"/>
    <col min="269" max="518" width="11.42578125" style="96"/>
    <col min="519" max="519" width="48.5703125" style="96" customWidth="1"/>
    <col min="520" max="520" width="15.5703125" style="96" customWidth="1"/>
    <col min="521" max="521" width="13.5703125" style="96" bestFit="1" customWidth="1"/>
    <col min="522" max="522" width="16.7109375" style="96" customWidth="1"/>
    <col min="523" max="523" width="11.42578125" style="96"/>
    <col min="524" max="524" width="15.85546875" style="96" customWidth="1"/>
    <col min="525" max="774" width="11.42578125" style="96"/>
    <col min="775" max="775" width="48.5703125" style="96" customWidth="1"/>
    <col min="776" max="776" width="15.5703125" style="96" customWidth="1"/>
    <col min="777" max="777" width="13.5703125" style="96" bestFit="1" customWidth="1"/>
    <col min="778" max="778" width="16.7109375" style="96" customWidth="1"/>
    <col min="779" max="779" width="11.42578125" style="96"/>
    <col min="780" max="780" width="15.85546875" style="96" customWidth="1"/>
    <col min="781" max="1030" width="11.42578125" style="96"/>
    <col min="1031" max="1031" width="48.5703125" style="96" customWidth="1"/>
    <col min="1032" max="1032" width="15.5703125" style="96" customWidth="1"/>
    <col min="1033" max="1033" width="13.5703125" style="96" bestFit="1" customWidth="1"/>
    <col min="1034" max="1034" width="16.7109375" style="96" customWidth="1"/>
    <col min="1035" max="1035" width="11.42578125" style="96"/>
    <col min="1036" max="1036" width="15.85546875" style="96" customWidth="1"/>
    <col min="1037" max="1286" width="11.42578125" style="96"/>
    <col min="1287" max="1287" width="48.5703125" style="96" customWidth="1"/>
    <col min="1288" max="1288" width="15.5703125" style="96" customWidth="1"/>
    <col min="1289" max="1289" width="13.5703125" style="96" bestFit="1" customWidth="1"/>
    <col min="1290" max="1290" width="16.7109375" style="96" customWidth="1"/>
    <col min="1291" max="1291" width="11.42578125" style="96"/>
    <col min="1292" max="1292" width="15.85546875" style="96" customWidth="1"/>
    <col min="1293" max="1542" width="11.42578125" style="96"/>
    <col min="1543" max="1543" width="48.5703125" style="96" customWidth="1"/>
    <col min="1544" max="1544" width="15.5703125" style="96" customWidth="1"/>
    <col min="1545" max="1545" width="13.5703125" style="96" bestFit="1" customWidth="1"/>
    <col min="1546" max="1546" width="16.7109375" style="96" customWidth="1"/>
    <col min="1547" max="1547" width="11.42578125" style="96"/>
    <col min="1548" max="1548" width="15.85546875" style="96" customWidth="1"/>
    <col min="1549" max="1798" width="11.42578125" style="96"/>
    <col min="1799" max="1799" width="48.5703125" style="96" customWidth="1"/>
    <col min="1800" max="1800" width="15.5703125" style="96" customWidth="1"/>
    <col min="1801" max="1801" width="13.5703125" style="96" bestFit="1" customWidth="1"/>
    <col min="1802" max="1802" width="16.7109375" style="96" customWidth="1"/>
    <col min="1803" max="1803" width="11.42578125" style="96"/>
    <col min="1804" max="1804" width="15.85546875" style="96" customWidth="1"/>
    <col min="1805" max="2054" width="11.42578125" style="96"/>
    <col min="2055" max="2055" width="48.5703125" style="96" customWidth="1"/>
    <col min="2056" max="2056" width="15.5703125" style="96" customWidth="1"/>
    <col min="2057" max="2057" width="13.5703125" style="96" bestFit="1" customWidth="1"/>
    <col min="2058" max="2058" width="16.7109375" style="96" customWidth="1"/>
    <col min="2059" max="2059" width="11.42578125" style="96"/>
    <col min="2060" max="2060" width="15.85546875" style="96" customWidth="1"/>
    <col min="2061" max="2310" width="11.42578125" style="96"/>
    <col min="2311" max="2311" width="48.5703125" style="96" customWidth="1"/>
    <col min="2312" max="2312" width="15.5703125" style="96" customWidth="1"/>
    <col min="2313" max="2313" width="13.5703125" style="96" bestFit="1" customWidth="1"/>
    <col min="2314" max="2314" width="16.7109375" style="96" customWidth="1"/>
    <col min="2315" max="2315" width="11.42578125" style="96"/>
    <col min="2316" max="2316" width="15.85546875" style="96" customWidth="1"/>
    <col min="2317" max="2566" width="11.42578125" style="96"/>
    <col min="2567" max="2567" width="48.5703125" style="96" customWidth="1"/>
    <col min="2568" max="2568" width="15.5703125" style="96" customWidth="1"/>
    <col min="2569" max="2569" width="13.5703125" style="96" bestFit="1" customWidth="1"/>
    <col min="2570" max="2570" width="16.7109375" style="96" customWidth="1"/>
    <col min="2571" max="2571" width="11.42578125" style="96"/>
    <col min="2572" max="2572" width="15.85546875" style="96" customWidth="1"/>
    <col min="2573" max="2822" width="11.42578125" style="96"/>
    <col min="2823" max="2823" width="48.5703125" style="96" customWidth="1"/>
    <col min="2824" max="2824" width="15.5703125" style="96" customWidth="1"/>
    <col min="2825" max="2825" width="13.5703125" style="96" bestFit="1" customWidth="1"/>
    <col min="2826" max="2826" width="16.7109375" style="96" customWidth="1"/>
    <col min="2827" max="2827" width="11.42578125" style="96"/>
    <col min="2828" max="2828" width="15.85546875" style="96" customWidth="1"/>
    <col min="2829" max="3078" width="11.42578125" style="96"/>
    <col min="3079" max="3079" width="48.5703125" style="96" customWidth="1"/>
    <col min="3080" max="3080" width="15.5703125" style="96" customWidth="1"/>
    <col min="3081" max="3081" width="13.5703125" style="96" bestFit="1" customWidth="1"/>
    <col min="3082" max="3082" width="16.7109375" style="96" customWidth="1"/>
    <col min="3083" max="3083" width="11.42578125" style="96"/>
    <col min="3084" max="3084" width="15.85546875" style="96" customWidth="1"/>
    <col min="3085" max="3334" width="11.42578125" style="96"/>
    <col min="3335" max="3335" width="48.5703125" style="96" customWidth="1"/>
    <col min="3336" max="3336" width="15.5703125" style="96" customWidth="1"/>
    <col min="3337" max="3337" width="13.5703125" style="96" bestFit="1" customWidth="1"/>
    <col min="3338" max="3338" width="16.7109375" style="96" customWidth="1"/>
    <col min="3339" max="3339" width="11.42578125" style="96"/>
    <col min="3340" max="3340" width="15.85546875" style="96" customWidth="1"/>
    <col min="3341" max="3590" width="11.42578125" style="96"/>
    <col min="3591" max="3591" width="48.5703125" style="96" customWidth="1"/>
    <col min="3592" max="3592" width="15.5703125" style="96" customWidth="1"/>
    <col min="3593" max="3593" width="13.5703125" style="96" bestFit="1" customWidth="1"/>
    <col min="3594" max="3594" width="16.7109375" style="96" customWidth="1"/>
    <col min="3595" max="3595" width="11.42578125" style="96"/>
    <col min="3596" max="3596" width="15.85546875" style="96" customWidth="1"/>
    <col min="3597" max="3846" width="11.42578125" style="96"/>
    <col min="3847" max="3847" width="48.5703125" style="96" customWidth="1"/>
    <col min="3848" max="3848" width="15.5703125" style="96" customWidth="1"/>
    <col min="3849" max="3849" width="13.5703125" style="96" bestFit="1" customWidth="1"/>
    <col min="3850" max="3850" width="16.7109375" style="96" customWidth="1"/>
    <col min="3851" max="3851" width="11.42578125" style="96"/>
    <col min="3852" max="3852" width="15.85546875" style="96" customWidth="1"/>
    <col min="3853" max="4102" width="11.42578125" style="96"/>
    <col min="4103" max="4103" width="48.5703125" style="96" customWidth="1"/>
    <col min="4104" max="4104" width="15.5703125" style="96" customWidth="1"/>
    <col min="4105" max="4105" width="13.5703125" style="96" bestFit="1" customWidth="1"/>
    <col min="4106" max="4106" width="16.7109375" style="96" customWidth="1"/>
    <col min="4107" max="4107" width="11.42578125" style="96"/>
    <col min="4108" max="4108" width="15.85546875" style="96" customWidth="1"/>
    <col min="4109" max="4358" width="11.42578125" style="96"/>
    <col min="4359" max="4359" width="48.5703125" style="96" customWidth="1"/>
    <col min="4360" max="4360" width="15.5703125" style="96" customWidth="1"/>
    <col min="4361" max="4361" width="13.5703125" style="96" bestFit="1" customWidth="1"/>
    <col min="4362" max="4362" width="16.7109375" style="96" customWidth="1"/>
    <col min="4363" max="4363" width="11.42578125" style="96"/>
    <col min="4364" max="4364" width="15.85546875" style="96" customWidth="1"/>
    <col min="4365" max="4614" width="11.42578125" style="96"/>
    <col min="4615" max="4615" width="48.5703125" style="96" customWidth="1"/>
    <col min="4616" max="4616" width="15.5703125" style="96" customWidth="1"/>
    <col min="4617" max="4617" width="13.5703125" style="96" bestFit="1" customWidth="1"/>
    <col min="4618" max="4618" width="16.7109375" style="96" customWidth="1"/>
    <col min="4619" max="4619" width="11.42578125" style="96"/>
    <col min="4620" max="4620" width="15.85546875" style="96" customWidth="1"/>
    <col min="4621" max="4870" width="11.42578125" style="96"/>
    <col min="4871" max="4871" width="48.5703125" style="96" customWidth="1"/>
    <col min="4872" max="4872" width="15.5703125" style="96" customWidth="1"/>
    <col min="4873" max="4873" width="13.5703125" style="96" bestFit="1" customWidth="1"/>
    <col min="4874" max="4874" width="16.7109375" style="96" customWidth="1"/>
    <col min="4875" max="4875" width="11.42578125" style="96"/>
    <col min="4876" max="4876" width="15.85546875" style="96" customWidth="1"/>
    <col min="4877" max="5126" width="11.42578125" style="96"/>
    <col min="5127" max="5127" width="48.5703125" style="96" customWidth="1"/>
    <col min="5128" max="5128" width="15.5703125" style="96" customWidth="1"/>
    <col min="5129" max="5129" width="13.5703125" style="96" bestFit="1" customWidth="1"/>
    <col min="5130" max="5130" width="16.7109375" style="96" customWidth="1"/>
    <col min="5131" max="5131" width="11.42578125" style="96"/>
    <col min="5132" max="5132" width="15.85546875" style="96" customWidth="1"/>
    <col min="5133" max="5382" width="11.42578125" style="96"/>
    <col min="5383" max="5383" width="48.5703125" style="96" customWidth="1"/>
    <col min="5384" max="5384" width="15.5703125" style="96" customWidth="1"/>
    <col min="5385" max="5385" width="13.5703125" style="96" bestFit="1" customWidth="1"/>
    <col min="5386" max="5386" width="16.7109375" style="96" customWidth="1"/>
    <col min="5387" max="5387" width="11.42578125" style="96"/>
    <col min="5388" max="5388" width="15.85546875" style="96" customWidth="1"/>
    <col min="5389" max="5638" width="11.42578125" style="96"/>
    <col min="5639" max="5639" width="48.5703125" style="96" customWidth="1"/>
    <col min="5640" max="5640" width="15.5703125" style="96" customWidth="1"/>
    <col min="5641" max="5641" width="13.5703125" style="96" bestFit="1" customWidth="1"/>
    <col min="5642" max="5642" width="16.7109375" style="96" customWidth="1"/>
    <col min="5643" max="5643" width="11.42578125" style="96"/>
    <col min="5644" max="5644" width="15.85546875" style="96" customWidth="1"/>
    <col min="5645" max="5894" width="11.42578125" style="96"/>
    <col min="5895" max="5895" width="48.5703125" style="96" customWidth="1"/>
    <col min="5896" max="5896" width="15.5703125" style="96" customWidth="1"/>
    <col min="5897" max="5897" width="13.5703125" style="96" bestFit="1" customWidth="1"/>
    <col min="5898" max="5898" width="16.7109375" style="96" customWidth="1"/>
    <col min="5899" max="5899" width="11.42578125" style="96"/>
    <col min="5900" max="5900" width="15.85546875" style="96" customWidth="1"/>
    <col min="5901" max="6150" width="11.42578125" style="96"/>
    <col min="6151" max="6151" width="48.5703125" style="96" customWidth="1"/>
    <col min="6152" max="6152" width="15.5703125" style="96" customWidth="1"/>
    <col min="6153" max="6153" width="13.5703125" style="96" bestFit="1" customWidth="1"/>
    <col min="6154" max="6154" width="16.7109375" style="96" customWidth="1"/>
    <col min="6155" max="6155" width="11.42578125" style="96"/>
    <col min="6156" max="6156" width="15.85546875" style="96" customWidth="1"/>
    <col min="6157" max="6406" width="11.42578125" style="96"/>
    <col min="6407" max="6407" width="48.5703125" style="96" customWidth="1"/>
    <col min="6408" max="6408" width="15.5703125" style="96" customWidth="1"/>
    <col min="6409" max="6409" width="13.5703125" style="96" bestFit="1" customWidth="1"/>
    <col min="6410" max="6410" width="16.7109375" style="96" customWidth="1"/>
    <col min="6411" max="6411" width="11.42578125" style="96"/>
    <col min="6412" max="6412" width="15.85546875" style="96" customWidth="1"/>
    <col min="6413" max="6662" width="11.42578125" style="96"/>
    <col min="6663" max="6663" width="48.5703125" style="96" customWidth="1"/>
    <col min="6664" max="6664" width="15.5703125" style="96" customWidth="1"/>
    <col min="6665" max="6665" width="13.5703125" style="96" bestFit="1" customWidth="1"/>
    <col min="6666" max="6666" width="16.7109375" style="96" customWidth="1"/>
    <col min="6667" max="6667" width="11.42578125" style="96"/>
    <col min="6668" max="6668" width="15.85546875" style="96" customWidth="1"/>
    <col min="6669" max="6918" width="11.42578125" style="96"/>
    <col min="6919" max="6919" width="48.5703125" style="96" customWidth="1"/>
    <col min="6920" max="6920" width="15.5703125" style="96" customWidth="1"/>
    <col min="6921" max="6921" width="13.5703125" style="96" bestFit="1" customWidth="1"/>
    <col min="6922" max="6922" width="16.7109375" style="96" customWidth="1"/>
    <col min="6923" max="6923" width="11.42578125" style="96"/>
    <col min="6924" max="6924" width="15.85546875" style="96" customWidth="1"/>
    <col min="6925" max="7174" width="11.42578125" style="96"/>
    <col min="7175" max="7175" width="48.5703125" style="96" customWidth="1"/>
    <col min="7176" max="7176" width="15.5703125" style="96" customWidth="1"/>
    <col min="7177" max="7177" width="13.5703125" style="96" bestFit="1" customWidth="1"/>
    <col min="7178" max="7178" width="16.7109375" style="96" customWidth="1"/>
    <col min="7179" max="7179" width="11.42578125" style="96"/>
    <col min="7180" max="7180" width="15.85546875" style="96" customWidth="1"/>
    <col min="7181" max="7430" width="11.42578125" style="96"/>
    <col min="7431" max="7431" width="48.5703125" style="96" customWidth="1"/>
    <col min="7432" max="7432" width="15.5703125" style="96" customWidth="1"/>
    <col min="7433" max="7433" width="13.5703125" style="96" bestFit="1" customWidth="1"/>
    <col min="7434" max="7434" width="16.7109375" style="96" customWidth="1"/>
    <col min="7435" max="7435" width="11.42578125" style="96"/>
    <col min="7436" max="7436" width="15.85546875" style="96" customWidth="1"/>
    <col min="7437" max="7686" width="11.42578125" style="96"/>
    <col min="7687" max="7687" width="48.5703125" style="96" customWidth="1"/>
    <col min="7688" max="7688" width="15.5703125" style="96" customWidth="1"/>
    <col min="7689" max="7689" width="13.5703125" style="96" bestFit="1" customWidth="1"/>
    <col min="7690" max="7690" width="16.7109375" style="96" customWidth="1"/>
    <col min="7691" max="7691" width="11.42578125" style="96"/>
    <col min="7692" max="7692" width="15.85546875" style="96" customWidth="1"/>
    <col min="7693" max="7942" width="11.42578125" style="96"/>
    <col min="7943" max="7943" width="48.5703125" style="96" customWidth="1"/>
    <col min="7944" max="7944" width="15.5703125" style="96" customWidth="1"/>
    <col min="7945" max="7945" width="13.5703125" style="96" bestFit="1" customWidth="1"/>
    <col min="7946" max="7946" width="16.7109375" style="96" customWidth="1"/>
    <col min="7947" max="7947" width="11.42578125" style="96"/>
    <col min="7948" max="7948" width="15.85546875" style="96" customWidth="1"/>
    <col min="7949" max="8198" width="11.42578125" style="96"/>
    <col min="8199" max="8199" width="48.5703125" style="96" customWidth="1"/>
    <col min="8200" max="8200" width="15.5703125" style="96" customWidth="1"/>
    <col min="8201" max="8201" width="13.5703125" style="96" bestFit="1" customWidth="1"/>
    <col min="8202" max="8202" width="16.7109375" style="96" customWidth="1"/>
    <col min="8203" max="8203" width="11.42578125" style="96"/>
    <col min="8204" max="8204" width="15.85546875" style="96" customWidth="1"/>
    <col min="8205" max="8454" width="11.42578125" style="96"/>
    <col min="8455" max="8455" width="48.5703125" style="96" customWidth="1"/>
    <col min="8456" max="8456" width="15.5703125" style="96" customWidth="1"/>
    <col min="8457" max="8457" width="13.5703125" style="96" bestFit="1" customWidth="1"/>
    <col min="8458" max="8458" width="16.7109375" style="96" customWidth="1"/>
    <col min="8459" max="8459" width="11.42578125" style="96"/>
    <col min="8460" max="8460" width="15.85546875" style="96" customWidth="1"/>
    <col min="8461" max="8710" width="11.42578125" style="96"/>
    <col min="8711" max="8711" width="48.5703125" style="96" customWidth="1"/>
    <col min="8712" max="8712" width="15.5703125" style="96" customWidth="1"/>
    <col min="8713" max="8713" width="13.5703125" style="96" bestFit="1" customWidth="1"/>
    <col min="8714" max="8714" width="16.7109375" style="96" customWidth="1"/>
    <col min="8715" max="8715" width="11.42578125" style="96"/>
    <col min="8716" max="8716" width="15.85546875" style="96" customWidth="1"/>
    <col min="8717" max="8966" width="11.42578125" style="96"/>
    <col min="8967" max="8967" width="48.5703125" style="96" customWidth="1"/>
    <col min="8968" max="8968" width="15.5703125" style="96" customWidth="1"/>
    <col min="8969" max="8969" width="13.5703125" style="96" bestFit="1" customWidth="1"/>
    <col min="8970" max="8970" width="16.7109375" style="96" customWidth="1"/>
    <col min="8971" max="8971" width="11.42578125" style="96"/>
    <col min="8972" max="8972" width="15.85546875" style="96" customWidth="1"/>
    <col min="8973" max="9222" width="11.42578125" style="96"/>
    <col min="9223" max="9223" width="48.5703125" style="96" customWidth="1"/>
    <col min="9224" max="9224" width="15.5703125" style="96" customWidth="1"/>
    <col min="9225" max="9225" width="13.5703125" style="96" bestFit="1" customWidth="1"/>
    <col min="9226" max="9226" width="16.7109375" style="96" customWidth="1"/>
    <col min="9227" max="9227" width="11.42578125" style="96"/>
    <col min="9228" max="9228" width="15.85546875" style="96" customWidth="1"/>
    <col min="9229" max="9478" width="11.42578125" style="96"/>
    <col min="9479" max="9479" width="48.5703125" style="96" customWidth="1"/>
    <col min="9480" max="9480" width="15.5703125" style="96" customWidth="1"/>
    <col min="9481" max="9481" width="13.5703125" style="96" bestFit="1" customWidth="1"/>
    <col min="9482" max="9482" width="16.7109375" style="96" customWidth="1"/>
    <col min="9483" max="9483" width="11.42578125" style="96"/>
    <col min="9484" max="9484" width="15.85546875" style="96" customWidth="1"/>
    <col min="9485" max="9734" width="11.42578125" style="96"/>
    <col min="9735" max="9735" width="48.5703125" style="96" customWidth="1"/>
    <col min="9736" max="9736" width="15.5703125" style="96" customWidth="1"/>
    <col min="9737" max="9737" width="13.5703125" style="96" bestFit="1" customWidth="1"/>
    <col min="9738" max="9738" width="16.7109375" style="96" customWidth="1"/>
    <col min="9739" max="9739" width="11.42578125" style="96"/>
    <col min="9740" max="9740" width="15.85546875" style="96" customWidth="1"/>
    <col min="9741" max="9990" width="11.42578125" style="96"/>
    <col min="9991" max="9991" width="48.5703125" style="96" customWidth="1"/>
    <col min="9992" max="9992" width="15.5703125" style="96" customWidth="1"/>
    <col min="9993" max="9993" width="13.5703125" style="96" bestFit="1" customWidth="1"/>
    <col min="9994" max="9994" width="16.7109375" style="96" customWidth="1"/>
    <col min="9995" max="9995" width="11.42578125" style="96"/>
    <col min="9996" max="9996" width="15.85546875" style="96" customWidth="1"/>
    <col min="9997" max="10246" width="11.42578125" style="96"/>
    <col min="10247" max="10247" width="48.5703125" style="96" customWidth="1"/>
    <col min="10248" max="10248" width="15.5703125" style="96" customWidth="1"/>
    <col min="10249" max="10249" width="13.5703125" style="96" bestFit="1" customWidth="1"/>
    <col min="10250" max="10250" width="16.7109375" style="96" customWidth="1"/>
    <col min="10251" max="10251" width="11.42578125" style="96"/>
    <col min="10252" max="10252" width="15.85546875" style="96" customWidth="1"/>
    <col min="10253" max="10502" width="11.42578125" style="96"/>
    <col min="10503" max="10503" width="48.5703125" style="96" customWidth="1"/>
    <col min="10504" max="10504" width="15.5703125" style="96" customWidth="1"/>
    <col min="10505" max="10505" width="13.5703125" style="96" bestFit="1" customWidth="1"/>
    <col min="10506" max="10506" width="16.7109375" style="96" customWidth="1"/>
    <col min="10507" max="10507" width="11.42578125" style="96"/>
    <col min="10508" max="10508" width="15.85546875" style="96" customWidth="1"/>
    <col min="10509" max="10758" width="11.42578125" style="96"/>
    <col min="10759" max="10759" width="48.5703125" style="96" customWidth="1"/>
    <col min="10760" max="10760" width="15.5703125" style="96" customWidth="1"/>
    <col min="10761" max="10761" width="13.5703125" style="96" bestFit="1" customWidth="1"/>
    <col min="10762" max="10762" width="16.7109375" style="96" customWidth="1"/>
    <col min="10763" max="10763" width="11.42578125" style="96"/>
    <col min="10764" max="10764" width="15.85546875" style="96" customWidth="1"/>
    <col min="10765" max="11014" width="11.42578125" style="96"/>
    <col min="11015" max="11015" width="48.5703125" style="96" customWidth="1"/>
    <col min="11016" max="11016" width="15.5703125" style="96" customWidth="1"/>
    <col min="11017" max="11017" width="13.5703125" style="96" bestFit="1" customWidth="1"/>
    <col min="11018" max="11018" width="16.7109375" style="96" customWidth="1"/>
    <col min="11019" max="11019" width="11.42578125" style="96"/>
    <col min="11020" max="11020" width="15.85546875" style="96" customWidth="1"/>
    <col min="11021" max="11270" width="11.42578125" style="96"/>
    <col min="11271" max="11271" width="48.5703125" style="96" customWidth="1"/>
    <col min="11272" max="11272" width="15.5703125" style="96" customWidth="1"/>
    <col min="11273" max="11273" width="13.5703125" style="96" bestFit="1" customWidth="1"/>
    <col min="11274" max="11274" width="16.7109375" style="96" customWidth="1"/>
    <col min="11275" max="11275" width="11.42578125" style="96"/>
    <col min="11276" max="11276" width="15.85546875" style="96" customWidth="1"/>
    <col min="11277" max="11526" width="11.42578125" style="96"/>
    <col min="11527" max="11527" width="48.5703125" style="96" customWidth="1"/>
    <col min="11528" max="11528" width="15.5703125" style="96" customWidth="1"/>
    <col min="11529" max="11529" width="13.5703125" style="96" bestFit="1" customWidth="1"/>
    <col min="11530" max="11530" width="16.7109375" style="96" customWidth="1"/>
    <col min="11531" max="11531" width="11.42578125" style="96"/>
    <col min="11532" max="11532" width="15.85546875" style="96" customWidth="1"/>
    <col min="11533" max="11782" width="11.42578125" style="96"/>
    <col min="11783" max="11783" width="48.5703125" style="96" customWidth="1"/>
    <col min="11784" max="11784" width="15.5703125" style="96" customWidth="1"/>
    <col min="11785" max="11785" width="13.5703125" style="96" bestFit="1" customWidth="1"/>
    <col min="11786" max="11786" width="16.7109375" style="96" customWidth="1"/>
    <col min="11787" max="11787" width="11.42578125" style="96"/>
    <col min="11788" max="11788" width="15.85546875" style="96" customWidth="1"/>
    <col min="11789" max="12038" width="11.42578125" style="96"/>
    <col min="12039" max="12039" width="48.5703125" style="96" customWidth="1"/>
    <col min="12040" max="12040" width="15.5703125" style="96" customWidth="1"/>
    <col min="12041" max="12041" width="13.5703125" style="96" bestFit="1" customWidth="1"/>
    <col min="12042" max="12042" width="16.7109375" style="96" customWidth="1"/>
    <col min="12043" max="12043" width="11.42578125" style="96"/>
    <col min="12044" max="12044" width="15.85546875" style="96" customWidth="1"/>
    <col min="12045" max="12294" width="11.42578125" style="96"/>
    <col min="12295" max="12295" width="48.5703125" style="96" customWidth="1"/>
    <col min="12296" max="12296" width="15.5703125" style="96" customWidth="1"/>
    <col min="12297" max="12297" width="13.5703125" style="96" bestFit="1" customWidth="1"/>
    <col min="12298" max="12298" width="16.7109375" style="96" customWidth="1"/>
    <col min="12299" max="12299" width="11.42578125" style="96"/>
    <col min="12300" max="12300" width="15.85546875" style="96" customWidth="1"/>
    <col min="12301" max="12550" width="11.42578125" style="96"/>
    <col min="12551" max="12551" width="48.5703125" style="96" customWidth="1"/>
    <col min="12552" max="12552" width="15.5703125" style="96" customWidth="1"/>
    <col min="12553" max="12553" width="13.5703125" style="96" bestFit="1" customWidth="1"/>
    <col min="12554" max="12554" width="16.7109375" style="96" customWidth="1"/>
    <col min="12555" max="12555" width="11.42578125" style="96"/>
    <col min="12556" max="12556" width="15.85546875" style="96" customWidth="1"/>
    <col min="12557" max="12806" width="11.42578125" style="96"/>
    <col min="12807" max="12807" width="48.5703125" style="96" customWidth="1"/>
    <col min="12808" max="12808" width="15.5703125" style="96" customWidth="1"/>
    <col min="12809" max="12809" width="13.5703125" style="96" bestFit="1" customWidth="1"/>
    <col min="12810" max="12810" width="16.7109375" style="96" customWidth="1"/>
    <col min="12811" max="12811" width="11.42578125" style="96"/>
    <col min="12812" max="12812" width="15.85546875" style="96" customWidth="1"/>
    <col min="12813" max="13062" width="11.42578125" style="96"/>
    <col min="13063" max="13063" width="48.5703125" style="96" customWidth="1"/>
    <col min="13064" max="13064" width="15.5703125" style="96" customWidth="1"/>
    <col min="13065" max="13065" width="13.5703125" style="96" bestFit="1" customWidth="1"/>
    <col min="13066" max="13066" width="16.7109375" style="96" customWidth="1"/>
    <col min="13067" max="13067" width="11.42578125" style="96"/>
    <col min="13068" max="13068" width="15.85546875" style="96" customWidth="1"/>
    <col min="13069" max="13318" width="11.42578125" style="96"/>
    <col min="13319" max="13319" width="48.5703125" style="96" customWidth="1"/>
    <col min="13320" max="13320" width="15.5703125" style="96" customWidth="1"/>
    <col min="13321" max="13321" width="13.5703125" style="96" bestFit="1" customWidth="1"/>
    <col min="13322" max="13322" width="16.7109375" style="96" customWidth="1"/>
    <col min="13323" max="13323" width="11.42578125" style="96"/>
    <col min="13324" max="13324" width="15.85546875" style="96" customWidth="1"/>
    <col min="13325" max="13574" width="11.42578125" style="96"/>
    <col min="13575" max="13575" width="48.5703125" style="96" customWidth="1"/>
    <col min="13576" max="13576" width="15.5703125" style="96" customWidth="1"/>
    <col min="13577" max="13577" width="13.5703125" style="96" bestFit="1" customWidth="1"/>
    <col min="13578" max="13578" width="16.7109375" style="96" customWidth="1"/>
    <col min="13579" max="13579" width="11.42578125" style="96"/>
    <col min="13580" max="13580" width="15.85546875" style="96" customWidth="1"/>
    <col min="13581" max="13830" width="11.42578125" style="96"/>
    <col min="13831" max="13831" width="48.5703125" style="96" customWidth="1"/>
    <col min="13832" max="13832" width="15.5703125" style="96" customWidth="1"/>
    <col min="13833" max="13833" width="13.5703125" style="96" bestFit="1" customWidth="1"/>
    <col min="13834" max="13834" width="16.7109375" style="96" customWidth="1"/>
    <col min="13835" max="13835" width="11.42578125" style="96"/>
    <col min="13836" max="13836" width="15.85546875" style="96" customWidth="1"/>
    <col min="13837" max="14086" width="11.42578125" style="96"/>
    <col min="14087" max="14087" width="48.5703125" style="96" customWidth="1"/>
    <col min="14088" max="14088" width="15.5703125" style="96" customWidth="1"/>
    <col min="14089" max="14089" width="13.5703125" style="96" bestFit="1" customWidth="1"/>
    <col min="14090" max="14090" width="16.7109375" style="96" customWidth="1"/>
    <col min="14091" max="14091" width="11.42578125" style="96"/>
    <col min="14092" max="14092" width="15.85546875" style="96" customWidth="1"/>
    <col min="14093" max="14342" width="11.42578125" style="96"/>
    <col min="14343" max="14343" width="48.5703125" style="96" customWidth="1"/>
    <col min="14344" max="14344" width="15.5703125" style="96" customWidth="1"/>
    <col min="14345" max="14345" width="13.5703125" style="96" bestFit="1" customWidth="1"/>
    <col min="14346" max="14346" width="16.7109375" style="96" customWidth="1"/>
    <col min="14347" max="14347" width="11.42578125" style="96"/>
    <col min="14348" max="14348" width="15.85546875" style="96" customWidth="1"/>
    <col min="14349" max="14598" width="11.42578125" style="96"/>
    <col min="14599" max="14599" width="48.5703125" style="96" customWidth="1"/>
    <col min="14600" max="14600" width="15.5703125" style="96" customWidth="1"/>
    <col min="14601" max="14601" width="13.5703125" style="96" bestFit="1" customWidth="1"/>
    <col min="14602" max="14602" width="16.7109375" style="96" customWidth="1"/>
    <col min="14603" max="14603" width="11.42578125" style="96"/>
    <col min="14604" max="14604" width="15.85546875" style="96" customWidth="1"/>
    <col min="14605" max="14854" width="11.42578125" style="96"/>
    <col min="14855" max="14855" width="48.5703125" style="96" customWidth="1"/>
    <col min="14856" max="14856" width="15.5703125" style="96" customWidth="1"/>
    <col min="14857" max="14857" width="13.5703125" style="96" bestFit="1" customWidth="1"/>
    <col min="14858" max="14858" width="16.7109375" style="96" customWidth="1"/>
    <col min="14859" max="14859" width="11.42578125" style="96"/>
    <col min="14860" max="14860" width="15.85546875" style="96" customWidth="1"/>
    <col min="14861" max="15110" width="11.42578125" style="96"/>
    <col min="15111" max="15111" width="48.5703125" style="96" customWidth="1"/>
    <col min="15112" max="15112" width="15.5703125" style="96" customWidth="1"/>
    <col min="15113" max="15113" width="13.5703125" style="96" bestFit="1" customWidth="1"/>
    <col min="15114" max="15114" width="16.7109375" style="96" customWidth="1"/>
    <col min="15115" max="15115" width="11.42578125" style="96"/>
    <col min="15116" max="15116" width="15.85546875" style="96" customWidth="1"/>
    <col min="15117" max="15366" width="11.42578125" style="96"/>
    <col min="15367" max="15367" width="48.5703125" style="96" customWidth="1"/>
    <col min="15368" max="15368" width="15.5703125" style="96" customWidth="1"/>
    <col min="15369" max="15369" width="13.5703125" style="96" bestFit="1" customWidth="1"/>
    <col min="15370" max="15370" width="16.7109375" style="96" customWidth="1"/>
    <col min="15371" max="15371" width="11.42578125" style="96"/>
    <col min="15372" max="15372" width="15.85546875" style="96" customWidth="1"/>
    <col min="15373" max="15622" width="11.42578125" style="96"/>
    <col min="15623" max="15623" width="48.5703125" style="96" customWidth="1"/>
    <col min="15624" max="15624" width="15.5703125" style="96" customWidth="1"/>
    <col min="15625" max="15625" width="13.5703125" style="96" bestFit="1" customWidth="1"/>
    <col min="15626" max="15626" width="16.7109375" style="96" customWidth="1"/>
    <col min="15627" max="15627" width="11.42578125" style="96"/>
    <col min="15628" max="15628" width="15.85546875" style="96" customWidth="1"/>
    <col min="15629" max="15878" width="11.42578125" style="96"/>
    <col min="15879" max="15879" width="48.5703125" style="96" customWidth="1"/>
    <col min="15880" max="15880" width="15.5703125" style="96" customWidth="1"/>
    <col min="15881" max="15881" width="13.5703125" style="96" bestFit="1" customWidth="1"/>
    <col min="15882" max="15882" width="16.7109375" style="96" customWidth="1"/>
    <col min="15883" max="15883" width="11.42578125" style="96"/>
    <col min="15884" max="15884" width="15.85546875" style="96" customWidth="1"/>
    <col min="15885" max="16134" width="11.42578125" style="96"/>
    <col min="16135" max="16135" width="48.5703125" style="96" customWidth="1"/>
    <col min="16136" max="16136" width="15.5703125" style="96" customWidth="1"/>
    <col min="16137" max="16137" width="13.5703125" style="96" bestFit="1" customWidth="1"/>
    <col min="16138" max="16138" width="16.7109375" style="96" customWidth="1"/>
    <col min="16139" max="16139" width="11.42578125" style="96"/>
    <col min="16140" max="16140" width="15.85546875" style="96" customWidth="1"/>
    <col min="16141" max="16384" width="11.42578125" style="96"/>
  </cols>
  <sheetData>
    <row r="2" spans="7:10" ht="21" customHeight="1" x14ac:dyDescent="0.3">
      <c r="G2" s="94" t="s">
        <v>78</v>
      </c>
      <c r="H2" s="95" t="s">
        <v>79</v>
      </c>
      <c r="I2" s="234"/>
      <c r="J2" s="95" t="s">
        <v>80</v>
      </c>
    </row>
    <row r="3" spans="7:10" x14ac:dyDescent="0.3">
      <c r="G3" s="18" t="str">
        <f>+PO!C17</f>
        <v>Director de Interventoria</v>
      </c>
      <c r="H3" s="236">
        <f>+I3-100000</f>
        <v>5900000</v>
      </c>
      <c r="I3" s="236">
        <f>+PO!D17</f>
        <v>6000000</v>
      </c>
      <c r="J3" s="236">
        <f>+I3+100000</f>
        <v>6100000</v>
      </c>
    </row>
    <row r="4" spans="7:10" x14ac:dyDescent="0.3">
      <c r="G4" s="233" t="str">
        <f>+PO!C18</f>
        <v>Ingeniero Residente de Interventoría</v>
      </c>
      <c r="H4" s="236">
        <f t="shared" ref="H4:H16" si="0">+I4-100000</f>
        <v>4400000</v>
      </c>
      <c r="I4" s="236">
        <f>+PO!D18</f>
        <v>4500000</v>
      </c>
      <c r="J4" s="236">
        <f t="shared" ref="J4:J16" si="1">+I4+100000</f>
        <v>4600000</v>
      </c>
    </row>
    <row r="5" spans="7:10" x14ac:dyDescent="0.3">
      <c r="G5" s="233" t="str">
        <f>+PO!C19</f>
        <v>Profesional Ambiental</v>
      </c>
      <c r="H5" s="236">
        <f t="shared" si="0"/>
        <v>3400000</v>
      </c>
      <c r="I5" s="236">
        <f>+PO!D19</f>
        <v>3500000</v>
      </c>
      <c r="J5" s="236">
        <f t="shared" si="1"/>
        <v>3600000</v>
      </c>
    </row>
    <row r="6" spans="7:10" x14ac:dyDescent="0.3">
      <c r="G6" s="233" t="str">
        <f>+PO!C20</f>
        <v>Profesional Técnico Predial</v>
      </c>
      <c r="H6" s="236">
        <f t="shared" si="0"/>
        <v>3400000</v>
      </c>
      <c r="I6" s="236">
        <f>+PO!D20</f>
        <v>3500000</v>
      </c>
      <c r="J6" s="236">
        <f t="shared" si="1"/>
        <v>3600000</v>
      </c>
    </row>
    <row r="7" spans="7:10" x14ac:dyDescent="0.3">
      <c r="G7" s="233" t="str">
        <f>+PO!C21</f>
        <v>Especialista en Geologia y/o Geotecnia</v>
      </c>
      <c r="H7" s="236">
        <f t="shared" si="0"/>
        <v>5900000</v>
      </c>
      <c r="I7" s="236">
        <f>+PO!D21</f>
        <v>6000000</v>
      </c>
      <c r="J7" s="236">
        <f t="shared" si="1"/>
        <v>6100000</v>
      </c>
    </row>
    <row r="8" spans="7:10" x14ac:dyDescent="0.3">
      <c r="G8" s="233" t="str">
        <f>+PO!C22</f>
        <v>Especialista en Estructuras</v>
      </c>
      <c r="H8" s="236">
        <f t="shared" si="0"/>
        <v>5900000</v>
      </c>
      <c r="I8" s="236">
        <f>+PO!D22</f>
        <v>6000000</v>
      </c>
      <c r="J8" s="236">
        <f t="shared" si="1"/>
        <v>6100000</v>
      </c>
    </row>
    <row r="9" spans="7:10" x14ac:dyDescent="0.3">
      <c r="G9" s="233" t="str">
        <f>+PO!C23</f>
        <v xml:space="preserve">Especialista en Pavimentos y/o Vias </v>
      </c>
      <c r="H9" s="236">
        <f t="shared" si="0"/>
        <v>5900000</v>
      </c>
      <c r="I9" s="236">
        <f>+PO!D23</f>
        <v>6000000</v>
      </c>
      <c r="J9" s="236">
        <f t="shared" si="1"/>
        <v>6100000</v>
      </c>
    </row>
    <row r="10" spans="7:10" x14ac:dyDescent="0.3">
      <c r="G10" s="233" t="str">
        <f>+PO!C24</f>
        <v>Especialista en Hidráulica e Hidrología</v>
      </c>
      <c r="H10" s="236">
        <f t="shared" si="0"/>
        <v>5900000</v>
      </c>
      <c r="I10" s="236">
        <f>+PO!D24</f>
        <v>6000000</v>
      </c>
      <c r="J10" s="236">
        <f t="shared" si="1"/>
        <v>6100000</v>
      </c>
    </row>
    <row r="11" spans="7:10" x14ac:dyDescent="0.3">
      <c r="G11" s="233" t="str">
        <f>+PO!C25</f>
        <v>Profesional de Aseguramiento o Gestión de la Calidad</v>
      </c>
      <c r="H11" s="236">
        <f t="shared" si="0"/>
        <v>3300000</v>
      </c>
      <c r="I11" s="236">
        <f>+PO!D25</f>
        <v>3400000</v>
      </c>
      <c r="J11" s="236">
        <f t="shared" si="1"/>
        <v>3500000</v>
      </c>
    </row>
    <row r="12" spans="7:10" x14ac:dyDescent="0.3">
      <c r="G12" s="233" t="str">
        <f>+PO!C26</f>
        <v xml:space="preserve">Profesional Juridico Predial </v>
      </c>
      <c r="H12" s="236">
        <f t="shared" si="0"/>
        <v>3400000</v>
      </c>
      <c r="I12" s="236">
        <f>+PO!D26</f>
        <v>3500000</v>
      </c>
      <c r="J12" s="236">
        <f t="shared" si="1"/>
        <v>3600000</v>
      </c>
    </row>
    <row r="13" spans="7:10" x14ac:dyDescent="0.3">
      <c r="G13" s="233" t="str">
        <f>+PO!C28</f>
        <v xml:space="preserve">Topógrafo Inspector </v>
      </c>
      <c r="H13" s="236">
        <f t="shared" si="0"/>
        <v>1900000</v>
      </c>
      <c r="I13" s="236">
        <f>+PO!D28</f>
        <v>2000000</v>
      </c>
      <c r="J13" s="236">
        <f t="shared" si="1"/>
        <v>2100000</v>
      </c>
    </row>
    <row r="14" spans="7:10" x14ac:dyDescent="0.3">
      <c r="G14" s="233" t="str">
        <f>+PO!C29</f>
        <v xml:space="preserve">Laboratorista Inspector </v>
      </c>
      <c r="H14" s="236">
        <f t="shared" si="0"/>
        <v>1900000</v>
      </c>
      <c r="I14" s="236">
        <f>+PO!D29</f>
        <v>2000000</v>
      </c>
      <c r="J14" s="236">
        <f t="shared" si="1"/>
        <v>2100000</v>
      </c>
    </row>
    <row r="15" spans="7:10" x14ac:dyDescent="0.3">
      <c r="G15" s="233" t="str">
        <f>+PO!C30</f>
        <v>Inspector SST</v>
      </c>
      <c r="H15" s="236">
        <f t="shared" si="0"/>
        <v>1000000</v>
      </c>
      <c r="I15" s="236">
        <f>+PO!D30</f>
        <v>1100000</v>
      </c>
      <c r="J15" s="236">
        <f t="shared" si="1"/>
        <v>1200000</v>
      </c>
    </row>
    <row r="16" spans="7:10" x14ac:dyDescent="0.3">
      <c r="G16" s="233" t="str">
        <f>+PO!C32</f>
        <v>Cadenero</v>
      </c>
      <c r="H16" s="236">
        <f t="shared" si="0"/>
        <v>1000000</v>
      </c>
      <c r="I16" s="236">
        <f>+PO!D32</f>
        <v>1100000</v>
      </c>
      <c r="J16" s="236">
        <f t="shared" si="1"/>
        <v>1200000</v>
      </c>
    </row>
    <row r="17" spans="7:10" x14ac:dyDescent="0.3">
      <c r="G17" s="18" t="s">
        <v>100</v>
      </c>
      <c r="H17" s="236">
        <v>180000</v>
      </c>
      <c r="I17" s="236">
        <f>+PO!E47</f>
        <v>180000</v>
      </c>
      <c r="J17" s="236">
        <v>207000</v>
      </c>
    </row>
    <row r="18" spans="7:10" ht="40.5" x14ac:dyDescent="0.3">
      <c r="G18" s="53" t="s">
        <v>101</v>
      </c>
      <c r="H18" s="236">
        <v>4000000</v>
      </c>
      <c r="I18" s="236">
        <f>+PO!E49</f>
        <v>4000000</v>
      </c>
      <c r="J18" s="236">
        <v>5000000</v>
      </c>
    </row>
    <row r="19" spans="7:10" x14ac:dyDescent="0.3">
      <c r="G19" s="18" t="s">
        <v>102</v>
      </c>
      <c r="H19" s="236">
        <v>1800000</v>
      </c>
      <c r="I19" s="236">
        <f>+PO!E50</f>
        <v>2500000</v>
      </c>
      <c r="J19" s="236">
        <v>2500000</v>
      </c>
    </row>
    <row r="20" spans="7:10" ht="39" customHeight="1" x14ac:dyDescent="0.3">
      <c r="G20" s="18" t="s">
        <v>103</v>
      </c>
      <c r="H20" s="236">
        <v>1800000</v>
      </c>
      <c r="I20" s="236">
        <f>+PO!E51</f>
        <v>1800000</v>
      </c>
      <c r="J20" s="236">
        <v>2500000</v>
      </c>
    </row>
    <row r="21" spans="7:10" x14ac:dyDescent="0.3">
      <c r="G21" s="18" t="s">
        <v>104</v>
      </c>
      <c r="H21" s="236">
        <v>1000000</v>
      </c>
      <c r="I21" s="236">
        <f>+PO!E52</f>
        <v>1000000</v>
      </c>
      <c r="J21" s="236">
        <v>1500000</v>
      </c>
    </row>
    <row r="22" spans="7:10" ht="43.5" customHeight="1" x14ac:dyDescent="0.3">
      <c r="G22" s="21" t="s">
        <v>12</v>
      </c>
      <c r="H22" s="236">
        <v>800000</v>
      </c>
      <c r="I22" s="236">
        <f>+PO!E54</f>
        <v>1200000</v>
      </c>
      <c r="J22" s="231">
        <v>1200000</v>
      </c>
    </row>
    <row r="23" spans="7:10" ht="27" x14ac:dyDescent="0.3">
      <c r="G23" s="18" t="s">
        <v>105</v>
      </c>
      <c r="H23" s="236">
        <v>400000</v>
      </c>
      <c r="I23" s="236">
        <f>+PO!E55</f>
        <v>400000</v>
      </c>
      <c r="J23" s="236">
        <v>600000</v>
      </c>
    </row>
    <row r="24" spans="7:10" ht="31.5" customHeight="1" x14ac:dyDescent="0.3">
      <c r="G24" s="18" t="s">
        <v>106</v>
      </c>
      <c r="H24" s="236">
        <v>300000</v>
      </c>
      <c r="I24" s="236">
        <f>+PO!E56</f>
        <v>300000</v>
      </c>
      <c r="J24" s="236">
        <v>500000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AG57"/>
  <sheetViews>
    <sheetView topLeftCell="A11" zoomScale="55" zoomScaleNormal="55" workbookViewId="0">
      <selection activeCell="V35" sqref="V35"/>
    </sheetView>
  </sheetViews>
  <sheetFormatPr baseColWidth="10" defaultColWidth="10.140625" defaultRowHeight="16.5" x14ac:dyDescent="0.25"/>
  <cols>
    <col min="1" max="1" width="49.5703125" style="54" customWidth="1"/>
    <col min="2" max="17" width="3.28515625" style="54" customWidth="1"/>
    <col min="18" max="18" width="90" style="54" customWidth="1"/>
    <col min="19" max="19" width="17" style="86" customWidth="1"/>
    <col min="20" max="20" width="16.42578125" style="87" customWidth="1"/>
    <col min="21" max="21" width="15.85546875" style="86" customWidth="1"/>
    <col min="22" max="22" width="17.42578125" style="86" customWidth="1"/>
    <col min="23" max="23" width="20.140625" style="86" customWidth="1"/>
    <col min="24" max="24" width="22.42578125" style="86" customWidth="1"/>
    <col min="25" max="25" width="17.5703125" style="86" customWidth="1"/>
    <col min="26" max="26" width="18.42578125" style="86" customWidth="1"/>
    <col min="27" max="27" width="15.85546875" style="86" customWidth="1"/>
    <col min="28" max="28" width="18.7109375" style="86" customWidth="1"/>
    <col min="29" max="29" width="18.28515625" style="54" customWidth="1"/>
    <col min="30" max="30" width="18.42578125" style="54" customWidth="1"/>
    <col min="31" max="31" width="19.28515625" style="54" customWidth="1"/>
    <col min="32" max="32" width="20.7109375" style="54" customWidth="1"/>
    <col min="33" max="238" width="10.140625" style="54"/>
    <col min="239" max="239" width="36.28515625" style="54" customWidth="1"/>
    <col min="240" max="263" width="3.28515625" style="54" customWidth="1"/>
    <col min="264" max="264" width="44.140625" style="54" customWidth="1"/>
    <col min="265" max="282" width="9.85546875" style="54" customWidth="1"/>
    <col min="283" max="494" width="10.140625" style="54"/>
    <col min="495" max="495" width="36.28515625" style="54" customWidth="1"/>
    <col min="496" max="519" width="3.28515625" style="54" customWidth="1"/>
    <col min="520" max="520" width="44.140625" style="54" customWidth="1"/>
    <col min="521" max="538" width="9.85546875" style="54" customWidth="1"/>
    <col min="539" max="750" width="10.140625" style="54"/>
    <col min="751" max="751" width="36.28515625" style="54" customWidth="1"/>
    <col min="752" max="775" width="3.28515625" style="54" customWidth="1"/>
    <col min="776" max="776" width="44.140625" style="54" customWidth="1"/>
    <col min="777" max="794" width="9.85546875" style="54" customWidth="1"/>
    <col min="795" max="1006" width="10.140625" style="54"/>
    <col min="1007" max="1007" width="36.28515625" style="54" customWidth="1"/>
    <col min="1008" max="1031" width="3.28515625" style="54" customWidth="1"/>
    <col min="1032" max="1032" width="44.140625" style="54" customWidth="1"/>
    <col min="1033" max="1050" width="9.85546875" style="54" customWidth="1"/>
    <col min="1051" max="1262" width="10.140625" style="54"/>
    <col min="1263" max="1263" width="36.28515625" style="54" customWidth="1"/>
    <col min="1264" max="1287" width="3.28515625" style="54" customWidth="1"/>
    <col min="1288" max="1288" width="44.140625" style="54" customWidth="1"/>
    <col min="1289" max="1306" width="9.85546875" style="54" customWidth="1"/>
    <col min="1307" max="1518" width="10.140625" style="54"/>
    <col min="1519" max="1519" width="36.28515625" style="54" customWidth="1"/>
    <col min="1520" max="1543" width="3.28515625" style="54" customWidth="1"/>
    <col min="1544" max="1544" width="44.140625" style="54" customWidth="1"/>
    <col min="1545" max="1562" width="9.85546875" style="54" customWidth="1"/>
    <col min="1563" max="1774" width="10.140625" style="54"/>
    <col min="1775" max="1775" width="36.28515625" style="54" customWidth="1"/>
    <col min="1776" max="1799" width="3.28515625" style="54" customWidth="1"/>
    <col min="1800" max="1800" width="44.140625" style="54" customWidth="1"/>
    <col min="1801" max="1818" width="9.85546875" style="54" customWidth="1"/>
    <col min="1819" max="2030" width="10.140625" style="54"/>
    <col min="2031" max="2031" width="36.28515625" style="54" customWidth="1"/>
    <col min="2032" max="2055" width="3.28515625" style="54" customWidth="1"/>
    <col min="2056" max="2056" width="44.140625" style="54" customWidth="1"/>
    <col min="2057" max="2074" width="9.85546875" style="54" customWidth="1"/>
    <col min="2075" max="2286" width="10.140625" style="54"/>
    <col min="2287" max="2287" width="36.28515625" style="54" customWidth="1"/>
    <col min="2288" max="2311" width="3.28515625" style="54" customWidth="1"/>
    <col min="2312" max="2312" width="44.140625" style="54" customWidth="1"/>
    <col min="2313" max="2330" width="9.85546875" style="54" customWidth="1"/>
    <col min="2331" max="2542" width="10.140625" style="54"/>
    <col min="2543" max="2543" width="36.28515625" style="54" customWidth="1"/>
    <col min="2544" max="2567" width="3.28515625" style="54" customWidth="1"/>
    <col min="2568" max="2568" width="44.140625" style="54" customWidth="1"/>
    <col min="2569" max="2586" width="9.85546875" style="54" customWidth="1"/>
    <col min="2587" max="2798" width="10.140625" style="54"/>
    <col min="2799" max="2799" width="36.28515625" style="54" customWidth="1"/>
    <col min="2800" max="2823" width="3.28515625" style="54" customWidth="1"/>
    <col min="2824" max="2824" width="44.140625" style="54" customWidth="1"/>
    <col min="2825" max="2842" width="9.85546875" style="54" customWidth="1"/>
    <col min="2843" max="3054" width="10.140625" style="54"/>
    <col min="3055" max="3055" width="36.28515625" style="54" customWidth="1"/>
    <col min="3056" max="3079" width="3.28515625" style="54" customWidth="1"/>
    <col min="3080" max="3080" width="44.140625" style="54" customWidth="1"/>
    <col min="3081" max="3098" width="9.85546875" style="54" customWidth="1"/>
    <col min="3099" max="3310" width="10.140625" style="54"/>
    <col min="3311" max="3311" width="36.28515625" style="54" customWidth="1"/>
    <col min="3312" max="3335" width="3.28515625" style="54" customWidth="1"/>
    <col min="3336" max="3336" width="44.140625" style="54" customWidth="1"/>
    <col min="3337" max="3354" width="9.85546875" style="54" customWidth="1"/>
    <col min="3355" max="3566" width="10.140625" style="54"/>
    <col min="3567" max="3567" width="36.28515625" style="54" customWidth="1"/>
    <col min="3568" max="3591" width="3.28515625" style="54" customWidth="1"/>
    <col min="3592" max="3592" width="44.140625" style="54" customWidth="1"/>
    <col min="3593" max="3610" width="9.85546875" style="54" customWidth="1"/>
    <col min="3611" max="3822" width="10.140625" style="54"/>
    <col min="3823" max="3823" width="36.28515625" style="54" customWidth="1"/>
    <col min="3824" max="3847" width="3.28515625" style="54" customWidth="1"/>
    <col min="3848" max="3848" width="44.140625" style="54" customWidth="1"/>
    <col min="3849" max="3866" width="9.85546875" style="54" customWidth="1"/>
    <col min="3867" max="4078" width="10.140625" style="54"/>
    <col min="4079" max="4079" width="36.28515625" style="54" customWidth="1"/>
    <col min="4080" max="4103" width="3.28515625" style="54" customWidth="1"/>
    <col min="4104" max="4104" width="44.140625" style="54" customWidth="1"/>
    <col min="4105" max="4122" width="9.85546875" style="54" customWidth="1"/>
    <col min="4123" max="4334" width="10.140625" style="54"/>
    <col min="4335" max="4335" width="36.28515625" style="54" customWidth="1"/>
    <col min="4336" max="4359" width="3.28515625" style="54" customWidth="1"/>
    <col min="4360" max="4360" width="44.140625" style="54" customWidth="1"/>
    <col min="4361" max="4378" width="9.85546875" style="54" customWidth="1"/>
    <col min="4379" max="4590" width="10.140625" style="54"/>
    <col min="4591" max="4591" width="36.28515625" style="54" customWidth="1"/>
    <col min="4592" max="4615" width="3.28515625" style="54" customWidth="1"/>
    <col min="4616" max="4616" width="44.140625" style="54" customWidth="1"/>
    <col min="4617" max="4634" width="9.85546875" style="54" customWidth="1"/>
    <col min="4635" max="4846" width="10.140625" style="54"/>
    <col min="4847" max="4847" width="36.28515625" style="54" customWidth="1"/>
    <col min="4848" max="4871" width="3.28515625" style="54" customWidth="1"/>
    <col min="4872" max="4872" width="44.140625" style="54" customWidth="1"/>
    <col min="4873" max="4890" width="9.85546875" style="54" customWidth="1"/>
    <col min="4891" max="5102" width="10.140625" style="54"/>
    <col min="5103" max="5103" width="36.28515625" style="54" customWidth="1"/>
    <col min="5104" max="5127" width="3.28515625" style="54" customWidth="1"/>
    <col min="5128" max="5128" width="44.140625" style="54" customWidth="1"/>
    <col min="5129" max="5146" width="9.85546875" style="54" customWidth="1"/>
    <col min="5147" max="5358" width="10.140625" style="54"/>
    <col min="5359" max="5359" width="36.28515625" style="54" customWidth="1"/>
    <col min="5360" max="5383" width="3.28515625" style="54" customWidth="1"/>
    <col min="5384" max="5384" width="44.140625" style="54" customWidth="1"/>
    <col min="5385" max="5402" width="9.85546875" style="54" customWidth="1"/>
    <col min="5403" max="5614" width="10.140625" style="54"/>
    <col min="5615" max="5615" width="36.28515625" style="54" customWidth="1"/>
    <col min="5616" max="5639" width="3.28515625" style="54" customWidth="1"/>
    <col min="5640" max="5640" width="44.140625" style="54" customWidth="1"/>
    <col min="5641" max="5658" width="9.85546875" style="54" customWidth="1"/>
    <col min="5659" max="5870" width="10.140625" style="54"/>
    <col min="5871" max="5871" width="36.28515625" style="54" customWidth="1"/>
    <col min="5872" max="5895" width="3.28515625" style="54" customWidth="1"/>
    <col min="5896" max="5896" width="44.140625" style="54" customWidth="1"/>
    <col min="5897" max="5914" width="9.85546875" style="54" customWidth="1"/>
    <col min="5915" max="6126" width="10.140625" style="54"/>
    <col min="6127" max="6127" width="36.28515625" style="54" customWidth="1"/>
    <col min="6128" max="6151" width="3.28515625" style="54" customWidth="1"/>
    <col min="6152" max="6152" width="44.140625" style="54" customWidth="1"/>
    <col min="6153" max="6170" width="9.85546875" style="54" customWidth="1"/>
    <col min="6171" max="6382" width="10.140625" style="54"/>
    <col min="6383" max="6383" width="36.28515625" style="54" customWidth="1"/>
    <col min="6384" max="6407" width="3.28515625" style="54" customWidth="1"/>
    <col min="6408" max="6408" width="44.140625" style="54" customWidth="1"/>
    <col min="6409" max="6426" width="9.85546875" style="54" customWidth="1"/>
    <col min="6427" max="6638" width="10.140625" style="54"/>
    <col min="6639" max="6639" width="36.28515625" style="54" customWidth="1"/>
    <col min="6640" max="6663" width="3.28515625" style="54" customWidth="1"/>
    <col min="6664" max="6664" width="44.140625" style="54" customWidth="1"/>
    <col min="6665" max="6682" width="9.85546875" style="54" customWidth="1"/>
    <col min="6683" max="6894" width="10.140625" style="54"/>
    <col min="6895" max="6895" width="36.28515625" style="54" customWidth="1"/>
    <col min="6896" max="6919" width="3.28515625" style="54" customWidth="1"/>
    <col min="6920" max="6920" width="44.140625" style="54" customWidth="1"/>
    <col min="6921" max="6938" width="9.85546875" style="54" customWidth="1"/>
    <col min="6939" max="7150" width="10.140625" style="54"/>
    <col min="7151" max="7151" width="36.28515625" style="54" customWidth="1"/>
    <col min="7152" max="7175" width="3.28515625" style="54" customWidth="1"/>
    <col min="7176" max="7176" width="44.140625" style="54" customWidth="1"/>
    <col min="7177" max="7194" width="9.85546875" style="54" customWidth="1"/>
    <col min="7195" max="7406" width="10.140625" style="54"/>
    <col min="7407" max="7407" width="36.28515625" style="54" customWidth="1"/>
    <col min="7408" max="7431" width="3.28515625" style="54" customWidth="1"/>
    <col min="7432" max="7432" width="44.140625" style="54" customWidth="1"/>
    <col min="7433" max="7450" width="9.85546875" style="54" customWidth="1"/>
    <col min="7451" max="7662" width="10.140625" style="54"/>
    <col min="7663" max="7663" width="36.28515625" style="54" customWidth="1"/>
    <col min="7664" max="7687" width="3.28515625" style="54" customWidth="1"/>
    <col min="7688" max="7688" width="44.140625" style="54" customWidth="1"/>
    <col min="7689" max="7706" width="9.85546875" style="54" customWidth="1"/>
    <col min="7707" max="7918" width="10.140625" style="54"/>
    <col min="7919" max="7919" width="36.28515625" style="54" customWidth="1"/>
    <col min="7920" max="7943" width="3.28515625" style="54" customWidth="1"/>
    <col min="7944" max="7944" width="44.140625" style="54" customWidth="1"/>
    <col min="7945" max="7962" width="9.85546875" style="54" customWidth="1"/>
    <col min="7963" max="8174" width="10.140625" style="54"/>
    <col min="8175" max="8175" width="36.28515625" style="54" customWidth="1"/>
    <col min="8176" max="8199" width="3.28515625" style="54" customWidth="1"/>
    <col min="8200" max="8200" width="44.140625" style="54" customWidth="1"/>
    <col min="8201" max="8218" width="9.85546875" style="54" customWidth="1"/>
    <col min="8219" max="8430" width="10.140625" style="54"/>
    <col min="8431" max="8431" width="36.28515625" style="54" customWidth="1"/>
    <col min="8432" max="8455" width="3.28515625" style="54" customWidth="1"/>
    <col min="8456" max="8456" width="44.140625" style="54" customWidth="1"/>
    <col min="8457" max="8474" width="9.85546875" style="54" customWidth="1"/>
    <col min="8475" max="8686" width="10.140625" style="54"/>
    <col min="8687" max="8687" width="36.28515625" style="54" customWidth="1"/>
    <col min="8688" max="8711" width="3.28515625" style="54" customWidth="1"/>
    <col min="8712" max="8712" width="44.140625" style="54" customWidth="1"/>
    <col min="8713" max="8730" width="9.85546875" style="54" customWidth="1"/>
    <col min="8731" max="8942" width="10.140625" style="54"/>
    <col min="8943" max="8943" width="36.28515625" style="54" customWidth="1"/>
    <col min="8944" max="8967" width="3.28515625" style="54" customWidth="1"/>
    <col min="8968" max="8968" width="44.140625" style="54" customWidth="1"/>
    <col min="8969" max="8986" width="9.85546875" style="54" customWidth="1"/>
    <col min="8987" max="9198" width="10.140625" style="54"/>
    <col min="9199" max="9199" width="36.28515625" style="54" customWidth="1"/>
    <col min="9200" max="9223" width="3.28515625" style="54" customWidth="1"/>
    <col min="9224" max="9224" width="44.140625" style="54" customWidth="1"/>
    <col min="9225" max="9242" width="9.85546875" style="54" customWidth="1"/>
    <col min="9243" max="9454" width="10.140625" style="54"/>
    <col min="9455" max="9455" width="36.28515625" style="54" customWidth="1"/>
    <col min="9456" max="9479" width="3.28515625" style="54" customWidth="1"/>
    <col min="9480" max="9480" width="44.140625" style="54" customWidth="1"/>
    <col min="9481" max="9498" width="9.85546875" style="54" customWidth="1"/>
    <col min="9499" max="9710" width="10.140625" style="54"/>
    <col min="9711" max="9711" width="36.28515625" style="54" customWidth="1"/>
    <col min="9712" max="9735" width="3.28515625" style="54" customWidth="1"/>
    <col min="9736" max="9736" width="44.140625" style="54" customWidth="1"/>
    <col min="9737" max="9754" width="9.85546875" style="54" customWidth="1"/>
    <col min="9755" max="9966" width="10.140625" style="54"/>
    <col min="9967" max="9967" width="36.28515625" style="54" customWidth="1"/>
    <col min="9968" max="9991" width="3.28515625" style="54" customWidth="1"/>
    <col min="9992" max="9992" width="44.140625" style="54" customWidth="1"/>
    <col min="9993" max="10010" width="9.85546875" style="54" customWidth="1"/>
    <col min="10011" max="10222" width="10.140625" style="54"/>
    <col min="10223" max="10223" width="36.28515625" style="54" customWidth="1"/>
    <col min="10224" max="10247" width="3.28515625" style="54" customWidth="1"/>
    <col min="10248" max="10248" width="44.140625" style="54" customWidth="1"/>
    <col min="10249" max="10266" width="9.85546875" style="54" customWidth="1"/>
    <col min="10267" max="10478" width="10.140625" style="54"/>
    <col min="10479" max="10479" width="36.28515625" style="54" customWidth="1"/>
    <col min="10480" max="10503" width="3.28515625" style="54" customWidth="1"/>
    <col min="10504" max="10504" width="44.140625" style="54" customWidth="1"/>
    <col min="10505" max="10522" width="9.85546875" style="54" customWidth="1"/>
    <col min="10523" max="10734" width="10.140625" style="54"/>
    <col min="10735" max="10735" width="36.28515625" style="54" customWidth="1"/>
    <col min="10736" max="10759" width="3.28515625" style="54" customWidth="1"/>
    <col min="10760" max="10760" width="44.140625" style="54" customWidth="1"/>
    <col min="10761" max="10778" width="9.85546875" style="54" customWidth="1"/>
    <col min="10779" max="10990" width="10.140625" style="54"/>
    <col min="10991" max="10991" width="36.28515625" style="54" customWidth="1"/>
    <col min="10992" max="11015" width="3.28515625" style="54" customWidth="1"/>
    <col min="11016" max="11016" width="44.140625" style="54" customWidth="1"/>
    <col min="11017" max="11034" width="9.85546875" style="54" customWidth="1"/>
    <col min="11035" max="11246" width="10.140625" style="54"/>
    <col min="11247" max="11247" width="36.28515625" style="54" customWidth="1"/>
    <col min="11248" max="11271" width="3.28515625" style="54" customWidth="1"/>
    <col min="11272" max="11272" width="44.140625" style="54" customWidth="1"/>
    <col min="11273" max="11290" width="9.85546875" style="54" customWidth="1"/>
    <col min="11291" max="11502" width="10.140625" style="54"/>
    <col min="11503" max="11503" width="36.28515625" style="54" customWidth="1"/>
    <col min="11504" max="11527" width="3.28515625" style="54" customWidth="1"/>
    <col min="11528" max="11528" width="44.140625" style="54" customWidth="1"/>
    <col min="11529" max="11546" width="9.85546875" style="54" customWidth="1"/>
    <col min="11547" max="11758" width="10.140625" style="54"/>
    <col min="11759" max="11759" width="36.28515625" style="54" customWidth="1"/>
    <col min="11760" max="11783" width="3.28515625" style="54" customWidth="1"/>
    <col min="11784" max="11784" width="44.140625" style="54" customWidth="1"/>
    <col min="11785" max="11802" width="9.85546875" style="54" customWidth="1"/>
    <col min="11803" max="12014" width="10.140625" style="54"/>
    <col min="12015" max="12015" width="36.28515625" style="54" customWidth="1"/>
    <col min="12016" max="12039" width="3.28515625" style="54" customWidth="1"/>
    <col min="12040" max="12040" width="44.140625" style="54" customWidth="1"/>
    <col min="12041" max="12058" width="9.85546875" style="54" customWidth="1"/>
    <col min="12059" max="12270" width="10.140625" style="54"/>
    <col min="12271" max="12271" width="36.28515625" style="54" customWidth="1"/>
    <col min="12272" max="12295" width="3.28515625" style="54" customWidth="1"/>
    <col min="12296" max="12296" width="44.140625" style="54" customWidth="1"/>
    <col min="12297" max="12314" width="9.85546875" style="54" customWidth="1"/>
    <col min="12315" max="12526" width="10.140625" style="54"/>
    <col min="12527" max="12527" width="36.28515625" style="54" customWidth="1"/>
    <col min="12528" max="12551" width="3.28515625" style="54" customWidth="1"/>
    <col min="12552" max="12552" width="44.140625" style="54" customWidth="1"/>
    <col min="12553" max="12570" width="9.85546875" style="54" customWidth="1"/>
    <col min="12571" max="12782" width="10.140625" style="54"/>
    <col min="12783" max="12783" width="36.28515625" style="54" customWidth="1"/>
    <col min="12784" max="12807" width="3.28515625" style="54" customWidth="1"/>
    <col min="12808" max="12808" width="44.140625" style="54" customWidth="1"/>
    <col min="12809" max="12826" width="9.85546875" style="54" customWidth="1"/>
    <col min="12827" max="13038" width="10.140625" style="54"/>
    <col min="13039" max="13039" width="36.28515625" style="54" customWidth="1"/>
    <col min="13040" max="13063" width="3.28515625" style="54" customWidth="1"/>
    <col min="13064" max="13064" width="44.140625" style="54" customWidth="1"/>
    <col min="13065" max="13082" width="9.85546875" style="54" customWidth="1"/>
    <col min="13083" max="13294" width="10.140625" style="54"/>
    <col min="13295" max="13295" width="36.28515625" style="54" customWidth="1"/>
    <col min="13296" max="13319" width="3.28515625" style="54" customWidth="1"/>
    <col min="13320" max="13320" width="44.140625" style="54" customWidth="1"/>
    <col min="13321" max="13338" width="9.85546875" style="54" customWidth="1"/>
    <col min="13339" max="13550" width="10.140625" style="54"/>
    <col min="13551" max="13551" width="36.28515625" style="54" customWidth="1"/>
    <col min="13552" max="13575" width="3.28515625" style="54" customWidth="1"/>
    <col min="13576" max="13576" width="44.140625" style="54" customWidth="1"/>
    <col min="13577" max="13594" width="9.85546875" style="54" customWidth="1"/>
    <col min="13595" max="13806" width="10.140625" style="54"/>
    <col min="13807" max="13807" width="36.28515625" style="54" customWidth="1"/>
    <col min="13808" max="13831" width="3.28515625" style="54" customWidth="1"/>
    <col min="13832" max="13832" width="44.140625" style="54" customWidth="1"/>
    <col min="13833" max="13850" width="9.85546875" style="54" customWidth="1"/>
    <col min="13851" max="14062" width="10.140625" style="54"/>
    <col min="14063" max="14063" width="36.28515625" style="54" customWidth="1"/>
    <col min="14064" max="14087" width="3.28515625" style="54" customWidth="1"/>
    <col min="14088" max="14088" width="44.140625" style="54" customWidth="1"/>
    <col min="14089" max="14106" width="9.85546875" style="54" customWidth="1"/>
    <col min="14107" max="14318" width="10.140625" style="54"/>
    <col min="14319" max="14319" width="36.28515625" style="54" customWidth="1"/>
    <col min="14320" max="14343" width="3.28515625" style="54" customWidth="1"/>
    <col min="14344" max="14344" width="44.140625" style="54" customWidth="1"/>
    <col min="14345" max="14362" width="9.85546875" style="54" customWidth="1"/>
    <col min="14363" max="14574" width="10.140625" style="54"/>
    <col min="14575" max="14575" width="36.28515625" style="54" customWidth="1"/>
    <col min="14576" max="14599" width="3.28515625" style="54" customWidth="1"/>
    <col min="14600" max="14600" width="44.140625" style="54" customWidth="1"/>
    <col min="14601" max="14618" width="9.85546875" style="54" customWidth="1"/>
    <col min="14619" max="14830" width="10.140625" style="54"/>
    <col min="14831" max="14831" width="36.28515625" style="54" customWidth="1"/>
    <col min="14832" max="14855" width="3.28515625" style="54" customWidth="1"/>
    <col min="14856" max="14856" width="44.140625" style="54" customWidth="1"/>
    <col min="14857" max="14874" width="9.85546875" style="54" customWidth="1"/>
    <col min="14875" max="15086" width="10.140625" style="54"/>
    <col min="15087" max="15087" width="36.28515625" style="54" customWidth="1"/>
    <col min="15088" max="15111" width="3.28515625" style="54" customWidth="1"/>
    <col min="15112" max="15112" width="44.140625" style="54" customWidth="1"/>
    <col min="15113" max="15130" width="9.85546875" style="54" customWidth="1"/>
    <col min="15131" max="15342" width="10.140625" style="54"/>
    <col min="15343" max="15343" width="36.28515625" style="54" customWidth="1"/>
    <col min="15344" max="15367" width="3.28515625" style="54" customWidth="1"/>
    <col min="15368" max="15368" width="44.140625" style="54" customWidth="1"/>
    <col min="15369" max="15386" width="9.85546875" style="54" customWidth="1"/>
    <col min="15387" max="15598" width="10.140625" style="54"/>
    <col min="15599" max="15599" width="36.28515625" style="54" customWidth="1"/>
    <col min="15600" max="15623" width="3.28515625" style="54" customWidth="1"/>
    <col min="15624" max="15624" width="44.140625" style="54" customWidth="1"/>
    <col min="15625" max="15642" width="9.85546875" style="54" customWidth="1"/>
    <col min="15643" max="15854" width="10.140625" style="54"/>
    <col min="15855" max="15855" width="36.28515625" style="54" customWidth="1"/>
    <col min="15856" max="15879" width="3.28515625" style="54" customWidth="1"/>
    <col min="15880" max="15880" width="44.140625" style="54" customWidth="1"/>
    <col min="15881" max="15898" width="9.85546875" style="54" customWidth="1"/>
    <col min="15899" max="16110" width="10.140625" style="54"/>
    <col min="16111" max="16111" width="36.28515625" style="54" customWidth="1"/>
    <col min="16112" max="16135" width="3.28515625" style="54" customWidth="1"/>
    <col min="16136" max="16136" width="44.140625" style="54" customWidth="1"/>
    <col min="16137" max="16154" width="9.85546875" style="54" customWidth="1"/>
    <col min="16155" max="16384" width="10.140625" style="54"/>
  </cols>
  <sheetData>
    <row r="1" spans="1:32" x14ac:dyDescent="0.25">
      <c r="A1" s="314" t="s">
        <v>58</v>
      </c>
      <c r="B1" s="314"/>
      <c r="C1" s="314"/>
      <c r="D1" s="314"/>
      <c r="E1" s="314"/>
      <c r="F1" s="314"/>
      <c r="G1" s="314"/>
      <c r="H1" s="314"/>
      <c r="I1" s="314"/>
      <c r="J1" s="314"/>
      <c r="K1" s="314"/>
      <c r="L1" s="314"/>
      <c r="M1" s="314"/>
      <c r="N1" s="314"/>
      <c r="O1" s="314"/>
      <c r="P1" s="314"/>
      <c r="Q1" s="314"/>
      <c r="R1" s="314"/>
      <c r="S1" s="314"/>
      <c r="T1" s="314"/>
      <c r="U1" s="314"/>
      <c r="V1" s="314"/>
      <c r="W1" s="314"/>
      <c r="X1" s="314"/>
      <c r="Y1" s="314"/>
      <c r="Z1" s="314"/>
      <c r="AA1" s="314"/>
      <c r="AB1" s="314"/>
    </row>
    <row r="2" spans="1:32" x14ac:dyDescent="0.25">
      <c r="A2" s="314" t="s">
        <v>57</v>
      </c>
      <c r="B2" s="314"/>
      <c r="C2" s="314"/>
      <c r="D2" s="314"/>
      <c r="E2" s="314"/>
      <c r="F2" s="314"/>
      <c r="G2" s="314"/>
      <c r="H2" s="314"/>
      <c r="I2" s="314"/>
      <c r="J2" s="314"/>
      <c r="K2" s="314"/>
      <c r="L2" s="314"/>
      <c r="M2" s="314"/>
      <c r="N2" s="314"/>
      <c r="O2" s="314"/>
      <c r="P2" s="314"/>
      <c r="Q2" s="314"/>
      <c r="R2" s="314"/>
      <c r="S2" s="314"/>
      <c r="T2" s="314"/>
      <c r="U2" s="314"/>
      <c r="V2" s="314"/>
      <c r="W2" s="314"/>
      <c r="X2" s="314"/>
      <c r="Y2" s="314"/>
      <c r="Z2" s="314"/>
      <c r="AA2" s="314"/>
      <c r="AB2" s="314"/>
    </row>
    <row r="3" spans="1:32" ht="23.25" customHeight="1" x14ac:dyDescent="0.25">
      <c r="A3" s="314" t="s">
        <v>59</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row>
    <row r="4" spans="1:32" ht="10.5" customHeight="1" x14ac:dyDescent="0.25">
      <c r="A4" s="314"/>
      <c r="B4" s="314"/>
      <c r="C4" s="314"/>
      <c r="D4" s="314"/>
      <c r="E4" s="314"/>
      <c r="F4" s="314"/>
      <c r="G4" s="314"/>
      <c r="H4" s="314"/>
      <c r="I4" s="314"/>
      <c r="J4" s="314"/>
      <c r="K4" s="314"/>
      <c r="L4" s="314"/>
      <c r="M4" s="314"/>
      <c r="N4" s="314"/>
      <c r="O4" s="314"/>
      <c r="P4" s="314"/>
      <c r="Q4" s="314"/>
      <c r="R4" s="314"/>
      <c r="S4" s="314"/>
      <c r="T4" s="314"/>
      <c r="U4" s="314"/>
      <c r="V4" s="314"/>
      <c r="W4" s="314"/>
      <c r="X4" s="314"/>
      <c r="Y4" s="55"/>
      <c r="Z4" s="55"/>
      <c r="AA4" s="55"/>
      <c r="AB4" s="55"/>
    </row>
    <row r="5" spans="1:32" ht="32.25" customHeight="1" x14ac:dyDescent="0.25">
      <c r="A5" s="314" t="s">
        <v>81</v>
      </c>
      <c r="B5" s="314"/>
      <c r="C5" s="314"/>
      <c r="D5" s="314"/>
      <c r="E5" s="314"/>
      <c r="F5" s="314"/>
      <c r="G5" s="314"/>
      <c r="H5" s="314"/>
      <c r="I5" s="314"/>
      <c r="J5" s="314"/>
      <c r="K5" s="314"/>
      <c r="L5" s="314"/>
      <c r="M5" s="314"/>
      <c r="N5" s="314"/>
      <c r="O5" s="314"/>
      <c r="P5" s="314"/>
      <c r="Q5" s="314"/>
      <c r="R5" s="314"/>
      <c r="S5" s="314"/>
      <c r="T5" s="314"/>
      <c r="U5" s="314"/>
      <c r="V5" s="314"/>
      <c r="W5" s="314"/>
      <c r="X5" s="314"/>
      <c r="Y5" s="314"/>
      <c r="Z5" s="314"/>
      <c r="AA5" s="314"/>
      <c r="AB5" s="314"/>
    </row>
    <row r="6" spans="1:32" ht="38.25" customHeight="1" x14ac:dyDescent="0.25">
      <c r="A6" s="313" t="str">
        <f>+PO!$B$8</f>
        <v>INTERVENTORIA PARA EL MANTENIMIENTO DE LA CARRETERA PIPIRAL - VILLAVICENCIO, RUTA 40MTA, DEPARTAMENTO DEL META.</v>
      </c>
      <c r="B6" s="313"/>
      <c r="C6" s="313"/>
      <c r="D6" s="313"/>
      <c r="E6" s="313"/>
      <c r="F6" s="313"/>
      <c r="G6" s="313"/>
      <c r="H6" s="313"/>
      <c r="I6" s="313"/>
      <c r="J6" s="313"/>
      <c r="K6" s="313"/>
      <c r="L6" s="313"/>
      <c r="M6" s="313"/>
      <c r="N6" s="313"/>
      <c r="O6" s="313"/>
      <c r="P6" s="313"/>
      <c r="Q6" s="313"/>
      <c r="R6" s="313"/>
      <c r="S6" s="313"/>
      <c r="T6" s="313"/>
      <c r="U6" s="313"/>
      <c r="V6" s="313"/>
      <c r="W6" s="313"/>
      <c r="X6" s="313"/>
      <c r="Y6" s="313"/>
      <c r="Z6" s="313"/>
      <c r="AA6" s="313"/>
      <c r="AB6" s="313"/>
    </row>
    <row r="7" spans="1:32" x14ac:dyDescent="0.25">
      <c r="A7" s="313"/>
      <c r="B7" s="313"/>
      <c r="C7" s="313"/>
      <c r="D7" s="313"/>
      <c r="E7" s="313"/>
      <c r="F7" s="313"/>
      <c r="G7" s="313"/>
      <c r="H7" s="313"/>
      <c r="I7" s="313"/>
      <c r="J7" s="313"/>
      <c r="K7" s="313"/>
      <c r="L7" s="313"/>
      <c r="M7" s="313"/>
      <c r="N7" s="313"/>
      <c r="O7" s="313"/>
      <c r="P7" s="313"/>
      <c r="Q7" s="313"/>
      <c r="R7" s="313"/>
      <c r="S7" s="313"/>
      <c r="T7" s="313"/>
      <c r="U7" s="313"/>
      <c r="V7" s="313"/>
      <c r="W7" s="313"/>
      <c r="X7" s="313"/>
      <c r="Y7" s="313"/>
      <c r="Z7" s="313"/>
      <c r="AA7" s="313"/>
      <c r="AB7" s="313"/>
    </row>
    <row r="8" spans="1:32" ht="9.75" customHeight="1" x14ac:dyDescent="0.25">
      <c r="A8" s="302" t="s">
        <v>60</v>
      </c>
      <c r="B8" s="302"/>
      <c r="C8" s="302"/>
      <c r="D8" s="302"/>
      <c r="E8" s="302"/>
      <c r="F8" s="302"/>
      <c r="G8" s="302"/>
      <c r="H8" s="302"/>
      <c r="I8" s="302"/>
      <c r="J8" s="302"/>
      <c r="K8" s="302"/>
      <c r="L8" s="302"/>
      <c r="M8" s="302"/>
      <c r="N8" s="302"/>
      <c r="O8" s="302"/>
      <c r="P8" s="302"/>
      <c r="Q8" s="302"/>
      <c r="R8" s="302"/>
      <c r="S8" s="302"/>
      <c r="T8" s="302"/>
      <c r="U8" s="302"/>
      <c r="V8" s="302"/>
      <c r="W8" s="302"/>
      <c r="X8" s="302"/>
      <c r="Y8" s="302"/>
      <c r="Z8" s="302"/>
      <c r="AA8" s="302"/>
      <c r="AB8" s="302"/>
    </row>
    <row r="9" spans="1:32" ht="15.75" customHeight="1" x14ac:dyDescent="0.25">
      <c r="A9" s="302"/>
      <c r="B9" s="302"/>
      <c r="C9" s="302"/>
      <c r="D9" s="302"/>
      <c r="E9" s="302"/>
      <c r="F9" s="302"/>
      <c r="G9" s="302"/>
      <c r="H9" s="302"/>
      <c r="I9" s="302"/>
      <c r="J9" s="302"/>
      <c r="K9" s="302"/>
      <c r="L9" s="302"/>
      <c r="M9" s="302"/>
      <c r="N9" s="302"/>
      <c r="O9" s="302"/>
      <c r="P9" s="302"/>
      <c r="Q9" s="302"/>
      <c r="R9" s="302"/>
      <c r="S9" s="302"/>
      <c r="T9" s="302"/>
      <c r="U9" s="302"/>
      <c r="V9" s="302"/>
      <c r="W9" s="302"/>
      <c r="X9" s="302"/>
      <c r="Y9" s="302"/>
      <c r="Z9" s="302"/>
      <c r="AA9" s="302"/>
      <c r="AB9" s="302"/>
    </row>
    <row r="10" spans="1:32" ht="36" customHeight="1" thickBot="1" x14ac:dyDescent="0.3">
      <c r="A10" s="56"/>
      <c r="B10" s="56"/>
      <c r="C10" s="56"/>
      <c r="D10" s="56"/>
      <c r="E10" s="56"/>
      <c r="F10" s="56"/>
      <c r="G10" s="56"/>
      <c r="H10" s="56"/>
      <c r="I10" s="56"/>
      <c r="J10" s="56"/>
      <c r="K10" s="56"/>
      <c r="L10" s="56"/>
      <c r="M10" s="56"/>
      <c r="N10" s="56"/>
      <c r="O10" s="56"/>
      <c r="P10" s="56"/>
      <c r="Q10" s="56"/>
      <c r="R10" s="56"/>
      <c r="S10" s="57"/>
      <c r="T10" s="58"/>
      <c r="U10" s="58"/>
      <c r="V10" s="58"/>
      <c r="W10" s="58"/>
      <c r="X10" s="58"/>
      <c r="Y10" s="58"/>
      <c r="Z10" s="58"/>
      <c r="AA10" s="58"/>
      <c r="AB10" s="58"/>
    </row>
    <row r="11" spans="1:32" ht="64.5" customHeight="1" thickTop="1" x14ac:dyDescent="0.25">
      <c r="A11" s="303" t="s">
        <v>61</v>
      </c>
      <c r="B11" s="306" t="s">
        <v>62</v>
      </c>
      <c r="C11" s="307"/>
      <c r="D11" s="307"/>
      <c r="E11" s="59">
        <v>1</v>
      </c>
      <c r="F11" s="306" t="s">
        <v>62</v>
      </c>
      <c r="G11" s="307"/>
      <c r="H11" s="307"/>
      <c r="I11" s="59">
        <f>E11+1</f>
        <v>2</v>
      </c>
      <c r="J11" s="306" t="s">
        <v>62</v>
      </c>
      <c r="K11" s="307"/>
      <c r="L11" s="307"/>
      <c r="M11" s="59">
        <v>3</v>
      </c>
      <c r="N11" s="306" t="s">
        <v>62</v>
      </c>
      <c r="O11" s="307"/>
      <c r="P11" s="307"/>
      <c r="Q11" s="59">
        <f>M11+1</f>
        <v>4</v>
      </c>
      <c r="R11" s="308" t="s">
        <v>63</v>
      </c>
      <c r="S11" s="311" t="s">
        <v>64</v>
      </c>
      <c r="T11" s="312"/>
      <c r="U11" s="312"/>
      <c r="V11" s="312"/>
      <c r="W11" s="312"/>
      <c r="X11" s="312"/>
      <c r="Y11" s="312"/>
      <c r="Z11" s="312"/>
      <c r="AA11" s="312"/>
      <c r="AB11" s="312"/>
      <c r="AC11" s="312"/>
      <c r="AD11" s="312"/>
      <c r="AE11" s="312"/>
      <c r="AF11" s="312"/>
    </row>
    <row r="12" spans="1:32" ht="64.5" customHeight="1" thickBot="1" x14ac:dyDescent="0.3">
      <c r="A12" s="304"/>
      <c r="B12" s="60">
        <v>1</v>
      </c>
      <c r="C12" s="61">
        <f>+B12+1</f>
        <v>2</v>
      </c>
      <c r="D12" s="61">
        <f>+C12+1</f>
        <v>3</v>
      </c>
      <c r="E12" s="62">
        <f>+D12+1</f>
        <v>4</v>
      </c>
      <c r="F12" s="60">
        <v>1</v>
      </c>
      <c r="G12" s="61">
        <f>+F12+1</f>
        <v>2</v>
      </c>
      <c r="H12" s="61">
        <f>+G12+1</f>
        <v>3</v>
      </c>
      <c r="I12" s="62">
        <f>+H12+1</f>
        <v>4</v>
      </c>
      <c r="J12" s="60">
        <v>1</v>
      </c>
      <c r="K12" s="61">
        <f>+J12+1</f>
        <v>2</v>
      </c>
      <c r="L12" s="61">
        <f>+K12+1</f>
        <v>3</v>
      </c>
      <c r="M12" s="62">
        <f>+L12+1</f>
        <v>4</v>
      </c>
      <c r="N12" s="60">
        <v>1</v>
      </c>
      <c r="O12" s="61">
        <f>+N12+1</f>
        <v>2</v>
      </c>
      <c r="P12" s="61">
        <f>+O12+1</f>
        <v>3</v>
      </c>
      <c r="Q12" s="62">
        <f>+P12+1</f>
        <v>4</v>
      </c>
      <c r="R12" s="309"/>
      <c r="S12" s="150">
        <f>+PO!$B$17</f>
        <v>1</v>
      </c>
      <c r="T12" s="149">
        <f>+PO!$B$18</f>
        <v>1</v>
      </c>
      <c r="U12" s="149">
        <f>+PO!$B$19</f>
        <v>1</v>
      </c>
      <c r="V12" s="149">
        <f>+PO!$B$20</f>
        <v>1</v>
      </c>
      <c r="W12" s="149">
        <f>+PO!$B$21</f>
        <v>1</v>
      </c>
      <c r="X12" s="149">
        <f>+PO!$B$22</f>
        <v>1</v>
      </c>
      <c r="Y12" s="149">
        <f>+PO!$B$23</f>
        <v>1</v>
      </c>
      <c r="Z12" s="149">
        <f>+PO!$B$24</f>
        <v>1</v>
      </c>
      <c r="AA12" s="149">
        <f>+PO!$B$25</f>
        <v>1</v>
      </c>
      <c r="AB12" s="149">
        <f>+PO!$B$26</f>
        <v>1</v>
      </c>
      <c r="AC12" s="149">
        <f>+PO!$B$28</f>
        <v>1</v>
      </c>
      <c r="AD12" s="149">
        <f>+PO!$B$29</f>
        <v>1</v>
      </c>
      <c r="AE12" s="149">
        <f>+PO!$B$30</f>
        <v>1</v>
      </c>
      <c r="AF12" s="149">
        <f>+PO!$B$32</f>
        <v>1</v>
      </c>
    </row>
    <row r="13" spans="1:32" ht="160.5" customHeight="1" thickBot="1" x14ac:dyDescent="0.3">
      <c r="A13" s="305"/>
      <c r="B13" s="299"/>
      <c r="C13" s="300"/>
      <c r="D13" s="300"/>
      <c r="E13" s="301"/>
      <c r="F13" s="299"/>
      <c r="G13" s="300"/>
      <c r="H13" s="300"/>
      <c r="I13" s="301"/>
      <c r="J13" s="299"/>
      <c r="K13" s="300"/>
      <c r="L13" s="300"/>
      <c r="M13" s="301"/>
      <c r="N13" s="299"/>
      <c r="O13" s="300"/>
      <c r="P13" s="300"/>
      <c r="Q13" s="301"/>
      <c r="R13" s="310"/>
      <c r="S13" s="150" t="str">
        <f>+PO!$C$17</f>
        <v>Director de Interventoria</v>
      </c>
      <c r="T13" s="149" t="str">
        <f>+PO!$C$18</f>
        <v>Ingeniero Residente de Interventoría</v>
      </c>
      <c r="U13" s="149" t="str">
        <f>+PO!$C$19</f>
        <v>Profesional Ambiental</v>
      </c>
      <c r="V13" s="149" t="str">
        <f>+PO!$C$20</f>
        <v>Profesional Técnico Predial</v>
      </c>
      <c r="W13" s="149" t="str">
        <f>+PO!$C$21</f>
        <v>Especialista en Geologia y/o Geotecnia</v>
      </c>
      <c r="X13" s="149" t="str">
        <f>+PO!$C$22</f>
        <v>Especialista en Estructuras</v>
      </c>
      <c r="Y13" s="149" t="str">
        <f>+PO!$C$23</f>
        <v xml:space="preserve">Especialista en Pavimentos y/o Vias </v>
      </c>
      <c r="Z13" s="149" t="str">
        <f>+PO!$C$24</f>
        <v>Especialista en Hidráulica e Hidrología</v>
      </c>
      <c r="AA13" s="149" t="str">
        <f>+PO!$C$25</f>
        <v>Profesional de Aseguramiento o Gestión de la Calidad</v>
      </c>
      <c r="AB13" s="149" t="str">
        <f>+PO!$C$26</f>
        <v xml:space="preserve">Profesional Juridico Predial </v>
      </c>
      <c r="AC13" s="149" t="str">
        <f>+PO!$C$28</f>
        <v xml:space="preserve">Topógrafo Inspector </v>
      </c>
      <c r="AD13" s="149" t="str">
        <f>+PO!$C$29</f>
        <v xml:space="preserve">Laboratorista Inspector </v>
      </c>
      <c r="AE13" s="149" t="str">
        <f>+PO!$C$30</f>
        <v>Inspector SST</v>
      </c>
      <c r="AF13" s="149" t="str">
        <f>+PO!$C$32</f>
        <v>Cadenero</v>
      </c>
    </row>
    <row r="14" spans="1:32" ht="132.75" customHeight="1" thickBot="1" x14ac:dyDescent="0.3">
      <c r="A14" s="63" t="s">
        <v>65</v>
      </c>
      <c r="B14" s="64">
        <v>1</v>
      </c>
      <c r="C14" s="65">
        <v>1</v>
      </c>
      <c r="D14" s="65">
        <v>1</v>
      </c>
      <c r="E14" s="66">
        <v>1</v>
      </c>
      <c r="F14" s="64"/>
      <c r="G14" s="65"/>
      <c r="H14" s="65"/>
      <c r="I14" s="67"/>
      <c r="J14" s="64"/>
      <c r="K14" s="65"/>
      <c r="L14" s="65"/>
      <c r="M14" s="66"/>
      <c r="N14" s="64"/>
      <c r="O14" s="65"/>
      <c r="P14" s="65"/>
      <c r="Q14" s="67"/>
      <c r="R14" s="237" t="s">
        <v>206</v>
      </c>
      <c r="S14" s="238">
        <f>10%*S24</f>
        <v>0.2</v>
      </c>
      <c r="T14" s="239"/>
      <c r="U14" s="239"/>
      <c r="V14" s="239">
        <f>40%*V24</f>
        <v>0.4</v>
      </c>
      <c r="W14" s="239">
        <f t="shared" ref="W14:AA14" si="0">40%*W24</f>
        <v>0.4</v>
      </c>
      <c r="X14" s="239">
        <f t="shared" si="0"/>
        <v>0.30000000000000004</v>
      </c>
      <c r="Y14" s="239">
        <f t="shared" si="0"/>
        <v>0.30000000000000004</v>
      </c>
      <c r="Z14" s="239">
        <f t="shared" si="0"/>
        <v>0.30000000000000004</v>
      </c>
      <c r="AA14" s="239">
        <f t="shared" si="0"/>
        <v>0.8</v>
      </c>
      <c r="AB14" s="239">
        <f>40%*AB24</f>
        <v>0.4</v>
      </c>
      <c r="AC14" s="239"/>
      <c r="AD14" s="239"/>
      <c r="AE14" s="239"/>
      <c r="AF14" s="239"/>
    </row>
    <row r="15" spans="1:32" ht="17.25" thickBot="1" x14ac:dyDescent="0.3">
      <c r="A15" s="68" t="s">
        <v>67</v>
      </c>
      <c r="B15" s="69"/>
      <c r="C15" s="70"/>
      <c r="D15" s="70"/>
      <c r="E15" s="71"/>
      <c r="F15" s="69"/>
      <c r="G15" s="70"/>
      <c r="H15" s="70"/>
      <c r="I15" s="72"/>
      <c r="J15" s="69"/>
      <c r="K15" s="70"/>
      <c r="L15" s="70"/>
      <c r="M15" s="71"/>
      <c r="N15" s="69"/>
      <c r="O15" s="70"/>
      <c r="P15" s="70"/>
      <c r="Q15" s="72"/>
      <c r="R15" s="240"/>
      <c r="S15" s="238"/>
      <c r="T15" s="239"/>
      <c r="U15" s="239"/>
      <c r="V15" s="239"/>
      <c r="W15" s="239"/>
      <c r="X15" s="239"/>
      <c r="Y15" s="239"/>
      <c r="Z15" s="239"/>
      <c r="AA15" s="239"/>
      <c r="AB15" s="239"/>
      <c r="AC15" s="239"/>
      <c r="AD15" s="239"/>
      <c r="AE15" s="239"/>
      <c r="AF15" s="239"/>
    </row>
    <row r="16" spans="1:32" ht="177.75" customHeight="1" thickBot="1" x14ac:dyDescent="0.3">
      <c r="A16" s="73" t="s">
        <v>68</v>
      </c>
      <c r="B16" s="74">
        <v>1</v>
      </c>
      <c r="C16" s="75">
        <v>1</v>
      </c>
      <c r="D16" s="75">
        <v>1</v>
      </c>
      <c r="E16" s="76">
        <v>1</v>
      </c>
      <c r="F16" s="74">
        <v>1</v>
      </c>
      <c r="G16" s="75">
        <v>1</v>
      </c>
      <c r="H16" s="75">
        <v>1</v>
      </c>
      <c r="I16" s="77">
        <v>1</v>
      </c>
      <c r="J16" s="74">
        <v>1</v>
      </c>
      <c r="K16" s="75">
        <v>1</v>
      </c>
      <c r="L16" s="75">
        <v>1</v>
      </c>
      <c r="M16" s="76">
        <v>1</v>
      </c>
      <c r="N16" s="74">
        <v>1</v>
      </c>
      <c r="O16" s="75">
        <v>1</v>
      </c>
      <c r="P16" s="75">
        <v>1</v>
      </c>
      <c r="Q16" s="77">
        <v>1</v>
      </c>
      <c r="R16" s="237" t="s">
        <v>208</v>
      </c>
      <c r="S16" s="238">
        <f>50%*S24</f>
        <v>1</v>
      </c>
      <c r="T16" s="239">
        <f>50%*T24</f>
        <v>2</v>
      </c>
      <c r="U16" s="239">
        <f>50%*U24</f>
        <v>1</v>
      </c>
      <c r="V16" s="239">
        <f>30%*V24</f>
        <v>0.3</v>
      </c>
      <c r="W16" s="239">
        <f t="shared" ref="W16:AB16" si="1">30%*W24</f>
        <v>0.3</v>
      </c>
      <c r="X16" s="239">
        <f t="shared" si="1"/>
        <v>0.22499999999999998</v>
      </c>
      <c r="Y16" s="239">
        <f t="shared" si="1"/>
        <v>0.22499999999999998</v>
      </c>
      <c r="Z16" s="239">
        <f t="shared" si="1"/>
        <v>0.22499999999999998</v>
      </c>
      <c r="AA16" s="239">
        <f t="shared" si="1"/>
        <v>0.6</v>
      </c>
      <c r="AB16" s="239">
        <f t="shared" si="1"/>
        <v>0.3</v>
      </c>
      <c r="AC16" s="239">
        <f>80%*AC24</f>
        <v>2.8000000000000003</v>
      </c>
      <c r="AD16" s="239">
        <f t="shared" ref="AD16:AE16" si="2">80%*AD24</f>
        <v>2.8000000000000003</v>
      </c>
      <c r="AE16" s="239">
        <f t="shared" si="2"/>
        <v>2.8000000000000003</v>
      </c>
      <c r="AF16" s="239">
        <f>100%*AF24</f>
        <v>3.5</v>
      </c>
    </row>
    <row r="17" spans="1:33" ht="135" customHeight="1" thickBot="1" x14ac:dyDescent="0.3">
      <c r="A17" s="78" t="s">
        <v>69</v>
      </c>
      <c r="B17" s="69">
        <v>1</v>
      </c>
      <c r="C17" s="70">
        <v>1</v>
      </c>
      <c r="D17" s="70">
        <v>1</v>
      </c>
      <c r="E17" s="71">
        <v>1</v>
      </c>
      <c r="F17" s="69">
        <v>1</v>
      </c>
      <c r="G17" s="70">
        <v>1</v>
      </c>
      <c r="H17" s="70">
        <v>1</v>
      </c>
      <c r="I17" s="72">
        <v>1</v>
      </c>
      <c r="J17" s="69">
        <v>1</v>
      </c>
      <c r="K17" s="70">
        <v>1</v>
      </c>
      <c r="L17" s="70">
        <v>1</v>
      </c>
      <c r="M17" s="71">
        <v>1</v>
      </c>
      <c r="N17" s="69">
        <v>1</v>
      </c>
      <c r="O17" s="70">
        <v>1</v>
      </c>
      <c r="P17" s="70">
        <v>1</v>
      </c>
      <c r="Q17" s="72">
        <v>1</v>
      </c>
      <c r="R17" s="237" t="s">
        <v>207</v>
      </c>
      <c r="S17" s="238">
        <f>10%*S24</f>
        <v>0.2</v>
      </c>
      <c r="T17" s="239">
        <f>20%*T24</f>
        <v>0.8</v>
      </c>
      <c r="U17" s="239">
        <f>20%*U24</f>
        <v>0.4</v>
      </c>
      <c r="V17" s="239"/>
      <c r="W17" s="239"/>
      <c r="X17" s="239"/>
      <c r="Y17" s="239"/>
      <c r="Z17" s="239"/>
      <c r="AA17" s="239"/>
      <c r="AB17" s="239"/>
      <c r="AC17" s="239">
        <f>20%*AC24</f>
        <v>0.70000000000000007</v>
      </c>
      <c r="AD17" s="239">
        <f t="shared" ref="AD17:AE17" si="3">20%*AD24</f>
        <v>0.70000000000000007</v>
      </c>
      <c r="AE17" s="239">
        <f t="shared" si="3"/>
        <v>0.70000000000000007</v>
      </c>
      <c r="AF17" s="239"/>
    </row>
    <row r="18" spans="1:33" ht="135" customHeight="1" thickBot="1" x14ac:dyDescent="0.3">
      <c r="A18" s="78" t="s">
        <v>70</v>
      </c>
      <c r="B18" s="69"/>
      <c r="C18" s="70"/>
      <c r="D18" s="70"/>
      <c r="E18" s="72">
        <v>1</v>
      </c>
      <c r="F18" s="69"/>
      <c r="G18" s="70"/>
      <c r="H18" s="70" t="s">
        <v>66</v>
      </c>
      <c r="I18" s="72">
        <v>1</v>
      </c>
      <c r="J18" s="69"/>
      <c r="K18" s="70"/>
      <c r="L18" s="70"/>
      <c r="M18" s="72">
        <v>1</v>
      </c>
      <c r="N18" s="69"/>
      <c r="O18" s="70"/>
      <c r="P18" s="70" t="s">
        <v>66</v>
      </c>
      <c r="Q18" s="72">
        <v>1</v>
      </c>
      <c r="R18" s="237" t="s">
        <v>209</v>
      </c>
      <c r="S18" s="238">
        <f>10%*S24</f>
        <v>0.2</v>
      </c>
      <c r="T18" s="239">
        <f>10%*T24</f>
        <v>0.4</v>
      </c>
      <c r="U18" s="239">
        <f>10%*U24</f>
        <v>0.2</v>
      </c>
      <c r="V18" s="239">
        <f>20%*V24</f>
        <v>0.2</v>
      </c>
      <c r="W18" s="239">
        <f t="shared" ref="W18:AB18" si="4">20%*W24</f>
        <v>0.2</v>
      </c>
      <c r="X18" s="239">
        <f t="shared" si="4"/>
        <v>0.15000000000000002</v>
      </c>
      <c r="Y18" s="239">
        <f t="shared" si="4"/>
        <v>0.15000000000000002</v>
      </c>
      <c r="Z18" s="239">
        <f t="shared" si="4"/>
        <v>0.15000000000000002</v>
      </c>
      <c r="AA18" s="239">
        <f t="shared" si="4"/>
        <v>0.4</v>
      </c>
      <c r="AB18" s="239">
        <f t="shared" si="4"/>
        <v>0.2</v>
      </c>
      <c r="AC18" s="239"/>
      <c r="AD18" s="239"/>
      <c r="AE18" s="239"/>
      <c r="AF18" s="239"/>
    </row>
    <row r="19" spans="1:33" ht="96.75" customHeight="1" thickBot="1" x14ac:dyDescent="0.3">
      <c r="A19" s="78" t="s">
        <v>71</v>
      </c>
      <c r="B19" s="74">
        <v>1</v>
      </c>
      <c r="C19" s="75">
        <v>1</v>
      </c>
      <c r="D19" s="75">
        <v>1</v>
      </c>
      <c r="E19" s="76">
        <v>1</v>
      </c>
      <c r="F19" s="74">
        <v>1</v>
      </c>
      <c r="G19" s="75">
        <v>1</v>
      </c>
      <c r="H19" s="75">
        <v>1</v>
      </c>
      <c r="I19" s="77">
        <v>1</v>
      </c>
      <c r="J19" s="74">
        <v>1</v>
      </c>
      <c r="K19" s="75">
        <v>1</v>
      </c>
      <c r="L19" s="75">
        <v>1</v>
      </c>
      <c r="M19" s="76">
        <v>1</v>
      </c>
      <c r="N19" s="74">
        <v>1</v>
      </c>
      <c r="O19" s="75">
        <v>1</v>
      </c>
      <c r="P19" s="75">
        <v>1</v>
      </c>
      <c r="Q19" s="77">
        <v>1</v>
      </c>
      <c r="R19" s="237" t="s">
        <v>210</v>
      </c>
      <c r="S19" s="238">
        <f>5%*S24</f>
        <v>0.1</v>
      </c>
      <c r="T19" s="239">
        <f>5%*T24</f>
        <v>0.2</v>
      </c>
      <c r="U19" s="239">
        <f>5%*U24</f>
        <v>0.1</v>
      </c>
      <c r="V19" s="239"/>
      <c r="W19" s="239"/>
      <c r="X19" s="239"/>
      <c r="Y19" s="239"/>
      <c r="Z19" s="239"/>
      <c r="AA19" s="239"/>
      <c r="AB19" s="239"/>
      <c r="AC19" s="239"/>
      <c r="AD19" s="239"/>
      <c r="AE19" s="239"/>
      <c r="AF19" s="239"/>
    </row>
    <row r="20" spans="1:33" ht="61.5" customHeight="1" thickBot="1" x14ac:dyDescent="0.3">
      <c r="A20" s="78" t="s">
        <v>72</v>
      </c>
      <c r="B20" s="69"/>
      <c r="C20" s="70"/>
      <c r="D20" s="70"/>
      <c r="E20" s="71"/>
      <c r="F20" s="69"/>
      <c r="G20" s="70"/>
      <c r="H20" s="70"/>
      <c r="I20" s="72"/>
      <c r="J20" s="69"/>
      <c r="K20" s="70"/>
      <c r="L20" s="70"/>
      <c r="M20" s="72">
        <v>1</v>
      </c>
      <c r="N20" s="69"/>
      <c r="O20" s="70"/>
      <c r="P20" s="70"/>
      <c r="Q20" s="72"/>
      <c r="R20" s="237" t="s">
        <v>210</v>
      </c>
      <c r="S20" s="238">
        <f>5%*S24</f>
        <v>0.1</v>
      </c>
      <c r="T20" s="239">
        <f>5%*T24</f>
        <v>0.2</v>
      </c>
      <c r="U20" s="239">
        <f>5%*U24</f>
        <v>0.1</v>
      </c>
      <c r="V20" s="239"/>
      <c r="W20" s="239"/>
      <c r="X20" s="239"/>
      <c r="Y20" s="239"/>
      <c r="Z20" s="239"/>
      <c r="AA20" s="239"/>
      <c r="AB20" s="239"/>
      <c r="AC20" s="239"/>
      <c r="AD20" s="239"/>
      <c r="AE20" s="239"/>
      <c r="AF20" s="239"/>
    </row>
    <row r="21" spans="1:33" ht="126.75" customHeight="1" thickBot="1" x14ac:dyDescent="0.3">
      <c r="A21" s="78" t="s">
        <v>73</v>
      </c>
      <c r="B21" s="74"/>
      <c r="C21" s="75"/>
      <c r="D21" s="75"/>
      <c r="E21" s="76"/>
      <c r="F21" s="74"/>
      <c r="G21" s="75"/>
      <c r="H21" s="75"/>
      <c r="I21" s="77" t="s">
        <v>66</v>
      </c>
      <c r="J21" s="74"/>
      <c r="K21" s="75"/>
      <c r="L21" s="75"/>
      <c r="M21" s="76"/>
      <c r="N21" s="74"/>
      <c r="O21" s="75"/>
      <c r="P21" s="75"/>
      <c r="Q21" s="72">
        <v>1</v>
      </c>
      <c r="R21" s="237" t="s">
        <v>209</v>
      </c>
      <c r="S21" s="238">
        <f>5%*S24</f>
        <v>0.1</v>
      </c>
      <c r="T21" s="239">
        <f>5%*T24</f>
        <v>0.2</v>
      </c>
      <c r="U21" s="239">
        <f>5%*U24</f>
        <v>0.1</v>
      </c>
      <c r="V21" s="239">
        <f>5%*V24</f>
        <v>0.05</v>
      </c>
      <c r="W21" s="239">
        <f t="shared" ref="W21:AB21" si="5">5%*W24</f>
        <v>0.05</v>
      </c>
      <c r="X21" s="239">
        <f t="shared" si="5"/>
        <v>3.7500000000000006E-2</v>
      </c>
      <c r="Y21" s="239">
        <f t="shared" si="5"/>
        <v>3.7500000000000006E-2</v>
      </c>
      <c r="Z21" s="239">
        <f t="shared" si="5"/>
        <v>3.7500000000000006E-2</v>
      </c>
      <c r="AA21" s="239">
        <f t="shared" si="5"/>
        <v>0.1</v>
      </c>
      <c r="AB21" s="239">
        <f t="shared" si="5"/>
        <v>0.05</v>
      </c>
      <c r="AC21" s="239"/>
      <c r="AD21" s="239"/>
      <c r="AE21" s="239"/>
      <c r="AF21" s="239"/>
    </row>
    <row r="22" spans="1:33" ht="107.25" customHeight="1" thickBot="1" x14ac:dyDescent="0.3">
      <c r="A22" s="78" t="s">
        <v>74</v>
      </c>
      <c r="B22" s="69"/>
      <c r="C22" s="70"/>
      <c r="D22" s="70"/>
      <c r="E22" s="71"/>
      <c r="F22" s="69"/>
      <c r="G22" s="70"/>
      <c r="H22" s="70"/>
      <c r="I22" s="72"/>
      <c r="J22" s="69"/>
      <c r="K22" s="70"/>
      <c r="L22" s="70"/>
      <c r="M22" s="71"/>
      <c r="N22" s="69"/>
      <c r="O22" s="70"/>
      <c r="P22" s="70"/>
      <c r="Q22" s="72">
        <v>1</v>
      </c>
      <c r="R22" s="237" t="s">
        <v>209</v>
      </c>
      <c r="S22" s="238">
        <f>5%*S24</f>
        <v>0.1</v>
      </c>
      <c r="T22" s="239">
        <f>5%*T24</f>
        <v>0.2</v>
      </c>
      <c r="U22" s="239">
        <f>5%*U24</f>
        <v>0.1</v>
      </c>
      <c r="V22" s="239">
        <f>5%*V24</f>
        <v>0.05</v>
      </c>
      <c r="W22" s="239">
        <f t="shared" ref="W22:AB22" si="6">5%*W24</f>
        <v>0.05</v>
      </c>
      <c r="X22" s="239">
        <f t="shared" si="6"/>
        <v>3.7500000000000006E-2</v>
      </c>
      <c r="Y22" s="239">
        <f t="shared" si="6"/>
        <v>3.7500000000000006E-2</v>
      </c>
      <c r="Z22" s="239">
        <f t="shared" si="6"/>
        <v>3.7500000000000006E-2</v>
      </c>
      <c r="AA22" s="239">
        <f t="shared" si="6"/>
        <v>0.1</v>
      </c>
      <c r="AB22" s="239">
        <f t="shared" si="6"/>
        <v>0.05</v>
      </c>
      <c r="AC22" s="239"/>
      <c r="AD22" s="239"/>
      <c r="AE22" s="239"/>
      <c r="AF22" s="239"/>
    </row>
    <row r="23" spans="1:33" ht="17.25" thickBot="1" x14ac:dyDescent="0.3">
      <c r="A23" s="79"/>
      <c r="B23" s="294"/>
      <c r="C23" s="295"/>
      <c r="D23" s="295"/>
      <c r="E23" s="295"/>
      <c r="F23" s="295"/>
      <c r="G23" s="295"/>
      <c r="H23" s="295"/>
      <c r="I23" s="295"/>
      <c r="J23" s="295"/>
      <c r="K23" s="295"/>
      <c r="L23" s="295"/>
      <c r="M23" s="295"/>
      <c r="N23" s="295"/>
      <c r="O23" s="295"/>
      <c r="P23" s="295"/>
      <c r="Q23" s="296"/>
      <c r="R23" s="80" t="s">
        <v>75</v>
      </c>
      <c r="S23" s="118">
        <f t="shared" ref="S23:AE23" si="7">SUM(S14:S22)</f>
        <v>2</v>
      </c>
      <c r="T23" s="119">
        <f t="shared" si="7"/>
        <v>4</v>
      </c>
      <c r="U23" s="119">
        <f t="shared" si="7"/>
        <v>2</v>
      </c>
      <c r="V23" s="119">
        <f t="shared" si="7"/>
        <v>1</v>
      </c>
      <c r="W23" s="119">
        <f t="shared" si="7"/>
        <v>1</v>
      </c>
      <c r="X23" s="119">
        <f t="shared" si="7"/>
        <v>0.75</v>
      </c>
      <c r="Y23" s="119">
        <f t="shared" si="7"/>
        <v>0.75</v>
      </c>
      <c r="Z23" s="119">
        <f t="shared" si="7"/>
        <v>0.75</v>
      </c>
      <c r="AA23" s="119">
        <f t="shared" si="7"/>
        <v>2</v>
      </c>
      <c r="AB23" s="119">
        <f t="shared" si="7"/>
        <v>1</v>
      </c>
      <c r="AC23" s="119">
        <f t="shared" si="7"/>
        <v>3.5000000000000004</v>
      </c>
      <c r="AD23" s="119">
        <f t="shared" si="7"/>
        <v>3.5000000000000004</v>
      </c>
      <c r="AE23" s="119">
        <f t="shared" si="7"/>
        <v>3.5000000000000004</v>
      </c>
      <c r="AF23" s="119">
        <f t="shared" ref="AF23" si="8">SUM(AF14:AF22)</f>
        <v>3.5</v>
      </c>
    </row>
    <row r="24" spans="1:33" ht="17.25" thickTop="1" x14ac:dyDescent="0.3">
      <c r="A24" s="81"/>
      <c r="R24" s="224" t="s">
        <v>192</v>
      </c>
      <c r="S24" s="222">
        <f>+PO!$F$17</f>
        <v>2</v>
      </c>
      <c r="T24" s="222">
        <f>+PO!$F$18</f>
        <v>4</v>
      </c>
      <c r="U24" s="222">
        <f>+PO!$F$19</f>
        <v>2</v>
      </c>
      <c r="V24" s="222">
        <f>+PO!$F$20</f>
        <v>1</v>
      </c>
      <c r="W24" s="222">
        <f>+PO!$F$21</f>
        <v>1</v>
      </c>
      <c r="X24" s="222">
        <f>+PO!$F$22</f>
        <v>0.75</v>
      </c>
      <c r="Y24" s="222">
        <f>+PO!$F$23</f>
        <v>0.75</v>
      </c>
      <c r="Z24" s="222">
        <f>+PO!$F$24</f>
        <v>0.75</v>
      </c>
      <c r="AA24" s="222">
        <f>+PO!$F$25</f>
        <v>2</v>
      </c>
      <c r="AB24" s="222">
        <f>+PO!$F$26</f>
        <v>1</v>
      </c>
      <c r="AC24" s="222">
        <f>+PO!$F$28</f>
        <v>3.5</v>
      </c>
      <c r="AD24" s="222">
        <f>+PO!$F$29</f>
        <v>3.5</v>
      </c>
      <c r="AE24" s="222">
        <f>+PO!$F$30</f>
        <v>3.5</v>
      </c>
      <c r="AF24" s="222">
        <f>+PO!$F$32</f>
        <v>3.5</v>
      </c>
    </row>
    <row r="25" spans="1:33" x14ac:dyDescent="0.25">
      <c r="A25" s="83" t="s">
        <v>76</v>
      </c>
      <c r="C25" s="84"/>
      <c r="D25" s="84"/>
      <c r="F25" s="84"/>
      <c r="G25" s="84"/>
      <c r="H25" s="84"/>
      <c r="I25" s="84"/>
      <c r="K25" s="84"/>
      <c r="L25" s="84"/>
      <c r="N25" s="84"/>
      <c r="O25" s="84"/>
      <c r="P25" s="84"/>
      <c r="Q25" s="84"/>
      <c r="R25" s="85" t="s">
        <v>193</v>
      </c>
      <c r="S25" s="86" t="b">
        <f>+S24-S23=0</f>
        <v>1</v>
      </c>
      <c r="T25" s="86" t="b">
        <f t="shared" ref="T25:AF25" si="9">+T24-T23=0</f>
        <v>1</v>
      </c>
      <c r="U25" s="86" t="b">
        <f t="shared" si="9"/>
        <v>1</v>
      </c>
      <c r="V25" s="86" t="b">
        <f t="shared" si="9"/>
        <v>1</v>
      </c>
      <c r="W25" s="86" t="b">
        <f t="shared" si="9"/>
        <v>1</v>
      </c>
      <c r="X25" s="86" t="b">
        <f t="shared" si="9"/>
        <v>1</v>
      </c>
      <c r="Y25" s="86" t="b">
        <f t="shared" si="9"/>
        <v>1</v>
      </c>
      <c r="Z25" s="86" t="b">
        <f t="shared" si="9"/>
        <v>1</v>
      </c>
      <c r="AA25" s="86" t="b">
        <f t="shared" si="9"/>
        <v>1</v>
      </c>
      <c r="AB25" s="86" t="b">
        <f t="shared" si="9"/>
        <v>1</v>
      </c>
      <c r="AC25" s="86" t="b">
        <f t="shared" si="9"/>
        <v>0</v>
      </c>
      <c r="AD25" s="86" t="b">
        <f t="shared" si="9"/>
        <v>0</v>
      </c>
      <c r="AE25" s="86" t="b">
        <f t="shared" si="9"/>
        <v>0</v>
      </c>
      <c r="AF25" s="86" t="b">
        <f t="shared" si="9"/>
        <v>1</v>
      </c>
    </row>
    <row r="26" spans="1:33" x14ac:dyDescent="0.25">
      <c r="A26" s="88" t="s">
        <v>77</v>
      </c>
      <c r="C26" s="84"/>
      <c r="D26" s="84"/>
      <c r="E26" s="84"/>
      <c r="F26" s="84"/>
      <c r="G26" s="84"/>
      <c r="H26" s="84"/>
      <c r="I26" s="84"/>
      <c r="K26" s="84"/>
      <c r="L26" s="84"/>
      <c r="M26" s="84"/>
      <c r="N26" s="84"/>
      <c r="O26" s="84"/>
      <c r="P26" s="84"/>
      <c r="Q26" s="84"/>
      <c r="R26" s="84"/>
    </row>
    <row r="27" spans="1:33" ht="15" customHeight="1" x14ac:dyDescent="0.25"/>
    <row r="28" spans="1:33" x14ac:dyDescent="0.25">
      <c r="R28" s="89"/>
    </row>
    <row r="29" spans="1:33" x14ac:dyDescent="0.25">
      <c r="A29" s="90"/>
      <c r="B29" s="91"/>
      <c r="C29" s="91"/>
      <c r="D29" s="92"/>
      <c r="E29" s="93"/>
      <c r="F29" s="93"/>
      <c r="J29" s="91"/>
      <c r="K29" s="91"/>
      <c r="L29" s="92"/>
      <c r="M29" s="93"/>
      <c r="N29" s="93"/>
    </row>
    <row r="30" spans="1:33" x14ac:dyDescent="0.25">
      <c r="A30" s="297"/>
      <c r="B30" s="297"/>
      <c r="C30" s="297"/>
      <c r="D30" s="297"/>
      <c r="E30" s="297"/>
      <c r="F30" s="297"/>
      <c r="G30" s="297"/>
      <c r="H30" s="297"/>
      <c r="T30" s="223"/>
      <c r="AC30" s="87"/>
      <c r="AD30" s="87"/>
      <c r="AE30" s="87"/>
      <c r="AF30" s="87"/>
      <c r="AG30" s="87"/>
    </row>
    <row r="31" spans="1:33" s="87" customFormat="1" ht="16.5" customHeight="1" x14ac:dyDescent="0.25">
      <c r="A31" s="298" t="s">
        <v>1</v>
      </c>
      <c r="B31" s="298"/>
      <c r="C31" s="298"/>
      <c r="D31" s="298"/>
      <c r="E31" s="298"/>
      <c r="F31" s="298"/>
      <c r="G31" s="298"/>
      <c r="H31" s="298"/>
      <c r="I31" s="54"/>
      <c r="J31" s="54"/>
      <c r="K31" s="54"/>
      <c r="L31" s="54"/>
      <c r="M31" s="54"/>
      <c r="N31" s="54"/>
      <c r="O31" s="54"/>
      <c r="P31" s="54"/>
      <c r="Q31" s="54"/>
      <c r="R31" s="54"/>
      <c r="U31" s="86"/>
      <c r="V31" s="86"/>
      <c r="W31" s="86"/>
      <c r="X31" s="86"/>
      <c r="Y31" s="86"/>
      <c r="Z31" s="86"/>
      <c r="AA31" s="86"/>
      <c r="AB31" s="86"/>
    </row>
    <row r="32" spans="1:33" s="87" customFormat="1" x14ac:dyDescent="0.3">
      <c r="A32" s="54"/>
      <c r="B32" s="54"/>
      <c r="C32" s="54"/>
      <c r="D32" s="54"/>
      <c r="E32" s="54"/>
      <c r="F32" s="54"/>
      <c r="G32" s="54"/>
      <c r="H32" s="54"/>
      <c r="I32" s="54"/>
      <c r="J32" s="54"/>
      <c r="K32" s="54"/>
      <c r="L32" s="54"/>
      <c r="M32" s="54"/>
      <c r="N32" s="54"/>
      <c r="O32" s="54"/>
      <c r="P32" s="54"/>
      <c r="Q32" s="54"/>
      <c r="R32" s="54"/>
      <c r="S32" s="82"/>
      <c r="U32" s="86"/>
      <c r="V32" s="86"/>
      <c r="W32" s="86"/>
      <c r="X32" s="86"/>
      <c r="Y32" s="86"/>
      <c r="Z32" s="86"/>
      <c r="AA32" s="86"/>
      <c r="AB32" s="86"/>
    </row>
    <row r="33" spans="1:33" s="87" customFormat="1" x14ac:dyDescent="0.3">
      <c r="A33" s="54"/>
      <c r="B33" s="54"/>
      <c r="C33" s="54"/>
      <c r="D33" s="54"/>
      <c r="E33" s="54"/>
      <c r="F33" s="54"/>
      <c r="G33" s="54"/>
      <c r="H33" s="54"/>
      <c r="I33" s="54"/>
      <c r="J33" s="54"/>
      <c r="K33" s="54"/>
      <c r="L33" s="54"/>
      <c r="M33" s="54"/>
      <c r="N33" s="54"/>
      <c r="O33" s="54"/>
      <c r="P33" s="54"/>
      <c r="Q33" s="54"/>
      <c r="R33" s="54"/>
      <c r="S33" s="82"/>
      <c r="U33" s="86"/>
      <c r="V33" s="86"/>
      <c r="W33" s="86"/>
      <c r="X33" s="86"/>
      <c r="Y33" s="86"/>
      <c r="Z33" s="86"/>
      <c r="AA33" s="86"/>
      <c r="AB33" s="86"/>
    </row>
    <row r="34" spans="1:33" s="87" customFormat="1" x14ac:dyDescent="0.3">
      <c r="A34" s="54"/>
      <c r="B34" s="54"/>
      <c r="C34" s="54"/>
      <c r="D34" s="54"/>
      <c r="E34" s="54"/>
      <c r="F34" s="54"/>
      <c r="G34" s="54"/>
      <c r="H34" s="54"/>
      <c r="I34" s="54"/>
      <c r="J34" s="54"/>
      <c r="K34" s="54"/>
      <c r="L34" s="54"/>
      <c r="M34" s="54"/>
      <c r="N34" s="54"/>
      <c r="O34" s="54"/>
      <c r="P34" s="54"/>
      <c r="Q34" s="54"/>
      <c r="R34" s="54"/>
      <c r="S34" s="82"/>
      <c r="U34" s="86"/>
      <c r="V34" s="86"/>
      <c r="W34" s="86"/>
      <c r="X34" s="86"/>
      <c r="Y34" s="86"/>
      <c r="Z34" s="86"/>
      <c r="AA34" s="86"/>
      <c r="AB34" s="86"/>
    </row>
    <row r="35" spans="1:33" s="87" customFormat="1" x14ac:dyDescent="0.3">
      <c r="A35" s="54"/>
      <c r="B35" s="54"/>
      <c r="C35" s="54"/>
      <c r="D35" s="54"/>
      <c r="E35" s="54"/>
      <c r="F35" s="54"/>
      <c r="G35" s="54"/>
      <c r="H35" s="54"/>
      <c r="I35" s="54"/>
      <c r="J35" s="54"/>
      <c r="K35" s="54"/>
      <c r="L35" s="54"/>
      <c r="M35" s="54"/>
      <c r="N35" s="54"/>
      <c r="O35" s="54"/>
      <c r="P35" s="54"/>
      <c r="Q35" s="54"/>
      <c r="R35" s="54"/>
      <c r="S35" s="82"/>
      <c r="U35" s="86"/>
      <c r="V35" s="86"/>
      <c r="W35" s="86"/>
      <c r="X35" s="86"/>
      <c r="Y35" s="86"/>
      <c r="Z35" s="86"/>
      <c r="AA35" s="86"/>
      <c r="AB35" s="86"/>
    </row>
    <row r="36" spans="1:33" s="87" customFormat="1" x14ac:dyDescent="0.3">
      <c r="A36" s="54"/>
      <c r="B36" s="54"/>
      <c r="C36" s="54"/>
      <c r="D36" s="54"/>
      <c r="E36" s="54"/>
      <c r="F36" s="54"/>
      <c r="G36" s="54"/>
      <c r="H36" s="54"/>
      <c r="I36" s="54"/>
      <c r="J36" s="54"/>
      <c r="K36" s="54"/>
      <c r="L36" s="54"/>
      <c r="M36" s="54"/>
      <c r="N36" s="54"/>
      <c r="O36" s="54"/>
      <c r="P36" s="54"/>
      <c r="Q36" s="54"/>
      <c r="R36" s="54"/>
      <c r="S36" s="82"/>
      <c r="U36" s="86"/>
      <c r="V36" s="86"/>
      <c r="W36" s="86"/>
      <c r="X36" s="86"/>
      <c r="Y36" s="86"/>
      <c r="Z36" s="86"/>
      <c r="AA36" s="86"/>
      <c r="AB36" s="86"/>
    </row>
    <row r="37" spans="1:33" s="87" customFormat="1" x14ac:dyDescent="0.3">
      <c r="A37" s="54"/>
      <c r="B37" s="54"/>
      <c r="C37" s="54"/>
      <c r="D37" s="54"/>
      <c r="E37" s="54"/>
      <c r="F37" s="54"/>
      <c r="G37" s="54"/>
      <c r="H37" s="54"/>
      <c r="I37" s="54"/>
      <c r="J37" s="54"/>
      <c r="K37" s="54"/>
      <c r="L37" s="54"/>
      <c r="M37" s="54"/>
      <c r="N37" s="54"/>
      <c r="O37" s="54"/>
      <c r="P37" s="54"/>
      <c r="Q37" s="54"/>
      <c r="R37" s="54"/>
      <c r="S37" s="82"/>
      <c r="U37" s="86"/>
      <c r="V37" s="86"/>
      <c r="W37" s="86"/>
      <c r="X37" s="86"/>
      <c r="Y37" s="86"/>
      <c r="Z37" s="86"/>
      <c r="AA37" s="86"/>
      <c r="AB37" s="86"/>
    </row>
    <row r="38" spans="1:33" s="87" customFormat="1" x14ac:dyDescent="0.3">
      <c r="A38" s="54"/>
      <c r="B38" s="54"/>
      <c r="C38" s="54"/>
      <c r="D38" s="54"/>
      <c r="E38" s="54"/>
      <c r="F38" s="54"/>
      <c r="G38" s="54"/>
      <c r="H38" s="54"/>
      <c r="I38" s="54"/>
      <c r="J38" s="54"/>
      <c r="K38" s="54"/>
      <c r="L38" s="54"/>
      <c r="M38" s="54"/>
      <c r="N38" s="54"/>
      <c r="O38" s="54"/>
      <c r="P38" s="54"/>
      <c r="Q38" s="54"/>
      <c r="R38" s="54"/>
      <c r="S38" s="82"/>
      <c r="U38" s="86"/>
      <c r="V38" s="86"/>
      <c r="W38" s="86"/>
      <c r="X38" s="86"/>
      <c r="Y38" s="86"/>
      <c r="Z38" s="86"/>
      <c r="AA38" s="86"/>
      <c r="AB38" s="86"/>
    </row>
    <row r="39" spans="1:33" s="87" customFormat="1" x14ac:dyDescent="0.3">
      <c r="A39" s="54"/>
      <c r="B39" s="54"/>
      <c r="C39" s="54"/>
      <c r="D39" s="54"/>
      <c r="E39" s="54"/>
      <c r="F39" s="54"/>
      <c r="G39" s="54"/>
      <c r="H39" s="54"/>
      <c r="I39" s="54"/>
      <c r="J39" s="54"/>
      <c r="K39" s="54"/>
      <c r="L39" s="54"/>
      <c r="M39" s="54"/>
      <c r="N39" s="54"/>
      <c r="O39" s="54"/>
      <c r="P39" s="54"/>
      <c r="Q39" s="54"/>
      <c r="R39" s="54"/>
      <c r="S39" s="82"/>
      <c r="U39" s="86"/>
      <c r="V39" s="86"/>
      <c r="W39" s="86"/>
      <c r="X39" s="86"/>
      <c r="Y39" s="86"/>
      <c r="Z39" s="86"/>
      <c r="AA39" s="86"/>
      <c r="AB39" s="86"/>
    </row>
    <row r="40" spans="1:33" s="87" customFormat="1" x14ac:dyDescent="0.3">
      <c r="A40" s="54"/>
      <c r="B40" s="54"/>
      <c r="C40" s="54"/>
      <c r="D40" s="54"/>
      <c r="E40" s="54"/>
      <c r="F40" s="54"/>
      <c r="G40" s="54"/>
      <c r="H40" s="54"/>
      <c r="I40" s="54"/>
      <c r="J40" s="54"/>
      <c r="K40" s="54"/>
      <c r="L40" s="54"/>
      <c r="M40" s="54"/>
      <c r="N40" s="54"/>
      <c r="O40" s="54"/>
      <c r="P40" s="54"/>
      <c r="Q40" s="54"/>
      <c r="R40" s="54"/>
      <c r="S40" s="82"/>
      <c r="U40" s="86"/>
      <c r="V40" s="86"/>
      <c r="W40" s="86"/>
      <c r="X40" s="86"/>
      <c r="Y40" s="86"/>
      <c r="Z40" s="86"/>
      <c r="AA40" s="86"/>
      <c r="AB40" s="86"/>
    </row>
    <row r="41" spans="1:33" s="87" customFormat="1" x14ac:dyDescent="0.3">
      <c r="A41" s="54"/>
      <c r="B41" s="54"/>
      <c r="C41" s="54"/>
      <c r="D41" s="54"/>
      <c r="E41" s="54"/>
      <c r="F41" s="54"/>
      <c r="G41" s="54"/>
      <c r="H41" s="54"/>
      <c r="I41" s="54"/>
      <c r="J41" s="54"/>
      <c r="K41" s="54"/>
      <c r="L41" s="54"/>
      <c r="M41" s="54"/>
      <c r="N41" s="54"/>
      <c r="O41" s="54"/>
      <c r="P41" s="54"/>
      <c r="Q41" s="54"/>
      <c r="R41" s="54"/>
      <c r="S41" s="82"/>
      <c r="U41" s="86"/>
      <c r="V41" s="86"/>
      <c r="W41" s="86"/>
      <c r="X41" s="86"/>
      <c r="Y41" s="86"/>
      <c r="Z41" s="86"/>
      <c r="AA41" s="86"/>
      <c r="AB41" s="86"/>
      <c r="AC41" s="54"/>
      <c r="AD41" s="54"/>
      <c r="AE41" s="54"/>
      <c r="AF41" s="54"/>
      <c r="AG41" s="54"/>
    </row>
    <row r="42" spans="1:33" x14ac:dyDescent="0.3">
      <c r="S42" s="82"/>
    </row>
    <row r="43" spans="1:33" x14ac:dyDescent="0.3">
      <c r="S43" s="82"/>
    </row>
    <row r="44" spans="1:33" x14ac:dyDescent="0.3">
      <c r="S44" s="82"/>
    </row>
    <row r="45" spans="1:33" x14ac:dyDescent="0.3">
      <c r="S45" s="82"/>
    </row>
    <row r="46" spans="1:33" x14ac:dyDescent="0.3">
      <c r="S46" s="82"/>
    </row>
    <row r="47" spans="1:33" x14ac:dyDescent="0.3">
      <c r="S47" s="82"/>
    </row>
    <row r="48" spans="1:33" x14ac:dyDescent="0.3">
      <c r="R48" s="82"/>
      <c r="S48" s="82"/>
    </row>
    <row r="49" spans="19:19" x14ac:dyDescent="0.3">
      <c r="S49" s="82"/>
    </row>
    <row r="50" spans="19:19" x14ac:dyDescent="0.3">
      <c r="S50" s="82"/>
    </row>
    <row r="51" spans="19:19" x14ac:dyDescent="0.3">
      <c r="S51" s="82"/>
    </row>
    <row r="52" spans="19:19" x14ac:dyDescent="0.3">
      <c r="S52" s="82"/>
    </row>
    <row r="53" spans="19:19" x14ac:dyDescent="0.3">
      <c r="S53" s="82"/>
    </row>
    <row r="54" spans="19:19" x14ac:dyDescent="0.3">
      <c r="S54" s="82"/>
    </row>
    <row r="55" spans="19:19" x14ac:dyDescent="0.3">
      <c r="S55" s="82"/>
    </row>
    <row r="56" spans="19:19" ht="15" customHeight="1" x14ac:dyDescent="0.3">
      <c r="S56" s="82"/>
    </row>
    <row r="57" spans="19:19" x14ac:dyDescent="0.3">
      <c r="S57" s="82"/>
    </row>
  </sheetData>
  <mergeCells count="21">
    <mergeCell ref="A6:AB7"/>
    <mergeCell ref="A1:AB1"/>
    <mergeCell ref="A2:AB2"/>
    <mergeCell ref="A3:AB3"/>
    <mergeCell ref="A4:X4"/>
    <mergeCell ref="A5:AB5"/>
    <mergeCell ref="A8:AB9"/>
    <mergeCell ref="A11:A13"/>
    <mergeCell ref="B11:D11"/>
    <mergeCell ref="F11:H11"/>
    <mergeCell ref="R11:R13"/>
    <mergeCell ref="J11:L11"/>
    <mergeCell ref="N11:P11"/>
    <mergeCell ref="S11:AF11"/>
    <mergeCell ref="B23:Q23"/>
    <mergeCell ref="A30:H30"/>
    <mergeCell ref="A31:H31"/>
    <mergeCell ref="B13:E13"/>
    <mergeCell ref="F13:I13"/>
    <mergeCell ref="J13:M13"/>
    <mergeCell ref="N13:Q13"/>
  </mergeCells>
  <conditionalFormatting sqref="I18:I20 B21:I22 B14:I17">
    <cfRule type="cellIs" dxfId="15" priority="145" stopIfTrue="1" operator="equal">
      <formula>1</formula>
    </cfRule>
  </conditionalFormatting>
  <conditionalFormatting sqref="B18:D18 F18:H18">
    <cfRule type="cellIs" dxfId="14" priority="142" stopIfTrue="1" operator="equal">
      <formula>1</formula>
    </cfRule>
  </conditionalFormatting>
  <conditionalFormatting sqref="E18">
    <cfRule type="cellIs" dxfId="13" priority="141" stopIfTrue="1" operator="equal">
      <formula>1</formula>
    </cfRule>
  </conditionalFormatting>
  <conditionalFormatting sqref="B19:D19 F19:H19">
    <cfRule type="cellIs" dxfId="12" priority="139" stopIfTrue="1" operator="equal">
      <formula>1</formula>
    </cfRule>
  </conditionalFormatting>
  <conditionalFormatting sqref="E19">
    <cfRule type="cellIs" dxfId="11" priority="138" stopIfTrue="1" operator="equal">
      <formula>1</formula>
    </cfRule>
  </conditionalFormatting>
  <conditionalFormatting sqref="B20:D20 F20:H20">
    <cfRule type="cellIs" dxfId="10" priority="135" stopIfTrue="1" operator="equal">
      <formula>1</formula>
    </cfRule>
  </conditionalFormatting>
  <conditionalFormatting sqref="E20">
    <cfRule type="cellIs" dxfId="9" priority="134" stopIfTrue="1" operator="equal">
      <formula>1</formula>
    </cfRule>
  </conditionalFormatting>
  <conditionalFormatting sqref="Q18:Q20 J14:Q17 J21:P22">
    <cfRule type="cellIs" dxfId="8" priority="72" stopIfTrue="1" operator="equal">
      <formula>1</formula>
    </cfRule>
  </conditionalFormatting>
  <conditionalFormatting sqref="J18:L18 N18:P18">
    <cfRule type="cellIs" dxfId="7" priority="71" stopIfTrue="1" operator="equal">
      <formula>1</formula>
    </cfRule>
  </conditionalFormatting>
  <conditionalFormatting sqref="M18">
    <cfRule type="cellIs" dxfId="6" priority="70" stopIfTrue="1" operator="equal">
      <formula>1</formula>
    </cfRule>
  </conditionalFormatting>
  <conditionalFormatting sqref="J19:L19 N19:P19">
    <cfRule type="cellIs" dxfId="5" priority="69" stopIfTrue="1" operator="equal">
      <formula>1</formula>
    </cfRule>
  </conditionalFormatting>
  <conditionalFormatting sqref="M19">
    <cfRule type="cellIs" dxfId="4" priority="68" stopIfTrue="1" operator="equal">
      <formula>1</formula>
    </cfRule>
  </conditionalFormatting>
  <conditionalFormatting sqref="J20:L20 N20:P20">
    <cfRule type="cellIs" dxfId="3" priority="67" stopIfTrue="1" operator="equal">
      <formula>1</formula>
    </cfRule>
  </conditionalFormatting>
  <conditionalFormatting sqref="M20">
    <cfRule type="cellIs" dxfId="2" priority="16" stopIfTrue="1" operator="equal">
      <formula>1</formula>
    </cfRule>
  </conditionalFormatting>
  <conditionalFormatting sqref="Q21">
    <cfRule type="cellIs" dxfId="1" priority="2" stopIfTrue="1" operator="equal">
      <formula>1</formula>
    </cfRule>
  </conditionalFormatting>
  <conditionalFormatting sqref="Q22">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N60"/>
  <sheetViews>
    <sheetView topLeftCell="A36" workbookViewId="0">
      <selection activeCell="K21" sqref="K21"/>
    </sheetView>
  </sheetViews>
  <sheetFormatPr baseColWidth="10" defaultRowHeight="12.75" outlineLevelRow="1" x14ac:dyDescent="0.2"/>
  <cols>
    <col min="1" max="1" width="7.140625" style="177" customWidth="1"/>
    <col min="2" max="2" width="36.140625" style="177" customWidth="1"/>
    <col min="3" max="3" width="12.28515625" style="177" bestFit="1" customWidth="1"/>
    <col min="4" max="4" width="12.5703125" style="177" customWidth="1"/>
    <col min="5" max="5" width="13.42578125" style="177" customWidth="1"/>
    <col min="6" max="6" width="13.140625" style="177" customWidth="1"/>
    <col min="7" max="7" width="12.42578125" style="177" customWidth="1"/>
    <col min="8" max="8" width="14.42578125" style="177" customWidth="1"/>
    <col min="9" max="10" width="11.42578125" style="177"/>
    <col min="11" max="11" width="15.42578125" style="177" bestFit="1" customWidth="1"/>
    <col min="12" max="14" width="13.85546875" style="177" bestFit="1" customWidth="1"/>
    <col min="15" max="256" width="11.42578125" style="177"/>
    <col min="257" max="257" width="7.140625" style="177" customWidth="1"/>
    <col min="258" max="258" width="36.140625" style="177" customWidth="1"/>
    <col min="259" max="259" width="12.28515625" style="177" bestFit="1" customWidth="1"/>
    <col min="260" max="260" width="12.5703125" style="177" customWidth="1"/>
    <col min="261" max="261" width="13.42578125" style="177" customWidth="1"/>
    <col min="262" max="262" width="13.140625" style="177" customWidth="1"/>
    <col min="263" max="263" width="12.42578125" style="177" customWidth="1"/>
    <col min="264" max="512" width="11.42578125" style="177"/>
    <col min="513" max="513" width="7.140625" style="177" customWidth="1"/>
    <col min="514" max="514" width="36.140625" style="177" customWidth="1"/>
    <col min="515" max="515" width="12.28515625" style="177" bestFit="1" customWidth="1"/>
    <col min="516" max="516" width="12.5703125" style="177" customWidth="1"/>
    <col min="517" max="517" width="13.42578125" style="177" customWidth="1"/>
    <col min="518" max="518" width="13.140625" style="177" customWidth="1"/>
    <col min="519" max="519" width="12.42578125" style="177" customWidth="1"/>
    <col min="520" max="768" width="11.42578125" style="177"/>
    <col min="769" max="769" width="7.140625" style="177" customWidth="1"/>
    <col min="770" max="770" width="36.140625" style="177" customWidth="1"/>
    <col min="771" max="771" width="12.28515625" style="177" bestFit="1" customWidth="1"/>
    <col min="772" max="772" width="12.5703125" style="177" customWidth="1"/>
    <col min="773" max="773" width="13.42578125" style="177" customWidth="1"/>
    <col min="774" max="774" width="13.140625" style="177" customWidth="1"/>
    <col min="775" max="775" width="12.42578125" style="177" customWidth="1"/>
    <col min="776" max="1024" width="11.42578125" style="177"/>
    <col min="1025" max="1025" width="7.140625" style="177" customWidth="1"/>
    <col min="1026" max="1026" width="36.140625" style="177" customWidth="1"/>
    <col min="1027" max="1027" width="12.28515625" style="177" bestFit="1" customWidth="1"/>
    <col min="1028" max="1028" width="12.5703125" style="177" customWidth="1"/>
    <col min="1029" max="1029" width="13.42578125" style="177" customWidth="1"/>
    <col min="1030" max="1030" width="13.140625" style="177" customWidth="1"/>
    <col min="1031" max="1031" width="12.42578125" style="177" customWidth="1"/>
    <col min="1032" max="1280" width="11.42578125" style="177"/>
    <col min="1281" max="1281" width="7.140625" style="177" customWidth="1"/>
    <col min="1282" max="1282" width="36.140625" style="177" customWidth="1"/>
    <col min="1283" max="1283" width="12.28515625" style="177" bestFit="1" customWidth="1"/>
    <col min="1284" max="1284" width="12.5703125" style="177" customWidth="1"/>
    <col min="1285" max="1285" width="13.42578125" style="177" customWidth="1"/>
    <col min="1286" max="1286" width="13.140625" style="177" customWidth="1"/>
    <col min="1287" max="1287" width="12.42578125" style="177" customWidth="1"/>
    <col min="1288" max="1536" width="11.42578125" style="177"/>
    <col min="1537" max="1537" width="7.140625" style="177" customWidth="1"/>
    <col min="1538" max="1538" width="36.140625" style="177" customWidth="1"/>
    <col min="1539" max="1539" width="12.28515625" style="177" bestFit="1" customWidth="1"/>
    <col min="1540" max="1540" width="12.5703125" style="177" customWidth="1"/>
    <col min="1541" max="1541" width="13.42578125" style="177" customWidth="1"/>
    <col min="1542" max="1542" width="13.140625" style="177" customWidth="1"/>
    <col min="1543" max="1543" width="12.42578125" style="177" customWidth="1"/>
    <col min="1544" max="1792" width="11.42578125" style="177"/>
    <col min="1793" max="1793" width="7.140625" style="177" customWidth="1"/>
    <col min="1794" max="1794" width="36.140625" style="177" customWidth="1"/>
    <col min="1795" max="1795" width="12.28515625" style="177" bestFit="1" customWidth="1"/>
    <col min="1796" max="1796" width="12.5703125" style="177" customWidth="1"/>
    <col min="1797" max="1797" width="13.42578125" style="177" customWidth="1"/>
    <col min="1798" max="1798" width="13.140625" style="177" customWidth="1"/>
    <col min="1799" max="1799" width="12.42578125" style="177" customWidth="1"/>
    <col min="1800" max="2048" width="11.42578125" style="177"/>
    <col min="2049" max="2049" width="7.140625" style="177" customWidth="1"/>
    <col min="2050" max="2050" width="36.140625" style="177" customWidth="1"/>
    <col min="2051" max="2051" width="12.28515625" style="177" bestFit="1" customWidth="1"/>
    <col min="2052" max="2052" width="12.5703125" style="177" customWidth="1"/>
    <col min="2053" max="2053" width="13.42578125" style="177" customWidth="1"/>
    <col min="2054" max="2054" width="13.140625" style="177" customWidth="1"/>
    <col min="2055" max="2055" width="12.42578125" style="177" customWidth="1"/>
    <col min="2056" max="2304" width="11.42578125" style="177"/>
    <col min="2305" max="2305" width="7.140625" style="177" customWidth="1"/>
    <col min="2306" max="2306" width="36.140625" style="177" customWidth="1"/>
    <col min="2307" max="2307" width="12.28515625" style="177" bestFit="1" customWidth="1"/>
    <col min="2308" max="2308" width="12.5703125" style="177" customWidth="1"/>
    <col min="2309" max="2309" width="13.42578125" style="177" customWidth="1"/>
    <col min="2310" max="2310" width="13.140625" style="177" customWidth="1"/>
    <col min="2311" max="2311" width="12.42578125" style="177" customWidth="1"/>
    <col min="2312" max="2560" width="11.42578125" style="177"/>
    <col min="2561" max="2561" width="7.140625" style="177" customWidth="1"/>
    <col min="2562" max="2562" width="36.140625" style="177" customWidth="1"/>
    <col min="2563" max="2563" width="12.28515625" style="177" bestFit="1" customWidth="1"/>
    <col min="2564" max="2564" width="12.5703125" style="177" customWidth="1"/>
    <col min="2565" max="2565" width="13.42578125" style="177" customWidth="1"/>
    <col min="2566" max="2566" width="13.140625" style="177" customWidth="1"/>
    <col min="2567" max="2567" width="12.42578125" style="177" customWidth="1"/>
    <col min="2568" max="2816" width="11.42578125" style="177"/>
    <col min="2817" max="2817" width="7.140625" style="177" customWidth="1"/>
    <col min="2818" max="2818" width="36.140625" style="177" customWidth="1"/>
    <col min="2819" max="2819" width="12.28515625" style="177" bestFit="1" customWidth="1"/>
    <col min="2820" max="2820" width="12.5703125" style="177" customWidth="1"/>
    <col min="2821" max="2821" width="13.42578125" style="177" customWidth="1"/>
    <col min="2822" max="2822" width="13.140625" style="177" customWidth="1"/>
    <col min="2823" max="2823" width="12.42578125" style="177" customWidth="1"/>
    <col min="2824" max="3072" width="11.42578125" style="177"/>
    <col min="3073" max="3073" width="7.140625" style="177" customWidth="1"/>
    <col min="3074" max="3074" width="36.140625" style="177" customWidth="1"/>
    <col min="3075" max="3075" width="12.28515625" style="177" bestFit="1" customWidth="1"/>
    <col min="3076" max="3076" width="12.5703125" style="177" customWidth="1"/>
    <col min="3077" max="3077" width="13.42578125" style="177" customWidth="1"/>
    <col min="3078" max="3078" width="13.140625" style="177" customWidth="1"/>
    <col min="3079" max="3079" width="12.42578125" style="177" customWidth="1"/>
    <col min="3080" max="3328" width="11.42578125" style="177"/>
    <col min="3329" max="3329" width="7.140625" style="177" customWidth="1"/>
    <col min="3330" max="3330" width="36.140625" style="177" customWidth="1"/>
    <col min="3331" max="3331" width="12.28515625" style="177" bestFit="1" customWidth="1"/>
    <col min="3332" max="3332" width="12.5703125" style="177" customWidth="1"/>
    <col min="3333" max="3333" width="13.42578125" style="177" customWidth="1"/>
    <col min="3334" max="3334" width="13.140625" style="177" customWidth="1"/>
    <col min="3335" max="3335" width="12.42578125" style="177" customWidth="1"/>
    <col min="3336" max="3584" width="11.42578125" style="177"/>
    <col min="3585" max="3585" width="7.140625" style="177" customWidth="1"/>
    <col min="3586" max="3586" width="36.140625" style="177" customWidth="1"/>
    <col min="3587" max="3587" width="12.28515625" style="177" bestFit="1" customWidth="1"/>
    <col min="3588" max="3588" width="12.5703125" style="177" customWidth="1"/>
    <col min="3589" max="3589" width="13.42578125" style="177" customWidth="1"/>
    <col min="3590" max="3590" width="13.140625" style="177" customWidth="1"/>
    <col min="3591" max="3591" width="12.42578125" style="177" customWidth="1"/>
    <col min="3592" max="3840" width="11.42578125" style="177"/>
    <col min="3841" max="3841" width="7.140625" style="177" customWidth="1"/>
    <col min="3842" max="3842" width="36.140625" style="177" customWidth="1"/>
    <col min="3843" max="3843" width="12.28515625" style="177" bestFit="1" customWidth="1"/>
    <col min="3844" max="3844" width="12.5703125" style="177" customWidth="1"/>
    <col min="3845" max="3845" width="13.42578125" style="177" customWidth="1"/>
    <col min="3846" max="3846" width="13.140625" style="177" customWidth="1"/>
    <col min="3847" max="3847" width="12.42578125" style="177" customWidth="1"/>
    <col min="3848" max="4096" width="11.42578125" style="177"/>
    <col min="4097" max="4097" width="7.140625" style="177" customWidth="1"/>
    <col min="4098" max="4098" width="36.140625" style="177" customWidth="1"/>
    <col min="4099" max="4099" width="12.28515625" style="177" bestFit="1" customWidth="1"/>
    <col min="4100" max="4100" width="12.5703125" style="177" customWidth="1"/>
    <col min="4101" max="4101" width="13.42578125" style="177" customWidth="1"/>
    <col min="4102" max="4102" width="13.140625" style="177" customWidth="1"/>
    <col min="4103" max="4103" width="12.42578125" style="177" customWidth="1"/>
    <col min="4104" max="4352" width="11.42578125" style="177"/>
    <col min="4353" max="4353" width="7.140625" style="177" customWidth="1"/>
    <col min="4354" max="4354" width="36.140625" style="177" customWidth="1"/>
    <col min="4355" max="4355" width="12.28515625" style="177" bestFit="1" customWidth="1"/>
    <col min="4356" max="4356" width="12.5703125" style="177" customWidth="1"/>
    <col min="4357" max="4357" width="13.42578125" style="177" customWidth="1"/>
    <col min="4358" max="4358" width="13.140625" style="177" customWidth="1"/>
    <col min="4359" max="4359" width="12.42578125" style="177" customWidth="1"/>
    <col min="4360" max="4608" width="11.42578125" style="177"/>
    <col min="4609" max="4609" width="7.140625" style="177" customWidth="1"/>
    <col min="4610" max="4610" width="36.140625" style="177" customWidth="1"/>
    <col min="4611" max="4611" width="12.28515625" style="177" bestFit="1" customWidth="1"/>
    <col min="4612" max="4612" width="12.5703125" style="177" customWidth="1"/>
    <col min="4613" max="4613" width="13.42578125" style="177" customWidth="1"/>
    <col min="4614" max="4614" width="13.140625" style="177" customWidth="1"/>
    <col min="4615" max="4615" width="12.42578125" style="177" customWidth="1"/>
    <col min="4616" max="4864" width="11.42578125" style="177"/>
    <col min="4865" max="4865" width="7.140625" style="177" customWidth="1"/>
    <col min="4866" max="4866" width="36.140625" style="177" customWidth="1"/>
    <col min="4867" max="4867" width="12.28515625" style="177" bestFit="1" customWidth="1"/>
    <col min="4868" max="4868" width="12.5703125" style="177" customWidth="1"/>
    <col min="4869" max="4869" width="13.42578125" style="177" customWidth="1"/>
    <col min="4870" max="4870" width="13.140625" style="177" customWidth="1"/>
    <col min="4871" max="4871" width="12.42578125" style="177" customWidth="1"/>
    <col min="4872" max="5120" width="11.42578125" style="177"/>
    <col min="5121" max="5121" width="7.140625" style="177" customWidth="1"/>
    <col min="5122" max="5122" width="36.140625" style="177" customWidth="1"/>
    <col min="5123" max="5123" width="12.28515625" style="177" bestFit="1" customWidth="1"/>
    <col min="5124" max="5124" width="12.5703125" style="177" customWidth="1"/>
    <col min="5125" max="5125" width="13.42578125" style="177" customWidth="1"/>
    <col min="5126" max="5126" width="13.140625" style="177" customWidth="1"/>
    <col min="5127" max="5127" width="12.42578125" style="177" customWidth="1"/>
    <col min="5128" max="5376" width="11.42578125" style="177"/>
    <col min="5377" max="5377" width="7.140625" style="177" customWidth="1"/>
    <col min="5378" max="5378" width="36.140625" style="177" customWidth="1"/>
    <col min="5379" max="5379" width="12.28515625" style="177" bestFit="1" customWidth="1"/>
    <col min="5380" max="5380" width="12.5703125" style="177" customWidth="1"/>
    <col min="5381" max="5381" width="13.42578125" style="177" customWidth="1"/>
    <col min="5382" max="5382" width="13.140625" style="177" customWidth="1"/>
    <col min="5383" max="5383" width="12.42578125" style="177" customWidth="1"/>
    <col min="5384" max="5632" width="11.42578125" style="177"/>
    <col min="5633" max="5633" width="7.140625" style="177" customWidth="1"/>
    <col min="5634" max="5634" width="36.140625" style="177" customWidth="1"/>
    <col min="5635" max="5635" width="12.28515625" style="177" bestFit="1" customWidth="1"/>
    <col min="5636" max="5636" width="12.5703125" style="177" customWidth="1"/>
    <col min="5637" max="5637" width="13.42578125" style="177" customWidth="1"/>
    <col min="5638" max="5638" width="13.140625" style="177" customWidth="1"/>
    <col min="5639" max="5639" width="12.42578125" style="177" customWidth="1"/>
    <col min="5640" max="5888" width="11.42578125" style="177"/>
    <col min="5889" max="5889" width="7.140625" style="177" customWidth="1"/>
    <col min="5890" max="5890" width="36.140625" style="177" customWidth="1"/>
    <col min="5891" max="5891" width="12.28515625" style="177" bestFit="1" customWidth="1"/>
    <col min="5892" max="5892" width="12.5703125" style="177" customWidth="1"/>
    <col min="5893" max="5893" width="13.42578125" style="177" customWidth="1"/>
    <col min="5894" max="5894" width="13.140625" style="177" customWidth="1"/>
    <col min="5895" max="5895" width="12.42578125" style="177" customWidth="1"/>
    <col min="5896" max="6144" width="11.42578125" style="177"/>
    <col min="6145" max="6145" width="7.140625" style="177" customWidth="1"/>
    <col min="6146" max="6146" width="36.140625" style="177" customWidth="1"/>
    <col min="6147" max="6147" width="12.28515625" style="177" bestFit="1" customWidth="1"/>
    <col min="6148" max="6148" width="12.5703125" style="177" customWidth="1"/>
    <col min="6149" max="6149" width="13.42578125" style="177" customWidth="1"/>
    <col min="6150" max="6150" width="13.140625" style="177" customWidth="1"/>
    <col min="6151" max="6151" width="12.42578125" style="177" customWidth="1"/>
    <col min="6152" max="6400" width="11.42578125" style="177"/>
    <col min="6401" max="6401" width="7.140625" style="177" customWidth="1"/>
    <col min="6402" max="6402" width="36.140625" style="177" customWidth="1"/>
    <col min="6403" max="6403" width="12.28515625" style="177" bestFit="1" customWidth="1"/>
    <col min="6404" max="6404" width="12.5703125" style="177" customWidth="1"/>
    <col min="6405" max="6405" width="13.42578125" style="177" customWidth="1"/>
    <col min="6406" max="6406" width="13.140625" style="177" customWidth="1"/>
    <col min="6407" max="6407" width="12.42578125" style="177" customWidth="1"/>
    <col min="6408" max="6656" width="11.42578125" style="177"/>
    <col min="6657" max="6657" width="7.140625" style="177" customWidth="1"/>
    <col min="6658" max="6658" width="36.140625" style="177" customWidth="1"/>
    <col min="6659" max="6659" width="12.28515625" style="177" bestFit="1" customWidth="1"/>
    <col min="6660" max="6660" width="12.5703125" style="177" customWidth="1"/>
    <col min="6661" max="6661" width="13.42578125" style="177" customWidth="1"/>
    <col min="6662" max="6662" width="13.140625" style="177" customWidth="1"/>
    <col min="6663" max="6663" width="12.42578125" style="177" customWidth="1"/>
    <col min="6664" max="6912" width="11.42578125" style="177"/>
    <col min="6913" max="6913" width="7.140625" style="177" customWidth="1"/>
    <col min="6914" max="6914" width="36.140625" style="177" customWidth="1"/>
    <col min="6915" max="6915" width="12.28515625" style="177" bestFit="1" customWidth="1"/>
    <col min="6916" max="6916" width="12.5703125" style="177" customWidth="1"/>
    <col min="6917" max="6917" width="13.42578125" style="177" customWidth="1"/>
    <col min="6918" max="6918" width="13.140625" style="177" customWidth="1"/>
    <col min="6919" max="6919" width="12.42578125" style="177" customWidth="1"/>
    <col min="6920" max="7168" width="11.42578125" style="177"/>
    <col min="7169" max="7169" width="7.140625" style="177" customWidth="1"/>
    <col min="7170" max="7170" width="36.140625" style="177" customWidth="1"/>
    <col min="7171" max="7171" width="12.28515625" style="177" bestFit="1" customWidth="1"/>
    <col min="7172" max="7172" width="12.5703125" style="177" customWidth="1"/>
    <col min="7173" max="7173" width="13.42578125" style="177" customWidth="1"/>
    <col min="7174" max="7174" width="13.140625" style="177" customWidth="1"/>
    <col min="7175" max="7175" width="12.42578125" style="177" customWidth="1"/>
    <col min="7176" max="7424" width="11.42578125" style="177"/>
    <col min="7425" max="7425" width="7.140625" style="177" customWidth="1"/>
    <col min="7426" max="7426" width="36.140625" style="177" customWidth="1"/>
    <col min="7427" max="7427" width="12.28515625" style="177" bestFit="1" customWidth="1"/>
    <col min="7428" max="7428" width="12.5703125" style="177" customWidth="1"/>
    <col min="7429" max="7429" width="13.42578125" style="177" customWidth="1"/>
    <col min="7430" max="7430" width="13.140625" style="177" customWidth="1"/>
    <col min="7431" max="7431" width="12.42578125" style="177" customWidth="1"/>
    <col min="7432" max="7680" width="11.42578125" style="177"/>
    <col min="7681" max="7681" width="7.140625" style="177" customWidth="1"/>
    <col min="7682" max="7682" width="36.140625" style="177" customWidth="1"/>
    <col min="7683" max="7683" width="12.28515625" style="177" bestFit="1" customWidth="1"/>
    <col min="7684" max="7684" width="12.5703125" style="177" customWidth="1"/>
    <col min="7685" max="7685" width="13.42578125" style="177" customWidth="1"/>
    <col min="7686" max="7686" width="13.140625" style="177" customWidth="1"/>
    <col min="7687" max="7687" width="12.42578125" style="177" customWidth="1"/>
    <col min="7688" max="7936" width="11.42578125" style="177"/>
    <col min="7937" max="7937" width="7.140625" style="177" customWidth="1"/>
    <col min="7938" max="7938" width="36.140625" style="177" customWidth="1"/>
    <col min="7939" max="7939" width="12.28515625" style="177" bestFit="1" customWidth="1"/>
    <col min="7940" max="7940" width="12.5703125" style="177" customWidth="1"/>
    <col min="7941" max="7941" width="13.42578125" style="177" customWidth="1"/>
    <col min="7942" max="7942" width="13.140625" style="177" customWidth="1"/>
    <col min="7943" max="7943" width="12.42578125" style="177" customWidth="1"/>
    <col min="7944" max="8192" width="11.42578125" style="177"/>
    <col min="8193" max="8193" width="7.140625" style="177" customWidth="1"/>
    <col min="8194" max="8194" width="36.140625" style="177" customWidth="1"/>
    <col min="8195" max="8195" width="12.28515625" style="177" bestFit="1" customWidth="1"/>
    <col min="8196" max="8196" width="12.5703125" style="177" customWidth="1"/>
    <col min="8197" max="8197" width="13.42578125" style="177" customWidth="1"/>
    <col min="8198" max="8198" width="13.140625" style="177" customWidth="1"/>
    <col min="8199" max="8199" width="12.42578125" style="177" customWidth="1"/>
    <col min="8200" max="8448" width="11.42578125" style="177"/>
    <col min="8449" max="8449" width="7.140625" style="177" customWidth="1"/>
    <col min="8450" max="8450" width="36.140625" style="177" customWidth="1"/>
    <col min="8451" max="8451" width="12.28515625" style="177" bestFit="1" customWidth="1"/>
    <col min="8452" max="8452" width="12.5703125" style="177" customWidth="1"/>
    <col min="8453" max="8453" width="13.42578125" style="177" customWidth="1"/>
    <col min="8454" max="8454" width="13.140625" style="177" customWidth="1"/>
    <col min="8455" max="8455" width="12.42578125" style="177" customWidth="1"/>
    <col min="8456" max="8704" width="11.42578125" style="177"/>
    <col min="8705" max="8705" width="7.140625" style="177" customWidth="1"/>
    <col min="8706" max="8706" width="36.140625" style="177" customWidth="1"/>
    <col min="8707" max="8707" width="12.28515625" style="177" bestFit="1" customWidth="1"/>
    <col min="8708" max="8708" width="12.5703125" style="177" customWidth="1"/>
    <col min="8709" max="8709" width="13.42578125" style="177" customWidth="1"/>
    <col min="8710" max="8710" width="13.140625" style="177" customWidth="1"/>
    <col min="8711" max="8711" width="12.42578125" style="177" customWidth="1"/>
    <col min="8712" max="8960" width="11.42578125" style="177"/>
    <col min="8961" max="8961" width="7.140625" style="177" customWidth="1"/>
    <col min="8962" max="8962" width="36.140625" style="177" customWidth="1"/>
    <col min="8963" max="8963" width="12.28515625" style="177" bestFit="1" customWidth="1"/>
    <col min="8964" max="8964" width="12.5703125" style="177" customWidth="1"/>
    <col min="8965" max="8965" width="13.42578125" style="177" customWidth="1"/>
    <col min="8966" max="8966" width="13.140625" style="177" customWidth="1"/>
    <col min="8967" max="8967" width="12.42578125" style="177" customWidth="1"/>
    <col min="8968" max="9216" width="11.42578125" style="177"/>
    <col min="9217" max="9217" width="7.140625" style="177" customWidth="1"/>
    <col min="9218" max="9218" width="36.140625" style="177" customWidth="1"/>
    <col min="9219" max="9219" width="12.28515625" style="177" bestFit="1" customWidth="1"/>
    <col min="9220" max="9220" width="12.5703125" style="177" customWidth="1"/>
    <col min="9221" max="9221" width="13.42578125" style="177" customWidth="1"/>
    <col min="9222" max="9222" width="13.140625" style="177" customWidth="1"/>
    <col min="9223" max="9223" width="12.42578125" style="177" customWidth="1"/>
    <col min="9224" max="9472" width="11.42578125" style="177"/>
    <col min="9473" max="9473" width="7.140625" style="177" customWidth="1"/>
    <col min="9474" max="9474" width="36.140625" style="177" customWidth="1"/>
    <col min="9475" max="9475" width="12.28515625" style="177" bestFit="1" customWidth="1"/>
    <col min="9476" max="9476" width="12.5703125" style="177" customWidth="1"/>
    <col min="9477" max="9477" width="13.42578125" style="177" customWidth="1"/>
    <col min="9478" max="9478" width="13.140625" style="177" customWidth="1"/>
    <col min="9479" max="9479" width="12.42578125" style="177" customWidth="1"/>
    <col min="9480" max="9728" width="11.42578125" style="177"/>
    <col min="9729" max="9729" width="7.140625" style="177" customWidth="1"/>
    <col min="9730" max="9730" width="36.140625" style="177" customWidth="1"/>
    <col min="9731" max="9731" width="12.28515625" style="177" bestFit="1" customWidth="1"/>
    <col min="9732" max="9732" width="12.5703125" style="177" customWidth="1"/>
    <col min="9733" max="9733" width="13.42578125" style="177" customWidth="1"/>
    <col min="9734" max="9734" width="13.140625" style="177" customWidth="1"/>
    <col min="9735" max="9735" width="12.42578125" style="177" customWidth="1"/>
    <col min="9736" max="9984" width="11.42578125" style="177"/>
    <col min="9985" max="9985" width="7.140625" style="177" customWidth="1"/>
    <col min="9986" max="9986" width="36.140625" style="177" customWidth="1"/>
    <col min="9987" max="9987" width="12.28515625" style="177" bestFit="1" customWidth="1"/>
    <col min="9988" max="9988" width="12.5703125" style="177" customWidth="1"/>
    <col min="9989" max="9989" width="13.42578125" style="177" customWidth="1"/>
    <col min="9990" max="9990" width="13.140625" style="177" customWidth="1"/>
    <col min="9991" max="9991" width="12.42578125" style="177" customWidth="1"/>
    <col min="9992" max="10240" width="11.42578125" style="177"/>
    <col min="10241" max="10241" width="7.140625" style="177" customWidth="1"/>
    <col min="10242" max="10242" width="36.140625" style="177" customWidth="1"/>
    <col min="10243" max="10243" width="12.28515625" style="177" bestFit="1" customWidth="1"/>
    <col min="10244" max="10244" width="12.5703125" style="177" customWidth="1"/>
    <col min="10245" max="10245" width="13.42578125" style="177" customWidth="1"/>
    <col min="10246" max="10246" width="13.140625" style="177" customWidth="1"/>
    <col min="10247" max="10247" width="12.42578125" style="177" customWidth="1"/>
    <col min="10248" max="10496" width="11.42578125" style="177"/>
    <col min="10497" max="10497" width="7.140625" style="177" customWidth="1"/>
    <col min="10498" max="10498" width="36.140625" style="177" customWidth="1"/>
    <col min="10499" max="10499" width="12.28515625" style="177" bestFit="1" customWidth="1"/>
    <col min="10500" max="10500" width="12.5703125" style="177" customWidth="1"/>
    <col min="10501" max="10501" width="13.42578125" style="177" customWidth="1"/>
    <col min="10502" max="10502" width="13.140625" style="177" customWidth="1"/>
    <col min="10503" max="10503" width="12.42578125" style="177" customWidth="1"/>
    <col min="10504" max="10752" width="11.42578125" style="177"/>
    <col min="10753" max="10753" width="7.140625" style="177" customWidth="1"/>
    <col min="10754" max="10754" width="36.140625" style="177" customWidth="1"/>
    <col min="10755" max="10755" width="12.28515625" style="177" bestFit="1" customWidth="1"/>
    <col min="10756" max="10756" width="12.5703125" style="177" customWidth="1"/>
    <col min="10757" max="10757" width="13.42578125" style="177" customWidth="1"/>
    <col min="10758" max="10758" width="13.140625" style="177" customWidth="1"/>
    <col min="10759" max="10759" width="12.42578125" style="177" customWidth="1"/>
    <col min="10760" max="11008" width="11.42578125" style="177"/>
    <col min="11009" max="11009" width="7.140625" style="177" customWidth="1"/>
    <col min="11010" max="11010" width="36.140625" style="177" customWidth="1"/>
    <col min="11011" max="11011" width="12.28515625" style="177" bestFit="1" customWidth="1"/>
    <col min="11012" max="11012" width="12.5703125" style="177" customWidth="1"/>
    <col min="11013" max="11013" width="13.42578125" style="177" customWidth="1"/>
    <col min="11014" max="11014" width="13.140625" style="177" customWidth="1"/>
    <col min="11015" max="11015" width="12.42578125" style="177" customWidth="1"/>
    <col min="11016" max="11264" width="11.42578125" style="177"/>
    <col min="11265" max="11265" width="7.140625" style="177" customWidth="1"/>
    <col min="11266" max="11266" width="36.140625" style="177" customWidth="1"/>
    <col min="11267" max="11267" width="12.28515625" style="177" bestFit="1" customWidth="1"/>
    <col min="11268" max="11268" width="12.5703125" style="177" customWidth="1"/>
    <col min="11269" max="11269" width="13.42578125" style="177" customWidth="1"/>
    <col min="11270" max="11270" width="13.140625" style="177" customWidth="1"/>
    <col min="11271" max="11271" width="12.42578125" style="177" customWidth="1"/>
    <col min="11272" max="11520" width="11.42578125" style="177"/>
    <col min="11521" max="11521" width="7.140625" style="177" customWidth="1"/>
    <col min="11522" max="11522" width="36.140625" style="177" customWidth="1"/>
    <col min="11523" max="11523" width="12.28515625" style="177" bestFit="1" customWidth="1"/>
    <col min="11524" max="11524" width="12.5703125" style="177" customWidth="1"/>
    <col min="11525" max="11525" width="13.42578125" style="177" customWidth="1"/>
    <col min="11526" max="11526" width="13.140625" style="177" customWidth="1"/>
    <col min="11527" max="11527" width="12.42578125" style="177" customWidth="1"/>
    <col min="11528" max="11776" width="11.42578125" style="177"/>
    <col min="11777" max="11777" width="7.140625" style="177" customWidth="1"/>
    <col min="11778" max="11778" width="36.140625" style="177" customWidth="1"/>
    <col min="11779" max="11779" width="12.28515625" style="177" bestFit="1" customWidth="1"/>
    <col min="11780" max="11780" width="12.5703125" style="177" customWidth="1"/>
    <col min="11781" max="11781" width="13.42578125" style="177" customWidth="1"/>
    <col min="11782" max="11782" width="13.140625" style="177" customWidth="1"/>
    <col min="11783" max="11783" width="12.42578125" style="177" customWidth="1"/>
    <col min="11784" max="12032" width="11.42578125" style="177"/>
    <col min="12033" max="12033" width="7.140625" style="177" customWidth="1"/>
    <col min="12034" max="12034" width="36.140625" style="177" customWidth="1"/>
    <col min="12035" max="12035" width="12.28515625" style="177" bestFit="1" customWidth="1"/>
    <col min="12036" max="12036" width="12.5703125" style="177" customWidth="1"/>
    <col min="12037" max="12037" width="13.42578125" style="177" customWidth="1"/>
    <col min="12038" max="12038" width="13.140625" style="177" customWidth="1"/>
    <col min="12039" max="12039" width="12.42578125" style="177" customWidth="1"/>
    <col min="12040" max="12288" width="11.42578125" style="177"/>
    <col min="12289" max="12289" width="7.140625" style="177" customWidth="1"/>
    <col min="12290" max="12290" width="36.140625" style="177" customWidth="1"/>
    <col min="12291" max="12291" width="12.28515625" style="177" bestFit="1" customWidth="1"/>
    <col min="12292" max="12292" width="12.5703125" style="177" customWidth="1"/>
    <col min="12293" max="12293" width="13.42578125" style="177" customWidth="1"/>
    <col min="12294" max="12294" width="13.140625" style="177" customWidth="1"/>
    <col min="12295" max="12295" width="12.42578125" style="177" customWidth="1"/>
    <col min="12296" max="12544" width="11.42578125" style="177"/>
    <col min="12545" max="12545" width="7.140625" style="177" customWidth="1"/>
    <col min="12546" max="12546" width="36.140625" style="177" customWidth="1"/>
    <col min="12547" max="12547" width="12.28515625" style="177" bestFit="1" customWidth="1"/>
    <col min="12548" max="12548" width="12.5703125" style="177" customWidth="1"/>
    <col min="12549" max="12549" width="13.42578125" style="177" customWidth="1"/>
    <col min="12550" max="12550" width="13.140625" style="177" customWidth="1"/>
    <col min="12551" max="12551" width="12.42578125" style="177" customWidth="1"/>
    <col min="12552" max="12800" width="11.42578125" style="177"/>
    <col min="12801" max="12801" width="7.140625" style="177" customWidth="1"/>
    <col min="12802" max="12802" width="36.140625" style="177" customWidth="1"/>
    <col min="12803" max="12803" width="12.28515625" style="177" bestFit="1" customWidth="1"/>
    <col min="12804" max="12804" width="12.5703125" style="177" customWidth="1"/>
    <col min="12805" max="12805" width="13.42578125" style="177" customWidth="1"/>
    <col min="12806" max="12806" width="13.140625" style="177" customWidth="1"/>
    <col min="12807" max="12807" width="12.42578125" style="177" customWidth="1"/>
    <col min="12808" max="13056" width="11.42578125" style="177"/>
    <col min="13057" max="13057" width="7.140625" style="177" customWidth="1"/>
    <col min="13058" max="13058" width="36.140625" style="177" customWidth="1"/>
    <col min="13059" max="13059" width="12.28515625" style="177" bestFit="1" customWidth="1"/>
    <col min="13060" max="13060" width="12.5703125" style="177" customWidth="1"/>
    <col min="13061" max="13061" width="13.42578125" style="177" customWidth="1"/>
    <col min="13062" max="13062" width="13.140625" style="177" customWidth="1"/>
    <col min="13063" max="13063" width="12.42578125" style="177" customWidth="1"/>
    <col min="13064" max="13312" width="11.42578125" style="177"/>
    <col min="13313" max="13313" width="7.140625" style="177" customWidth="1"/>
    <col min="13314" max="13314" width="36.140625" style="177" customWidth="1"/>
    <col min="13315" max="13315" width="12.28515625" style="177" bestFit="1" customWidth="1"/>
    <col min="13316" max="13316" width="12.5703125" style="177" customWidth="1"/>
    <col min="13317" max="13317" width="13.42578125" style="177" customWidth="1"/>
    <col min="13318" max="13318" width="13.140625" style="177" customWidth="1"/>
    <col min="13319" max="13319" width="12.42578125" style="177" customWidth="1"/>
    <col min="13320" max="13568" width="11.42578125" style="177"/>
    <col min="13569" max="13569" width="7.140625" style="177" customWidth="1"/>
    <col min="13570" max="13570" width="36.140625" style="177" customWidth="1"/>
    <col min="13571" max="13571" width="12.28515625" style="177" bestFit="1" customWidth="1"/>
    <col min="13572" max="13572" width="12.5703125" style="177" customWidth="1"/>
    <col min="13573" max="13573" width="13.42578125" style="177" customWidth="1"/>
    <col min="13574" max="13574" width="13.140625" style="177" customWidth="1"/>
    <col min="13575" max="13575" width="12.42578125" style="177" customWidth="1"/>
    <col min="13576" max="13824" width="11.42578125" style="177"/>
    <col min="13825" max="13825" width="7.140625" style="177" customWidth="1"/>
    <col min="13826" max="13826" width="36.140625" style="177" customWidth="1"/>
    <col min="13827" max="13827" width="12.28515625" style="177" bestFit="1" customWidth="1"/>
    <col min="13828" max="13828" width="12.5703125" style="177" customWidth="1"/>
    <col min="13829" max="13829" width="13.42578125" style="177" customWidth="1"/>
    <col min="13830" max="13830" width="13.140625" style="177" customWidth="1"/>
    <col min="13831" max="13831" width="12.42578125" style="177" customWidth="1"/>
    <col min="13832" max="14080" width="11.42578125" style="177"/>
    <col min="14081" max="14081" width="7.140625" style="177" customWidth="1"/>
    <col min="14082" max="14082" width="36.140625" style="177" customWidth="1"/>
    <col min="14083" max="14083" width="12.28515625" style="177" bestFit="1" customWidth="1"/>
    <col min="14084" max="14084" width="12.5703125" style="177" customWidth="1"/>
    <col min="14085" max="14085" width="13.42578125" style="177" customWidth="1"/>
    <col min="14086" max="14086" width="13.140625" style="177" customWidth="1"/>
    <col min="14087" max="14087" width="12.42578125" style="177" customWidth="1"/>
    <col min="14088" max="14336" width="11.42578125" style="177"/>
    <col min="14337" max="14337" width="7.140625" style="177" customWidth="1"/>
    <col min="14338" max="14338" width="36.140625" style="177" customWidth="1"/>
    <col min="14339" max="14339" width="12.28515625" style="177" bestFit="1" customWidth="1"/>
    <col min="14340" max="14340" width="12.5703125" style="177" customWidth="1"/>
    <col min="14341" max="14341" width="13.42578125" style="177" customWidth="1"/>
    <col min="14342" max="14342" width="13.140625" style="177" customWidth="1"/>
    <col min="14343" max="14343" width="12.42578125" style="177" customWidth="1"/>
    <col min="14344" max="14592" width="11.42578125" style="177"/>
    <col min="14593" max="14593" width="7.140625" style="177" customWidth="1"/>
    <col min="14594" max="14594" width="36.140625" style="177" customWidth="1"/>
    <col min="14595" max="14595" width="12.28515625" style="177" bestFit="1" customWidth="1"/>
    <col min="14596" max="14596" width="12.5703125" style="177" customWidth="1"/>
    <col min="14597" max="14597" width="13.42578125" style="177" customWidth="1"/>
    <col min="14598" max="14598" width="13.140625" style="177" customWidth="1"/>
    <col min="14599" max="14599" width="12.42578125" style="177" customWidth="1"/>
    <col min="14600" max="14848" width="11.42578125" style="177"/>
    <col min="14849" max="14849" width="7.140625" style="177" customWidth="1"/>
    <col min="14850" max="14850" width="36.140625" style="177" customWidth="1"/>
    <col min="14851" max="14851" width="12.28515625" style="177" bestFit="1" customWidth="1"/>
    <col min="14852" max="14852" width="12.5703125" style="177" customWidth="1"/>
    <col min="14853" max="14853" width="13.42578125" style="177" customWidth="1"/>
    <col min="14854" max="14854" width="13.140625" style="177" customWidth="1"/>
    <col min="14855" max="14855" width="12.42578125" style="177" customWidth="1"/>
    <col min="14856" max="15104" width="11.42578125" style="177"/>
    <col min="15105" max="15105" width="7.140625" style="177" customWidth="1"/>
    <col min="15106" max="15106" width="36.140625" style="177" customWidth="1"/>
    <col min="15107" max="15107" width="12.28515625" style="177" bestFit="1" customWidth="1"/>
    <col min="15108" max="15108" width="12.5703125" style="177" customWidth="1"/>
    <col min="15109" max="15109" width="13.42578125" style="177" customWidth="1"/>
    <col min="15110" max="15110" width="13.140625" style="177" customWidth="1"/>
    <col min="15111" max="15111" width="12.42578125" style="177" customWidth="1"/>
    <col min="15112" max="15360" width="11.42578125" style="177"/>
    <col min="15361" max="15361" width="7.140625" style="177" customWidth="1"/>
    <col min="15362" max="15362" width="36.140625" style="177" customWidth="1"/>
    <col min="15363" max="15363" width="12.28515625" style="177" bestFit="1" customWidth="1"/>
    <col min="15364" max="15364" width="12.5703125" style="177" customWidth="1"/>
    <col min="15365" max="15365" width="13.42578125" style="177" customWidth="1"/>
    <col min="15366" max="15366" width="13.140625" style="177" customWidth="1"/>
    <col min="15367" max="15367" width="12.42578125" style="177" customWidth="1"/>
    <col min="15368" max="15616" width="11.42578125" style="177"/>
    <col min="15617" max="15617" width="7.140625" style="177" customWidth="1"/>
    <col min="15618" max="15618" width="36.140625" style="177" customWidth="1"/>
    <col min="15619" max="15619" width="12.28515625" style="177" bestFit="1" customWidth="1"/>
    <col min="15620" max="15620" width="12.5703125" style="177" customWidth="1"/>
    <col min="15621" max="15621" width="13.42578125" style="177" customWidth="1"/>
    <col min="15622" max="15622" width="13.140625" style="177" customWidth="1"/>
    <col min="15623" max="15623" width="12.42578125" style="177" customWidth="1"/>
    <col min="15624" max="15872" width="11.42578125" style="177"/>
    <col min="15873" max="15873" width="7.140625" style="177" customWidth="1"/>
    <col min="15874" max="15874" width="36.140625" style="177" customWidth="1"/>
    <col min="15875" max="15875" width="12.28515625" style="177" bestFit="1" customWidth="1"/>
    <col min="15876" max="15876" width="12.5703125" style="177" customWidth="1"/>
    <col min="15877" max="15877" width="13.42578125" style="177" customWidth="1"/>
    <col min="15878" max="15878" width="13.140625" style="177" customWidth="1"/>
    <col min="15879" max="15879" width="12.42578125" style="177" customWidth="1"/>
    <col min="15880" max="16128" width="11.42578125" style="177"/>
    <col min="16129" max="16129" width="7.140625" style="177" customWidth="1"/>
    <col min="16130" max="16130" width="36.140625" style="177" customWidth="1"/>
    <col min="16131" max="16131" width="12.28515625" style="177" bestFit="1" customWidth="1"/>
    <col min="16132" max="16132" width="12.5703125" style="177" customWidth="1"/>
    <col min="16133" max="16133" width="13.42578125" style="177" customWidth="1"/>
    <col min="16134" max="16134" width="13.140625" style="177" customWidth="1"/>
    <col min="16135" max="16135" width="12.42578125" style="177" customWidth="1"/>
    <col min="16136" max="16384" width="11.42578125" style="177"/>
  </cols>
  <sheetData>
    <row r="1" spans="1:12" x14ac:dyDescent="0.2">
      <c r="A1" s="177" t="s">
        <v>112</v>
      </c>
    </row>
    <row r="2" spans="1:12" x14ac:dyDescent="0.2">
      <c r="C2" s="315" t="s">
        <v>113</v>
      </c>
      <c r="D2" s="315"/>
      <c r="E2" s="315"/>
      <c r="F2" s="315"/>
      <c r="G2" s="315"/>
    </row>
    <row r="3" spans="1:12" x14ac:dyDescent="0.2">
      <c r="B3" s="177" t="s">
        <v>114</v>
      </c>
      <c r="C3" s="177" t="s">
        <v>115</v>
      </c>
      <c r="D3" s="177" t="s">
        <v>116</v>
      </c>
      <c r="E3" s="177" t="s">
        <v>117</v>
      </c>
      <c r="F3" s="177" t="s">
        <v>118</v>
      </c>
      <c r="G3" s="178" t="s">
        <v>119</v>
      </c>
    </row>
    <row r="4" spans="1:12" ht="28.5" customHeight="1" x14ac:dyDescent="0.2">
      <c r="C4" s="179" t="s">
        <v>120</v>
      </c>
      <c r="D4" s="179" t="s">
        <v>121</v>
      </c>
      <c r="E4" s="179" t="s">
        <v>122</v>
      </c>
      <c r="F4" s="179" t="s">
        <v>123</v>
      </c>
      <c r="G4" s="180" t="s">
        <v>124</v>
      </c>
      <c r="H4" s="181" t="s">
        <v>125</v>
      </c>
      <c r="I4" s="182">
        <v>877803</v>
      </c>
      <c r="J4" s="177">
        <v>1500</v>
      </c>
      <c r="K4" s="183">
        <f>+J4*$I$4</f>
        <v>1316704500</v>
      </c>
      <c r="L4" s="177">
        <v>1316</v>
      </c>
    </row>
    <row r="5" spans="1:12" s="184" customFormat="1" x14ac:dyDescent="0.2">
      <c r="A5" s="184" t="s">
        <v>126</v>
      </c>
      <c r="B5" s="184" t="s">
        <v>29</v>
      </c>
      <c r="C5" s="185" t="s">
        <v>127</v>
      </c>
      <c r="D5" s="185" t="s">
        <v>127</v>
      </c>
      <c r="E5" s="185" t="s">
        <v>127</v>
      </c>
      <c r="F5" s="185" t="s">
        <v>127</v>
      </c>
      <c r="G5" s="185" t="s">
        <v>127</v>
      </c>
      <c r="J5" s="184">
        <v>3000</v>
      </c>
      <c r="K5" s="183">
        <f t="shared" ref="K5:K7" si="0">+J5*$I$4</f>
        <v>2633409000</v>
      </c>
      <c r="L5" s="184">
        <v>2633</v>
      </c>
    </row>
    <row r="6" spans="1:12" s="188" customFormat="1" x14ac:dyDescent="0.2">
      <c r="A6" s="186">
        <v>1</v>
      </c>
      <c r="B6" s="186" t="s">
        <v>128</v>
      </c>
      <c r="C6" s="187">
        <v>1</v>
      </c>
      <c r="D6" s="187">
        <v>1</v>
      </c>
      <c r="E6" s="187">
        <v>1</v>
      </c>
      <c r="F6" s="187">
        <v>1</v>
      </c>
      <c r="G6" s="187">
        <v>1</v>
      </c>
      <c r="H6" s="187">
        <v>1</v>
      </c>
      <c r="J6" s="188">
        <v>6000</v>
      </c>
      <c r="K6" s="183">
        <f t="shared" si="0"/>
        <v>5266818000</v>
      </c>
      <c r="L6" s="188">
        <v>5266</v>
      </c>
    </row>
    <row r="7" spans="1:12" s="188" customFormat="1" x14ac:dyDescent="0.2">
      <c r="A7" s="188">
        <v>2</v>
      </c>
      <c r="B7" s="188" t="s">
        <v>129</v>
      </c>
      <c r="C7" s="189">
        <f>SUM(C8:C19)</f>
        <v>0.58752220464044891</v>
      </c>
      <c r="D7" s="189">
        <f>SUM(D8:D19)</f>
        <v>0.58752220464044891</v>
      </c>
      <c r="E7" s="189">
        <f>SUM(E8:E19)</f>
        <v>0.58752220464044891</v>
      </c>
      <c r="F7" s="189">
        <f>SUM(F8:F19)</f>
        <v>0.58752220464044891</v>
      </c>
      <c r="G7" s="189">
        <f>SUM(G8:G19)</f>
        <v>0.58752220464044891</v>
      </c>
      <c r="H7" s="189">
        <f>SUM(H8:H22)</f>
        <v>0.61443333333333339</v>
      </c>
      <c r="J7" s="188">
        <v>10000</v>
      </c>
      <c r="K7" s="183">
        <f t="shared" si="0"/>
        <v>8778030000</v>
      </c>
      <c r="L7" s="188">
        <v>8778</v>
      </c>
    </row>
    <row r="8" spans="1:12" outlineLevel="1" x14ac:dyDescent="0.2">
      <c r="A8" s="177">
        <f>+A7+0.01</f>
        <v>2.0099999999999998</v>
      </c>
      <c r="B8" s="177" t="s">
        <v>130</v>
      </c>
      <c r="C8" s="190">
        <f>30/360</f>
        <v>8.3333333333333329E-2</v>
      </c>
      <c r="D8" s="190">
        <f>+C8</f>
        <v>8.3333333333333329E-2</v>
      </c>
      <c r="E8" s="190">
        <f>+C8</f>
        <v>8.3333333333333329E-2</v>
      </c>
      <c r="F8" s="190">
        <f>+C8</f>
        <v>8.3333333333333329E-2</v>
      </c>
      <c r="G8" s="190">
        <f>+C8</f>
        <v>8.3333333333333329E-2</v>
      </c>
      <c r="H8" s="190">
        <f>+C8</f>
        <v>8.3333333333333329E-2</v>
      </c>
    </row>
    <row r="9" spans="1:12" outlineLevel="1" x14ac:dyDescent="0.2">
      <c r="A9" s="177">
        <f t="shared" ref="A9:A22" si="1">+A8+0.01</f>
        <v>2.0199999999999996</v>
      </c>
      <c r="B9" s="177" t="s">
        <v>131</v>
      </c>
      <c r="C9" s="190">
        <v>0.01</v>
      </c>
      <c r="D9" s="190">
        <v>0.01</v>
      </c>
      <c r="E9" s="190">
        <v>0.01</v>
      </c>
      <c r="F9" s="190">
        <v>0.01</v>
      </c>
      <c r="G9" s="190">
        <v>0.01</v>
      </c>
      <c r="H9" s="191">
        <v>1.2999999999999999E-2</v>
      </c>
    </row>
    <row r="10" spans="1:12" outlineLevel="1" x14ac:dyDescent="0.2">
      <c r="A10" s="177">
        <f t="shared" si="1"/>
        <v>2.0299999999999994</v>
      </c>
      <c r="B10" s="177" t="s">
        <v>132</v>
      </c>
      <c r="C10" s="190">
        <f>30/360</f>
        <v>8.3333333333333329E-2</v>
      </c>
      <c r="D10" s="190">
        <f t="shared" ref="D10:D19" si="2">+C10</f>
        <v>8.3333333333333329E-2</v>
      </c>
      <c r="E10" s="190">
        <f t="shared" ref="E10:E19" si="3">+C10</f>
        <v>8.3333333333333329E-2</v>
      </c>
      <c r="F10" s="190">
        <f t="shared" ref="F10:F19" si="4">+C10</f>
        <v>8.3333333333333329E-2</v>
      </c>
      <c r="G10" s="190">
        <f t="shared" ref="G10:G19" si="5">+C10</f>
        <v>8.3333333333333329E-2</v>
      </c>
      <c r="H10" s="190">
        <f>+C10</f>
        <v>8.3333333333333329E-2</v>
      </c>
      <c r="J10" s="177">
        <f>102854/877803</f>
        <v>0.11717207619477263</v>
      </c>
    </row>
    <row r="11" spans="1:12" outlineLevel="1" x14ac:dyDescent="0.2">
      <c r="A11" s="177">
        <f t="shared" si="1"/>
        <v>2.0399999999999991</v>
      </c>
      <c r="B11" s="177" t="s">
        <v>133</v>
      </c>
      <c r="C11" s="190">
        <f>15/360</f>
        <v>4.1666666666666664E-2</v>
      </c>
      <c r="D11" s="190">
        <f t="shared" si="2"/>
        <v>4.1666666666666664E-2</v>
      </c>
      <c r="E11" s="190">
        <f t="shared" si="3"/>
        <v>4.1666666666666664E-2</v>
      </c>
      <c r="F11" s="190">
        <f t="shared" si="4"/>
        <v>4.1666666666666664E-2</v>
      </c>
      <c r="G11" s="190">
        <f t="shared" si="5"/>
        <v>4.1666666666666664E-2</v>
      </c>
      <c r="H11" s="192">
        <f>+C11</f>
        <v>4.1666666666666664E-2</v>
      </c>
    </row>
    <row r="12" spans="1:12" outlineLevel="1" x14ac:dyDescent="0.2">
      <c r="A12" s="177">
        <f t="shared" si="1"/>
        <v>2.0499999999999989</v>
      </c>
      <c r="B12" s="177" t="s">
        <v>134</v>
      </c>
      <c r="C12" s="190">
        <v>8.5000000000000006E-2</v>
      </c>
      <c r="D12" s="190">
        <f t="shared" si="2"/>
        <v>8.5000000000000006E-2</v>
      </c>
      <c r="E12" s="190">
        <f t="shared" si="3"/>
        <v>8.5000000000000006E-2</v>
      </c>
      <c r="F12" s="190">
        <f t="shared" si="4"/>
        <v>8.5000000000000006E-2</v>
      </c>
      <c r="G12" s="190">
        <f t="shared" si="5"/>
        <v>8.5000000000000006E-2</v>
      </c>
      <c r="H12" s="193"/>
    </row>
    <row r="13" spans="1:12" outlineLevel="1" x14ac:dyDescent="0.2">
      <c r="A13" s="177">
        <f t="shared" si="1"/>
        <v>2.0599999999999987</v>
      </c>
      <c r="B13" s="177" t="s">
        <v>135</v>
      </c>
      <c r="C13" s="190">
        <v>0.12</v>
      </c>
      <c r="D13" s="190">
        <f t="shared" si="2"/>
        <v>0.12</v>
      </c>
      <c r="E13" s="190">
        <f t="shared" si="3"/>
        <v>0.12</v>
      </c>
      <c r="F13" s="190">
        <f t="shared" si="4"/>
        <v>0.12</v>
      </c>
      <c r="G13" s="190">
        <f t="shared" si="5"/>
        <v>0.12</v>
      </c>
      <c r="H13" s="192">
        <f>+C13</f>
        <v>0.12</v>
      </c>
    </row>
    <row r="14" spans="1:12" outlineLevel="1" x14ac:dyDescent="0.2">
      <c r="A14" s="177">
        <f t="shared" si="1"/>
        <v>2.0699999999999985</v>
      </c>
      <c r="B14" s="177" t="s">
        <v>136</v>
      </c>
      <c r="C14" s="190">
        <v>6.9599999999999995E-2</v>
      </c>
      <c r="D14" s="190">
        <f t="shared" si="2"/>
        <v>6.9599999999999995E-2</v>
      </c>
      <c r="E14" s="190">
        <f t="shared" si="3"/>
        <v>6.9599999999999995E-2</v>
      </c>
      <c r="F14" s="190">
        <f t="shared" si="4"/>
        <v>6.9599999999999995E-2</v>
      </c>
      <c r="G14" s="190">
        <f t="shared" si="5"/>
        <v>6.9599999999999995E-2</v>
      </c>
      <c r="H14" s="191">
        <v>2.5000000000000001E-2</v>
      </c>
    </row>
    <row r="15" spans="1:12" outlineLevel="1" x14ac:dyDescent="0.2">
      <c r="A15" s="177">
        <f t="shared" si="1"/>
        <v>2.0799999999999983</v>
      </c>
      <c r="B15" s="177" t="s">
        <v>137</v>
      </c>
      <c r="C15" s="194">
        <v>0.04</v>
      </c>
      <c r="D15" s="194">
        <f t="shared" si="2"/>
        <v>0.04</v>
      </c>
      <c r="E15" s="194">
        <f t="shared" si="3"/>
        <v>0.04</v>
      </c>
      <c r="F15" s="194">
        <f t="shared" si="4"/>
        <v>0.04</v>
      </c>
      <c r="G15" s="194">
        <f t="shared" si="5"/>
        <v>0.04</v>
      </c>
      <c r="H15" s="194">
        <v>0</v>
      </c>
    </row>
    <row r="16" spans="1:12" outlineLevel="1" x14ac:dyDescent="0.2">
      <c r="A16" s="177">
        <f t="shared" si="1"/>
        <v>2.0899999999999981</v>
      </c>
      <c r="B16" s="177" t="s">
        <v>138</v>
      </c>
      <c r="C16" s="194">
        <v>0.03</v>
      </c>
      <c r="D16" s="194">
        <f t="shared" si="2"/>
        <v>0.03</v>
      </c>
      <c r="E16" s="194">
        <f t="shared" si="3"/>
        <v>0.03</v>
      </c>
      <c r="F16" s="194">
        <f t="shared" si="4"/>
        <v>0.03</v>
      </c>
      <c r="G16" s="194">
        <f t="shared" si="5"/>
        <v>0.03</v>
      </c>
      <c r="H16" s="194">
        <v>0</v>
      </c>
    </row>
    <row r="17" spans="1:14" outlineLevel="1" x14ac:dyDescent="0.2">
      <c r="A17" s="195">
        <f t="shared" si="1"/>
        <v>2.0999999999999979</v>
      </c>
      <c r="B17" s="177" t="s">
        <v>139</v>
      </c>
      <c r="C17" s="194">
        <v>0.02</v>
      </c>
      <c r="D17" s="194">
        <f t="shared" si="2"/>
        <v>0.02</v>
      </c>
      <c r="E17" s="194">
        <f t="shared" si="3"/>
        <v>0.02</v>
      </c>
      <c r="F17" s="194">
        <f t="shared" si="4"/>
        <v>0.02</v>
      </c>
      <c r="G17" s="194">
        <f t="shared" si="5"/>
        <v>0.02</v>
      </c>
      <c r="H17" s="194">
        <v>0</v>
      </c>
    </row>
    <row r="18" spans="1:14" outlineLevel="1" x14ac:dyDescent="0.2">
      <c r="A18" s="177">
        <f t="shared" si="1"/>
        <v>2.1099999999999977</v>
      </c>
      <c r="B18" s="177" t="s">
        <v>140</v>
      </c>
      <c r="C18" s="196">
        <f>56900/496900*0</f>
        <v>0</v>
      </c>
      <c r="D18" s="196">
        <f t="shared" si="2"/>
        <v>0</v>
      </c>
      <c r="E18" s="196">
        <f t="shared" si="3"/>
        <v>0</v>
      </c>
      <c r="F18" s="196">
        <f t="shared" si="4"/>
        <v>0</v>
      </c>
      <c r="G18" s="196">
        <f t="shared" si="5"/>
        <v>0</v>
      </c>
    </row>
    <row r="19" spans="1:14" outlineLevel="1" x14ac:dyDescent="0.2">
      <c r="A19" s="177">
        <f t="shared" si="1"/>
        <v>2.1199999999999974</v>
      </c>
      <c r="B19" s="177" t="s">
        <v>141</v>
      </c>
      <c r="C19" s="196">
        <f>+C58</f>
        <v>4.588871307115606E-3</v>
      </c>
      <c r="D19" s="196">
        <f t="shared" si="2"/>
        <v>4.588871307115606E-3</v>
      </c>
      <c r="E19" s="196">
        <f t="shared" si="3"/>
        <v>4.588871307115606E-3</v>
      </c>
      <c r="F19" s="196">
        <f t="shared" si="4"/>
        <v>4.588871307115606E-3</v>
      </c>
      <c r="G19" s="196">
        <f t="shared" si="5"/>
        <v>4.588871307115606E-3</v>
      </c>
      <c r="H19" s="191">
        <v>0.06</v>
      </c>
    </row>
    <row r="20" spans="1:14" outlineLevel="1" x14ac:dyDescent="0.2">
      <c r="A20" s="177">
        <f t="shared" si="1"/>
        <v>2.1299999999999972</v>
      </c>
      <c r="B20" s="177" t="s">
        <v>142</v>
      </c>
      <c r="C20" s="196"/>
      <c r="D20" s="196"/>
      <c r="E20" s="196"/>
      <c r="F20" s="196"/>
      <c r="G20" s="196"/>
      <c r="H20" s="191">
        <v>0.1313</v>
      </c>
    </row>
    <row r="21" spans="1:14" outlineLevel="1" x14ac:dyDescent="0.2">
      <c r="A21" s="177">
        <f t="shared" si="1"/>
        <v>2.139999999999997</v>
      </c>
      <c r="B21" s="177" t="s">
        <v>143</v>
      </c>
      <c r="C21" s="196"/>
      <c r="D21" s="196"/>
      <c r="E21" s="196"/>
      <c r="F21" s="196"/>
      <c r="G21" s="196"/>
      <c r="H21" s="191">
        <v>3.6799999999999999E-2</v>
      </c>
    </row>
    <row r="22" spans="1:14" outlineLevel="1" x14ac:dyDescent="0.2">
      <c r="A22" s="177">
        <f t="shared" si="1"/>
        <v>2.1499999999999968</v>
      </c>
      <c r="B22" s="177" t="s">
        <v>144</v>
      </c>
      <c r="C22" s="196"/>
      <c r="D22" s="196"/>
      <c r="E22" s="196"/>
      <c r="F22" s="196"/>
      <c r="G22" s="196"/>
      <c r="H22" s="191">
        <v>0.02</v>
      </c>
    </row>
    <row r="23" spans="1:14" s="188" customFormat="1" x14ac:dyDescent="0.2">
      <c r="A23" s="188">
        <v>3</v>
      </c>
      <c r="B23" s="188" t="s">
        <v>145</v>
      </c>
      <c r="C23" s="197">
        <f>SUM(C24:C36)</f>
        <v>0.25525000000000003</v>
      </c>
      <c r="D23" s="197">
        <f>SUM(D24:D36)</f>
        <v>0.24525000000000002</v>
      </c>
      <c r="E23" s="197">
        <f>SUM(E24:E36)</f>
        <v>0.23525000000000001</v>
      </c>
      <c r="F23" s="197">
        <f>SUM(F24:F36)</f>
        <v>0.22525000000000001</v>
      </c>
      <c r="G23" s="197">
        <f>SUM(G24:G36)</f>
        <v>0.21525000000000005</v>
      </c>
      <c r="H23" s="197">
        <f>SUM(H24:H39)</f>
        <v>0.50700000000000001</v>
      </c>
    </row>
    <row r="24" spans="1:14" ht="25.5" outlineLevel="1" x14ac:dyDescent="0.2">
      <c r="A24" s="177">
        <f>+A23+0.01</f>
        <v>3.01</v>
      </c>
      <c r="B24" s="198" t="s">
        <v>146</v>
      </c>
      <c r="C24" s="199">
        <v>0.08</v>
      </c>
      <c r="D24" s="199">
        <v>0.08</v>
      </c>
      <c r="E24" s="199">
        <v>0.08</v>
      </c>
      <c r="F24" s="199">
        <v>0.08</v>
      </c>
      <c r="G24" s="199">
        <v>0.08</v>
      </c>
      <c r="H24" s="191">
        <v>3.2000000000000001E-2</v>
      </c>
      <c r="K24" s="200">
        <f>+C24*877803*1500</f>
        <v>105336360.00000001</v>
      </c>
      <c r="L24" s="200">
        <f>+D24*877803*3000</f>
        <v>210672720.00000003</v>
      </c>
      <c r="M24" s="200">
        <f>+E24*877803*6000</f>
        <v>421345440.00000006</v>
      </c>
      <c r="N24" s="200">
        <f>+F24*877803*10000</f>
        <v>702242400</v>
      </c>
    </row>
    <row r="25" spans="1:14" outlineLevel="1" x14ac:dyDescent="0.2">
      <c r="A25" s="177">
        <f t="shared" ref="A25:A39" si="6">+A24+0.01</f>
        <v>3.0199999999999996</v>
      </c>
      <c r="B25" s="198" t="s">
        <v>147</v>
      </c>
      <c r="C25" s="199">
        <v>0.02</v>
      </c>
      <c r="D25" s="199">
        <f>+C25</f>
        <v>0.02</v>
      </c>
      <c r="E25" s="199">
        <f>+C25</f>
        <v>0.02</v>
      </c>
      <c r="F25" s="199">
        <f>+C25</f>
        <v>0.02</v>
      </c>
      <c r="G25" s="199">
        <f>+C25</f>
        <v>0.02</v>
      </c>
      <c r="H25" s="191">
        <v>0.02</v>
      </c>
      <c r="K25" s="200">
        <f t="shared" ref="K25:K35" si="7">+C25*877803*1500</f>
        <v>26334090.000000004</v>
      </c>
      <c r="L25" s="200">
        <f t="shared" ref="L25:L35" si="8">+D25*877803*3000</f>
        <v>52668180.000000007</v>
      </c>
      <c r="M25" s="200">
        <f t="shared" ref="M25:M35" si="9">+E25*877803*6000</f>
        <v>105336360.00000001</v>
      </c>
      <c r="N25" s="200">
        <f t="shared" ref="N25:N35" si="10">+F25*877803*10000</f>
        <v>175560600</v>
      </c>
    </row>
    <row r="26" spans="1:14" outlineLevel="1" x14ac:dyDescent="0.2">
      <c r="A26" s="177">
        <f t="shared" si="6"/>
        <v>3.0299999999999994</v>
      </c>
      <c r="B26" s="198" t="s">
        <v>148</v>
      </c>
      <c r="C26" s="201">
        <v>0.06</v>
      </c>
      <c r="D26" s="201">
        <v>0.05</v>
      </c>
      <c r="E26" s="201">
        <v>0.04</v>
      </c>
      <c r="F26" s="201">
        <v>0.03</v>
      </c>
      <c r="G26" s="201">
        <v>0.02</v>
      </c>
      <c r="H26" s="191">
        <v>0.01</v>
      </c>
      <c r="K26" s="200">
        <f t="shared" si="7"/>
        <v>79002270</v>
      </c>
      <c r="L26" s="200">
        <f t="shared" si="8"/>
        <v>131670450</v>
      </c>
      <c r="M26" s="200">
        <f t="shared" si="9"/>
        <v>210672720.00000003</v>
      </c>
      <c r="N26" s="200">
        <f t="shared" si="10"/>
        <v>263340900</v>
      </c>
    </row>
    <row r="27" spans="1:14" outlineLevel="1" x14ac:dyDescent="0.2">
      <c r="A27" s="177">
        <f t="shared" si="6"/>
        <v>3.0399999999999991</v>
      </c>
      <c r="B27" s="198" t="s">
        <v>149</v>
      </c>
      <c r="C27" s="202">
        <f>7%*0</f>
        <v>0</v>
      </c>
      <c r="D27" s="202">
        <f>6%*0</f>
        <v>0</v>
      </c>
      <c r="E27" s="202">
        <f>5%*0</f>
        <v>0</v>
      </c>
      <c r="F27" s="202">
        <f>4%*0</f>
        <v>0</v>
      </c>
      <c r="G27" s="202">
        <f>3%*0</f>
        <v>0</v>
      </c>
      <c r="H27" s="191">
        <v>0.01</v>
      </c>
      <c r="K27" s="200">
        <f t="shared" si="7"/>
        <v>0</v>
      </c>
      <c r="L27" s="200">
        <f t="shared" si="8"/>
        <v>0</v>
      </c>
      <c r="M27" s="200">
        <f t="shared" si="9"/>
        <v>0</v>
      </c>
      <c r="N27" s="200">
        <f t="shared" si="10"/>
        <v>0</v>
      </c>
    </row>
    <row r="28" spans="1:14" ht="14.25" customHeight="1" outlineLevel="1" x14ac:dyDescent="0.2">
      <c r="A28" s="177">
        <f t="shared" si="6"/>
        <v>3.0499999999999989</v>
      </c>
      <c r="B28" s="198" t="s">
        <v>150</v>
      </c>
      <c r="C28" s="203">
        <v>0.03</v>
      </c>
      <c r="D28" s="203">
        <v>0.03</v>
      </c>
      <c r="E28" s="203">
        <v>0.03</v>
      </c>
      <c r="F28" s="203">
        <v>0.03</v>
      </c>
      <c r="G28" s="203">
        <v>0.03</v>
      </c>
      <c r="H28" s="191">
        <v>0.15</v>
      </c>
      <c r="K28" s="200">
        <f t="shared" si="7"/>
        <v>39501135</v>
      </c>
      <c r="L28" s="200">
        <f t="shared" si="8"/>
        <v>79002270</v>
      </c>
      <c r="M28" s="200">
        <f t="shared" si="9"/>
        <v>158004540</v>
      </c>
      <c r="N28" s="200">
        <f t="shared" si="10"/>
        <v>263340900</v>
      </c>
    </row>
    <row r="29" spans="1:14" ht="14.25" customHeight="1" outlineLevel="1" x14ac:dyDescent="0.2">
      <c r="A29" s="177">
        <f t="shared" si="6"/>
        <v>3.0599999999999987</v>
      </c>
      <c r="B29" s="198" t="s">
        <v>151</v>
      </c>
      <c r="C29" s="203">
        <v>0.01</v>
      </c>
      <c r="D29" s="203">
        <v>0.01</v>
      </c>
      <c r="E29" s="203">
        <v>0.01</v>
      </c>
      <c r="F29" s="203">
        <v>0.01</v>
      </c>
      <c r="G29" s="203">
        <v>0.01</v>
      </c>
      <c r="H29" s="191">
        <v>0.01</v>
      </c>
      <c r="K29" s="200">
        <f t="shared" si="7"/>
        <v>13167045.000000002</v>
      </c>
      <c r="L29" s="200">
        <f t="shared" si="8"/>
        <v>26334090.000000004</v>
      </c>
      <c r="M29" s="200">
        <f t="shared" si="9"/>
        <v>52668180.000000007</v>
      </c>
      <c r="N29" s="200">
        <f t="shared" si="10"/>
        <v>87780300</v>
      </c>
    </row>
    <row r="30" spans="1:14" ht="16.5" customHeight="1" outlineLevel="1" x14ac:dyDescent="0.2">
      <c r="A30" s="177">
        <f t="shared" si="6"/>
        <v>3.0699999999999985</v>
      </c>
      <c r="B30" s="198" t="s">
        <v>152</v>
      </c>
      <c r="C30" s="203">
        <v>0.01</v>
      </c>
      <c r="D30" s="203">
        <f>+C30</f>
        <v>0.01</v>
      </c>
      <c r="E30" s="203">
        <f>+C30</f>
        <v>0.01</v>
      </c>
      <c r="F30" s="203">
        <f>+C30</f>
        <v>0.01</v>
      </c>
      <c r="G30" s="203">
        <f>+C30</f>
        <v>0.01</v>
      </c>
      <c r="H30" s="191"/>
      <c r="K30" s="200">
        <f t="shared" si="7"/>
        <v>13167045.000000002</v>
      </c>
      <c r="L30" s="200">
        <f t="shared" si="8"/>
        <v>26334090.000000004</v>
      </c>
      <c r="M30" s="200">
        <f t="shared" si="9"/>
        <v>52668180.000000007</v>
      </c>
      <c r="N30" s="200">
        <f t="shared" si="10"/>
        <v>87780300</v>
      </c>
    </row>
    <row r="31" spans="1:14" ht="18" customHeight="1" outlineLevel="1" x14ac:dyDescent="0.2">
      <c r="A31" s="177">
        <f t="shared" si="6"/>
        <v>3.0799999999999983</v>
      </c>
      <c r="B31" s="198" t="s">
        <v>153</v>
      </c>
      <c r="C31" s="203">
        <v>0.02</v>
      </c>
      <c r="D31" s="203">
        <v>0.02</v>
      </c>
      <c r="E31" s="203">
        <v>0.02</v>
      </c>
      <c r="F31" s="203">
        <v>0.02</v>
      </c>
      <c r="G31" s="203">
        <v>0.02</v>
      </c>
      <c r="H31" s="191">
        <v>0.02</v>
      </c>
      <c r="K31" s="200">
        <f t="shared" si="7"/>
        <v>26334090.000000004</v>
      </c>
      <c r="L31" s="200">
        <f t="shared" si="8"/>
        <v>52668180.000000007</v>
      </c>
      <c r="M31" s="200">
        <f t="shared" si="9"/>
        <v>105336360.00000001</v>
      </c>
      <c r="N31" s="200">
        <f t="shared" si="10"/>
        <v>175560600</v>
      </c>
    </row>
    <row r="32" spans="1:14" ht="12.75" customHeight="1" outlineLevel="1" x14ac:dyDescent="0.2">
      <c r="A32" s="177">
        <f t="shared" si="6"/>
        <v>3.0899999999999981</v>
      </c>
      <c r="B32" s="198" t="s">
        <v>154</v>
      </c>
      <c r="C32" s="203">
        <v>2.5000000000000001E-3</v>
      </c>
      <c r="D32" s="203">
        <f>+C32</f>
        <v>2.5000000000000001E-3</v>
      </c>
      <c r="E32" s="203">
        <f>+C32</f>
        <v>2.5000000000000001E-3</v>
      </c>
      <c r="F32" s="203">
        <f>+C32</f>
        <v>2.5000000000000001E-3</v>
      </c>
      <c r="G32" s="203">
        <f>+C32</f>
        <v>2.5000000000000001E-3</v>
      </c>
      <c r="H32" s="191">
        <v>0.06</v>
      </c>
      <c r="K32" s="200">
        <f t="shared" si="7"/>
        <v>3291761.2500000005</v>
      </c>
      <c r="L32" s="200">
        <f t="shared" si="8"/>
        <v>6583522.5000000009</v>
      </c>
      <c r="M32" s="200">
        <f t="shared" si="9"/>
        <v>13167045.000000002</v>
      </c>
      <c r="N32" s="200">
        <f t="shared" si="10"/>
        <v>21945075</v>
      </c>
    </row>
    <row r="33" spans="1:14" outlineLevel="1" x14ac:dyDescent="0.2">
      <c r="A33" s="195">
        <f t="shared" si="6"/>
        <v>3.0999999999999979</v>
      </c>
      <c r="B33" s="198" t="s">
        <v>155</v>
      </c>
      <c r="C33" s="203">
        <v>2.5000000000000001E-4</v>
      </c>
      <c r="D33" s="203">
        <f>+C33</f>
        <v>2.5000000000000001E-4</v>
      </c>
      <c r="E33" s="203">
        <f>+C33</f>
        <v>2.5000000000000001E-4</v>
      </c>
      <c r="F33" s="203">
        <f>+C33</f>
        <v>2.5000000000000001E-4</v>
      </c>
      <c r="G33" s="203">
        <f>+C33</f>
        <v>2.5000000000000001E-4</v>
      </c>
      <c r="H33" s="191">
        <v>0.01</v>
      </c>
      <c r="K33" s="200">
        <f t="shared" si="7"/>
        <v>329176.125</v>
      </c>
      <c r="L33" s="200">
        <f t="shared" si="8"/>
        <v>658352.25</v>
      </c>
      <c r="M33" s="200">
        <f t="shared" si="9"/>
        <v>1316704.5</v>
      </c>
      <c r="N33" s="200">
        <f t="shared" si="10"/>
        <v>2194507.5</v>
      </c>
    </row>
    <row r="34" spans="1:14" ht="14.25" customHeight="1" outlineLevel="1" x14ac:dyDescent="0.2">
      <c r="A34" s="177">
        <f t="shared" si="6"/>
        <v>3.1099999999999977</v>
      </c>
      <c r="B34" s="198" t="s">
        <v>156</v>
      </c>
      <c r="C34" s="203">
        <f>+C35/2</f>
        <v>7.4999999999999997E-3</v>
      </c>
      <c r="D34" s="203">
        <f>+D35/2</f>
        <v>7.4999999999999997E-3</v>
      </c>
      <c r="E34" s="203">
        <f>+E35/2</f>
        <v>7.4999999999999997E-3</v>
      </c>
      <c r="F34" s="203">
        <f>+F35/2</f>
        <v>7.4999999999999997E-3</v>
      </c>
      <c r="G34" s="203">
        <f>+G35/2</f>
        <v>7.4999999999999997E-3</v>
      </c>
      <c r="H34" s="191">
        <v>0.05</v>
      </c>
      <c r="K34" s="200">
        <f t="shared" si="7"/>
        <v>9875283.75</v>
      </c>
      <c r="L34" s="200">
        <f t="shared" si="8"/>
        <v>19750567.5</v>
      </c>
      <c r="M34" s="200">
        <f t="shared" si="9"/>
        <v>39501135</v>
      </c>
      <c r="N34" s="200">
        <f t="shared" si="10"/>
        <v>65835225</v>
      </c>
    </row>
    <row r="35" spans="1:14" ht="12.75" customHeight="1" outlineLevel="1" x14ac:dyDescent="0.2">
      <c r="A35" s="177">
        <f t="shared" si="6"/>
        <v>3.1199999999999974</v>
      </c>
      <c r="B35" s="198" t="s">
        <v>157</v>
      </c>
      <c r="C35" s="203">
        <v>1.4999999999999999E-2</v>
      </c>
      <c r="D35" s="203">
        <f>+C35</f>
        <v>1.4999999999999999E-2</v>
      </c>
      <c r="E35" s="203">
        <f>+C35</f>
        <v>1.4999999999999999E-2</v>
      </c>
      <c r="F35" s="203">
        <f>+C35</f>
        <v>1.4999999999999999E-2</v>
      </c>
      <c r="G35" s="203">
        <f>+C35</f>
        <v>1.4999999999999999E-2</v>
      </c>
      <c r="H35" s="191">
        <v>1.4999999999999999E-2</v>
      </c>
      <c r="K35" s="200">
        <f t="shared" si="7"/>
        <v>19750567.5</v>
      </c>
      <c r="L35" s="200">
        <f t="shared" si="8"/>
        <v>39501135</v>
      </c>
      <c r="M35" s="200">
        <f t="shared" si="9"/>
        <v>79002270</v>
      </c>
      <c r="N35" s="200">
        <f t="shared" si="10"/>
        <v>131670450</v>
      </c>
    </row>
    <row r="36" spans="1:14" ht="16.5" customHeight="1" outlineLevel="1" x14ac:dyDescent="0.2">
      <c r="A36" s="204">
        <f t="shared" si="6"/>
        <v>3.1299999999999972</v>
      </c>
      <c r="B36" s="205" t="s">
        <v>158</v>
      </c>
      <c r="C36" s="206">
        <f>1%*0</f>
        <v>0</v>
      </c>
      <c r="D36" s="206">
        <f>+C36</f>
        <v>0</v>
      </c>
      <c r="E36" s="206">
        <f>+C36</f>
        <v>0</v>
      </c>
      <c r="F36" s="206">
        <f>+C36</f>
        <v>0</v>
      </c>
      <c r="G36" s="206">
        <f>+C36</f>
        <v>0</v>
      </c>
      <c r="H36" s="191">
        <v>0</v>
      </c>
    </row>
    <row r="37" spans="1:14" ht="16.5" customHeight="1" outlineLevel="1" x14ac:dyDescent="0.2">
      <c r="A37" s="177">
        <f t="shared" si="6"/>
        <v>3.139999999999997</v>
      </c>
      <c r="B37" s="207" t="s">
        <v>159</v>
      </c>
      <c r="C37" s="208"/>
      <c r="D37" s="208"/>
      <c r="E37" s="208"/>
      <c r="F37" s="208"/>
      <c r="G37" s="208"/>
      <c r="H37" s="191">
        <v>0.05</v>
      </c>
    </row>
    <row r="38" spans="1:14" ht="16.5" customHeight="1" outlineLevel="1" x14ac:dyDescent="0.2">
      <c r="A38" s="204">
        <f t="shared" si="6"/>
        <v>3.1499999999999968</v>
      </c>
      <c r="B38" s="207" t="s">
        <v>160</v>
      </c>
      <c r="C38" s="208"/>
      <c r="D38" s="208"/>
      <c r="E38" s="208"/>
      <c r="F38" s="208"/>
      <c r="G38" s="208"/>
      <c r="H38" s="191">
        <v>0.02</v>
      </c>
    </row>
    <row r="39" spans="1:14" ht="16.5" customHeight="1" outlineLevel="1" x14ac:dyDescent="0.2">
      <c r="A39" s="177">
        <f t="shared" si="6"/>
        <v>3.1599999999999966</v>
      </c>
      <c r="B39" s="207" t="s">
        <v>161</v>
      </c>
      <c r="C39" s="208"/>
      <c r="D39" s="208"/>
      <c r="E39" s="208"/>
      <c r="F39" s="208"/>
      <c r="G39" s="208"/>
      <c r="H39" s="191">
        <v>0.05</v>
      </c>
    </row>
    <row r="40" spans="1:14" s="188" customFormat="1" ht="25.5" customHeight="1" x14ac:dyDescent="0.2">
      <c r="A40" s="188">
        <v>4</v>
      </c>
      <c r="B40" s="209" t="s">
        <v>162</v>
      </c>
      <c r="C40" s="197">
        <f>SUM(C41:C48)</f>
        <v>0.24254348105186668</v>
      </c>
      <c r="D40" s="197">
        <f>SUM(D41:D48)</f>
        <v>0.23806814447483335</v>
      </c>
      <c r="E40" s="197">
        <f>SUM(E41:E48)</f>
        <v>0.23313255384010004</v>
      </c>
      <c r="F40" s="197">
        <f>SUM(F41:F48)</f>
        <v>0.22850031032760004</v>
      </c>
      <c r="G40" s="197">
        <f>SUM(G41:G48)</f>
        <v>0.22391700593740005</v>
      </c>
      <c r="H40" s="197">
        <f>SUM(H41:H49)</f>
        <v>0.10680000000000001</v>
      </c>
    </row>
    <row r="41" spans="1:14" outlineLevel="1" x14ac:dyDescent="0.2">
      <c r="A41" s="177">
        <f>+A40+0.01</f>
        <v>4.01</v>
      </c>
      <c r="B41" s="177" t="s">
        <v>163</v>
      </c>
      <c r="C41" s="196">
        <v>1.913217E-2</v>
      </c>
      <c r="D41" s="196">
        <v>1.87762125E-2</v>
      </c>
      <c r="E41" s="196">
        <v>1.8383647499999999E-2</v>
      </c>
      <c r="F41" s="196">
        <v>1.8015210000000004E-2</v>
      </c>
      <c r="G41" s="196">
        <v>1.7650664999999999E-2</v>
      </c>
      <c r="H41" s="191">
        <v>0</v>
      </c>
    </row>
    <row r="42" spans="1:14" outlineLevel="1" x14ac:dyDescent="0.2">
      <c r="A42" s="177">
        <f t="shared" ref="A42:A49" si="11">+A41+0.01</f>
        <v>4.0199999999999996</v>
      </c>
      <c r="B42" s="177" t="s">
        <v>164</v>
      </c>
      <c r="C42" s="196">
        <f>0.2001%</f>
        <v>2.0010000000000002E-3</v>
      </c>
      <c r="D42" s="196">
        <v>2.0010000000000002E-3</v>
      </c>
      <c r="E42" s="196">
        <v>2.0010000000000002E-3</v>
      </c>
      <c r="F42" s="196">
        <v>2.0010000000000002E-3</v>
      </c>
      <c r="G42" s="196">
        <v>2.0010000000000002E-3</v>
      </c>
      <c r="H42" s="191">
        <v>0</v>
      </c>
    </row>
    <row r="43" spans="1:14" outlineLevel="1" x14ac:dyDescent="0.2">
      <c r="A43" s="177">
        <f t="shared" si="11"/>
        <v>4.0299999999999994</v>
      </c>
      <c r="B43" s="177" t="s">
        <v>165</v>
      </c>
      <c r="C43" s="196">
        <v>0.18707010666666668</v>
      </c>
      <c r="D43" s="196">
        <v>0.18358963333333334</v>
      </c>
      <c r="E43" s="196">
        <v>0.17975122000000002</v>
      </c>
      <c r="F43" s="196">
        <v>0.17614872000000004</v>
      </c>
      <c r="G43" s="196">
        <v>0.17258428000000001</v>
      </c>
      <c r="H43" s="191">
        <v>2.75E-2</v>
      </c>
    </row>
    <row r="44" spans="1:14" outlineLevel="1" x14ac:dyDescent="0.2">
      <c r="A44" s="177">
        <f t="shared" si="11"/>
        <v>4.0399999999999991</v>
      </c>
      <c r="B44" s="177" t="s">
        <v>166</v>
      </c>
      <c r="C44" s="196">
        <v>1.7601596400000002E-2</v>
      </c>
      <c r="D44" s="196">
        <v>1.7274115499999999E-2</v>
      </c>
      <c r="E44" s="196">
        <v>1.6912955699999999E-2</v>
      </c>
      <c r="F44" s="196">
        <v>1.6573993200000005E-2</v>
      </c>
      <c r="G44" s="196">
        <v>1.62386118E-2</v>
      </c>
      <c r="H44" s="191">
        <v>1.0999999999999999E-2</v>
      </c>
    </row>
    <row r="45" spans="1:14" outlineLevel="1" x14ac:dyDescent="0.2">
      <c r="A45" s="177">
        <f t="shared" si="11"/>
        <v>4.0499999999999989</v>
      </c>
      <c r="B45" s="177" t="s">
        <v>167</v>
      </c>
      <c r="C45" s="196">
        <v>0</v>
      </c>
      <c r="D45" s="196">
        <f>+C45</f>
        <v>0</v>
      </c>
      <c r="E45" s="196">
        <f>+C45</f>
        <v>0</v>
      </c>
      <c r="F45" s="196">
        <f>+C45</f>
        <v>0</v>
      </c>
      <c r="G45" s="196">
        <f>+C45</f>
        <v>0</v>
      </c>
      <c r="H45" s="191">
        <v>1.67E-2</v>
      </c>
    </row>
    <row r="46" spans="1:14" outlineLevel="1" x14ac:dyDescent="0.2">
      <c r="A46" s="177">
        <f t="shared" si="11"/>
        <v>4.0599999999999987</v>
      </c>
      <c r="B46" s="177" t="s">
        <v>168</v>
      </c>
      <c r="C46" s="196">
        <v>6.3347890348000001E-3</v>
      </c>
      <c r="D46" s="196">
        <v>6.2169291334999996E-3</v>
      </c>
      <c r="E46" s="196">
        <v>6.0869482449000005E-3</v>
      </c>
      <c r="F46" s="196">
        <v>5.9649561324000011E-3</v>
      </c>
      <c r="G46" s="196">
        <v>5.8442528526000005E-3</v>
      </c>
      <c r="H46" s="191">
        <v>5.3E-3</v>
      </c>
    </row>
    <row r="47" spans="1:14" outlineLevel="1" x14ac:dyDescent="0.2">
      <c r="A47" s="177">
        <f t="shared" si="11"/>
        <v>4.0699999999999985</v>
      </c>
      <c r="B47" s="177" t="s">
        <v>169</v>
      </c>
      <c r="C47" s="196">
        <v>6.3498396752000004E-3</v>
      </c>
      <c r="D47" s="196">
        <v>6.2316997539999999E-3</v>
      </c>
      <c r="E47" s="196">
        <v>6.1014100476000001E-3</v>
      </c>
      <c r="F47" s="196">
        <v>5.9791280976000012E-3</v>
      </c>
      <c r="G47" s="196">
        <v>5.8581380424000008E-3</v>
      </c>
      <c r="H47" s="191">
        <v>9.9000000000000008E-3</v>
      </c>
    </row>
    <row r="48" spans="1:14" outlineLevel="1" x14ac:dyDescent="0.2">
      <c r="A48" s="204">
        <f t="shared" si="11"/>
        <v>4.0799999999999983</v>
      </c>
      <c r="B48" s="204" t="s">
        <v>170</v>
      </c>
      <c r="C48" s="206">
        <v>4.0539792752E-3</v>
      </c>
      <c r="D48" s="206">
        <v>3.9785542540000003E-3</v>
      </c>
      <c r="E48" s="206">
        <v>3.8953723476000002E-3</v>
      </c>
      <c r="F48" s="206">
        <v>3.8173028976000007E-3</v>
      </c>
      <c r="G48" s="206">
        <v>3.7400582424000003E-3</v>
      </c>
      <c r="H48" s="191">
        <v>9.9000000000000008E-3</v>
      </c>
    </row>
    <row r="49" spans="1:8" outlineLevel="1" x14ac:dyDescent="0.2">
      <c r="A49" s="204">
        <f t="shared" si="11"/>
        <v>4.0899999999999981</v>
      </c>
      <c r="B49" s="204" t="s">
        <v>171</v>
      </c>
      <c r="C49" s="206"/>
      <c r="D49" s="206"/>
      <c r="E49" s="206"/>
      <c r="F49" s="206"/>
      <c r="G49" s="206"/>
      <c r="H49" s="191">
        <v>2.6499999999999999E-2</v>
      </c>
    </row>
    <row r="50" spans="1:8" s="188" customFormat="1" x14ac:dyDescent="0.2">
      <c r="A50" s="210">
        <v>5</v>
      </c>
      <c r="B50" s="210" t="s">
        <v>172</v>
      </c>
      <c r="C50" s="211">
        <f>0.03*C53</f>
        <v>6.2559470570769465E-2</v>
      </c>
      <c r="D50" s="211">
        <f>0.025*D53</f>
        <v>5.1771008727882054E-2</v>
      </c>
      <c r="E50" s="211">
        <f>0.02*E53</f>
        <v>4.1118095169610978E-2</v>
      </c>
      <c r="F50" s="211">
        <f>0.015*F53</f>
        <v>3.0619087724520731E-2</v>
      </c>
      <c r="G50" s="211">
        <f>0.01*G53</f>
        <v>2.0266892105778492E-2</v>
      </c>
      <c r="H50" s="211">
        <f>0.01*H53</f>
        <v>2.2282333333333338E-2</v>
      </c>
    </row>
    <row r="51" spans="1:8" s="188" customFormat="1" x14ac:dyDescent="0.2">
      <c r="A51" s="210">
        <v>6</v>
      </c>
      <c r="B51" s="212" t="s">
        <v>173</v>
      </c>
      <c r="C51" s="211">
        <f>0.1*C53</f>
        <v>0.20853156856923155</v>
      </c>
      <c r="D51" s="211">
        <f>0.1*D53</f>
        <v>0.20708403491152821</v>
      </c>
      <c r="E51" s="211">
        <f>0.1*E53</f>
        <v>0.2055904758480549</v>
      </c>
      <c r="F51" s="211">
        <f>0.1*F53</f>
        <v>0.20412725149680488</v>
      </c>
      <c r="G51" s="211">
        <f>0.1*G53</f>
        <v>0.20266892105778492</v>
      </c>
      <c r="H51" s="191">
        <v>0.11</v>
      </c>
    </row>
    <row r="52" spans="1:8" ht="15.75" x14ac:dyDescent="0.25">
      <c r="B52" s="188" t="s">
        <v>174</v>
      </c>
      <c r="C52" s="213">
        <f t="shared" ref="C52:H52" si="12">+C51+C50+C40+C23+C7+C6</f>
        <v>2.3564067248323166</v>
      </c>
      <c r="D52" s="213">
        <f t="shared" si="12"/>
        <v>2.3296953927546928</v>
      </c>
      <c r="E52" s="213">
        <f t="shared" si="12"/>
        <v>2.302613329498215</v>
      </c>
      <c r="F52" s="213">
        <f t="shared" si="12"/>
        <v>2.2760188541893749</v>
      </c>
      <c r="G52" s="213">
        <f t="shared" si="12"/>
        <v>2.2496250237414124</v>
      </c>
      <c r="H52" s="213">
        <f t="shared" si="12"/>
        <v>2.3605156666666667</v>
      </c>
    </row>
    <row r="53" spans="1:8" x14ac:dyDescent="0.2">
      <c r="B53" s="177" t="s">
        <v>175</v>
      </c>
      <c r="C53" s="214">
        <f t="shared" ref="C53:H53" si="13">+C6+C7+C23+C40</f>
        <v>2.0853156856923154</v>
      </c>
      <c r="D53" s="214">
        <f t="shared" si="13"/>
        <v>2.070840349115282</v>
      </c>
      <c r="E53" s="214">
        <f t="shared" si="13"/>
        <v>2.055904758480549</v>
      </c>
      <c r="F53" s="214">
        <f t="shared" si="13"/>
        <v>2.0412725149680488</v>
      </c>
      <c r="G53" s="214">
        <f t="shared" si="13"/>
        <v>2.0266892105778491</v>
      </c>
      <c r="H53" s="214">
        <f t="shared" si="13"/>
        <v>2.2282333333333337</v>
      </c>
    </row>
    <row r="56" spans="1:8" x14ac:dyDescent="0.2">
      <c r="B56" s="215" t="s">
        <v>176</v>
      </c>
      <c r="C56" s="216">
        <f>+F59</f>
        <v>128900</v>
      </c>
      <c r="E56" s="177" t="s">
        <v>177</v>
      </c>
      <c r="F56" s="177">
        <v>22900</v>
      </c>
    </row>
    <row r="57" spans="1:8" x14ac:dyDescent="0.2">
      <c r="B57" s="177" t="s">
        <v>178</v>
      </c>
      <c r="C57" s="177">
        <f>877803</f>
        <v>877803</v>
      </c>
      <c r="E57" s="177" t="s">
        <v>179</v>
      </c>
      <c r="F57" s="177">
        <v>56000</v>
      </c>
    </row>
    <row r="58" spans="1:8" x14ac:dyDescent="0.2">
      <c r="B58" s="177" t="s">
        <v>180</v>
      </c>
      <c r="C58" s="217">
        <f>+C56/C57/4/8</f>
        <v>4.588871307115606E-3</v>
      </c>
      <c r="E58" s="177" t="s">
        <v>181</v>
      </c>
      <c r="F58" s="177">
        <v>50000</v>
      </c>
    </row>
    <row r="59" spans="1:8" x14ac:dyDescent="0.2">
      <c r="F59" s="177">
        <f>SUM(F56:F58)</f>
        <v>128900</v>
      </c>
    </row>
    <row r="60" spans="1:8" x14ac:dyDescent="0.2">
      <c r="F60" s="177">
        <f>+F59*3</f>
        <v>386700</v>
      </c>
    </row>
  </sheetData>
  <mergeCells count="1">
    <mergeCell ref="C2:G2"/>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6:F8"/>
  <sheetViews>
    <sheetView topLeftCell="A4" workbookViewId="0">
      <selection activeCell="E10" sqref="E10"/>
    </sheetView>
  </sheetViews>
  <sheetFormatPr baseColWidth="10" defaultRowHeight="16.5" x14ac:dyDescent="0.25"/>
  <cols>
    <col min="1" max="2" width="11.42578125" style="218"/>
    <col min="3" max="3" width="33.140625" style="218" customWidth="1"/>
    <col min="4" max="4" width="24.5703125" style="218" customWidth="1"/>
    <col min="5" max="5" width="40.28515625" style="218" customWidth="1"/>
    <col min="6" max="6" width="46.7109375" style="218" customWidth="1"/>
    <col min="7" max="16384" width="11.42578125" style="218"/>
  </cols>
  <sheetData>
    <row r="6" spans="3:6" x14ac:dyDescent="0.25">
      <c r="C6" s="219" t="s">
        <v>183</v>
      </c>
      <c r="D6" s="219" t="s">
        <v>187</v>
      </c>
      <c r="E6" s="219" t="s">
        <v>185</v>
      </c>
      <c r="F6" s="219" t="s">
        <v>186</v>
      </c>
    </row>
    <row r="7" spans="3:6" ht="115.5" x14ac:dyDescent="0.25">
      <c r="C7" s="220" t="s">
        <v>182</v>
      </c>
      <c r="D7" s="221" t="s">
        <v>188</v>
      </c>
      <c r="E7" s="221" t="s">
        <v>190</v>
      </c>
      <c r="F7" s="221" t="s">
        <v>191</v>
      </c>
    </row>
    <row r="8" spans="3:6" ht="141" customHeight="1" x14ac:dyDescent="0.25">
      <c r="C8" s="220" t="s">
        <v>184</v>
      </c>
      <c r="D8" s="221" t="s">
        <v>189</v>
      </c>
      <c r="E8" s="221" t="s">
        <v>190</v>
      </c>
      <c r="F8" s="221"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RANGOS</vt:lpstr>
      <vt:lpstr>PLAN DE CARGAS</vt:lpstr>
      <vt:lpstr>ANALISIS FM</vt:lpstr>
      <vt:lpstr>PERFILES PREDIALES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Andres Ariza Porras</cp:lastModifiedBy>
  <dcterms:created xsi:type="dcterms:W3CDTF">2020-01-23T15:58:36Z</dcterms:created>
  <dcterms:modified xsi:type="dcterms:W3CDTF">2021-06-21T22:09:45Z</dcterms:modified>
</cp:coreProperties>
</file>