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20.xml" ContentType="application/vnd.openxmlformats-officedocument.drawingml.chart+xml"/>
  <Override PartName="/xl/drawings/drawing12.xml" ContentType="application/vnd.openxmlformats-officedocument.drawing+xml"/>
  <Override PartName="/xl/charts/chart19.xml" ContentType="application/vnd.openxmlformats-officedocument.drawingml.chart+xml"/>
  <Override PartName="/xl/charts/chart18.xml" ContentType="application/vnd.openxmlformats-officedocument.drawingml.chart+xml"/>
  <Override PartName="/xl/charts/chart17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charts/chart11.xml" ContentType="application/vnd.openxmlformats-officedocument.drawingml.chart+xml"/>
  <Override PartName="/xl/charts/chart10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5.xml" ContentType="application/vnd.openxmlformats-officedocument.drawing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worksheets/sheet1.xml" ContentType="application/vnd.openxmlformats-officedocument.spreadsheetml.worksheet+xml"/>
  <Override PartName="/xl/charts/chart8.xml" ContentType="application/vnd.openxmlformats-officedocument.drawingml.chart+xml"/>
  <Override PartName="/xl/charts/chart3.xml" ContentType="application/vnd.openxmlformats-officedocument.drawingml.chart+xml"/>
  <Override PartName="/xl/drawings/drawing11.xml" ContentType="application/vnd.openxmlformats-officedocument.drawing+xml"/>
  <Override PartName="/xl/drawings/drawing9.xml" ContentType="application/vnd.openxmlformats-officedocument.drawing+xml"/>
  <Override PartName="/xl/charts/chart1.xml" ContentType="application/vnd.openxmlformats-officedocument.drawingml.chart+xml"/>
  <Override PartName="/xl/drawings/drawing10.xml" ContentType="application/vnd.openxmlformats-officedocument.drawing+xml"/>
  <Override PartName="/xl/charts/chart2.xml" ContentType="application/vnd.openxmlformats-officedocument.drawingml.chart+xml"/>
  <Override PartName="/xl/charts/chart7.xml" ContentType="application/vnd.openxmlformats-officedocument.drawingml.char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3.xml" ContentType="application/vnd.openxmlformats-officedocument.spreadsheetml.worksheet+xml"/>
  <Override PartName="/xl/worksheets/sheet42.xml" ContentType="application/vnd.openxmlformats-officedocument.spreadsheetml.worksheet+xml"/>
  <Override PartName="/xl/worksheets/sheet41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5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6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35.xml" ContentType="application/vnd.openxmlformats-officedocument.spreadsheetml.worksheet+xml"/>
  <Override PartName="/xl/worksheets/sheet34.xml" ContentType="application/vnd.openxmlformats-officedocument.spreadsheetml.worksheet+xml"/>
  <Override PartName="/xl/worksheets/sheet33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2.xml" ContentType="application/vnd.openxmlformats-officedocument.spreadsheetml.worksheet+xml"/>
  <Override PartName="/xl/worksheets/sheet11.xml" ContentType="application/vnd.openxmlformats-officedocument.spreadsheetml.worksheet+xml"/>
  <Override PartName="/xl/worksheets/sheet10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27.xml" ContentType="application/vnd.openxmlformats-officedocument.spreadsheetml.worksheet+xml"/>
  <Override PartName="/xl/worksheets/sheet26.xml" ContentType="application/vnd.openxmlformats-officedocument.spreadsheetml.worksheet+xml"/>
  <Override PartName="/xl/worksheets/sheet25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64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4.xml" ContentType="application/vnd.openxmlformats-officedocument.spreadsheetml.comments+xml"/>
  <Override PartName="/xl/comments3.xml" ContentType="application/vnd.openxmlformats-officedocument.spreadsheetml.comments+xml"/>
  <Override PartName="/xl/comments5.xml" ContentType="application/vnd.openxmlformats-officedocument.spreadsheetml.comments+xml"/>
  <Override PartName="/xl/externalLinks/externalLink21.xml" ContentType="application/vnd.openxmlformats-officedocument.spreadsheetml.externalLink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externalLinks/externalLink20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omments1.xml" ContentType="application/vnd.openxmlformats-officedocument.spreadsheetml.comment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MILO\Desktop\Obras 05-05-2021\Secretaria de Obras\VIAS\Convenios INVIAS\La Laguna - Salinas\"/>
    </mc:Choice>
  </mc:AlternateContent>
  <bookViews>
    <workbookView xWindow="0" yWindow="0" windowWidth="20490" windowHeight="7050" tabRatio="717" firstSheet="10" activeTab="18"/>
  </bookViews>
  <sheets>
    <sheet name="Presup " sheetId="3" r:id="rId1"/>
    <sheet name="P.Detall" sheetId="69" r:id="rId2"/>
    <sheet name="cant" sheetId="68" r:id="rId3"/>
    <sheet name="MGA" sheetId="65" r:id="rId4"/>
    <sheet name="FP 1" sheetId="85" r:id="rId5"/>
    <sheet name="FP 2" sheetId="86" r:id="rId6"/>
    <sheet name="AIU " sheetId="87" r:id="rId7"/>
    <sheet name="Interv" sheetId="58" r:id="rId8"/>
    <sheet name="cargas interv" sheetId="89" r:id="rId9"/>
    <sheet name="PLMT" sheetId="57" r:id="rId10"/>
    <sheet name="Equipo" sheetId="6" r:id="rId11"/>
    <sheet name="Materiales" sheetId="7" r:id="rId12"/>
    <sheet name="MdeObra" sheetId="8" r:id="rId13"/>
    <sheet name="CRONOG" sheetId="62" r:id="rId14"/>
    <sheet name="FL F" sheetId="88" r:id="rId15"/>
    <sheet name="%" sheetId="60" r:id="rId16"/>
    <sheet name="CRONOGRAMA" sheetId="82" r:id="rId17"/>
    <sheet name="CARACTERIZACIÓN VIAL" sheetId="83" r:id="rId18"/>
    <sheet name="DOSIFICACIÓN" sheetId="84" r:id="rId19"/>
    <sheet name="200.2" sheetId="9" r:id="rId20"/>
    <sheet name="200,4P" sheetId="13" r:id="rId21"/>
    <sheet name="201,7" sheetId="14" r:id="rId22"/>
    <sheet name="215" sheetId="15" r:id="rId23"/>
    <sheet name="210,1,1" sheetId="16" r:id="rId24"/>
    <sheet name="210,2,1" sheetId="17" r:id="rId25"/>
    <sheet name="211,1" sheetId="18" r:id="rId26"/>
    <sheet name="220,1" sheetId="63" r:id="rId27"/>
    <sheet name="230,1" sheetId="19" r:id="rId28"/>
    <sheet name="310,1" sheetId="20" r:id="rId29"/>
    <sheet name="311,1" sheetId="21" r:id="rId30"/>
    <sheet name="311,2" sheetId="90" r:id="rId31"/>
    <sheet name="320,1" sheetId="22" r:id="rId32"/>
    <sheet name="500,1" sheetId="23" r:id="rId33"/>
    <sheet name="600,1,1" sheetId="24" r:id="rId34"/>
    <sheet name="600,2,1" sheetId="25" r:id="rId35"/>
    <sheet name="6002,2" sheetId="26" r:id="rId36"/>
    <sheet name="600,2,4" sheetId="27" r:id="rId37"/>
    <sheet name="630,1" sheetId="28" r:id="rId38"/>
    <sheet name="630,2" sheetId="29" r:id="rId39"/>
    <sheet name="630,3" sheetId="30" r:id="rId40"/>
    <sheet name="630,4" sheetId="31" r:id="rId41"/>
    <sheet name="640,1" sheetId="33" r:id="rId42"/>
    <sheet name="610,1" sheetId="34" r:id="rId43"/>
    <sheet name="661,1" sheetId="32" r:id="rId44"/>
    <sheet name="660,1" sheetId="35" r:id="rId45"/>
    <sheet name="672,1" sheetId="36" r:id="rId46"/>
    <sheet name="673,1" sheetId="37" r:id="rId47"/>
    <sheet name="673,2" sheetId="38" r:id="rId48"/>
    <sheet name="674,2" sheetId="39" r:id="rId49"/>
    <sheet name="681,1" sheetId="40" r:id="rId50"/>
    <sheet name="P1" sheetId="51" r:id="rId51"/>
    <sheet name="900,2" sheetId="53" r:id="rId52"/>
    <sheet name="A21" sheetId="56" r:id="rId53"/>
    <sheet name="A22" sheetId="70" r:id="rId54"/>
    <sheet name="A23" sheetId="71" r:id="rId55"/>
    <sheet name="A24" sheetId="72" r:id="rId56"/>
    <sheet name="A25" sheetId="73" r:id="rId57"/>
    <sheet name="A26" sheetId="74" r:id="rId58"/>
    <sheet name="A27" sheetId="75" r:id="rId59"/>
    <sheet name="A28" sheetId="76" r:id="rId60"/>
    <sheet name="A29" sheetId="77" r:id="rId61"/>
    <sheet name="A210" sheetId="78" r:id="rId62"/>
    <sheet name="A211" sheetId="79" r:id="rId63"/>
    <sheet name="Hoja1" sheetId="91" r:id="rId64"/>
  </sheets>
  <externalReferences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</externalReferences>
  <definedNames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IPC2002" localSheetId="30">#REF!</definedName>
    <definedName name="__IPC2002">#REF!</definedName>
    <definedName name="__PJ50" localSheetId="30">#REF!</definedName>
    <definedName name="__PJ50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xlnm._FilterDatabase" localSheetId="10" hidden="1">Equipo!$A$7:$D$97</definedName>
    <definedName name="_xlnm._FilterDatabase" localSheetId="11" hidden="1">Materiales!$A$7:$D$187</definedName>
    <definedName name="_IPC2002" localSheetId="30">#REF!</definedName>
    <definedName name="_IPC2002">#REF!</definedName>
    <definedName name="_IPC2010" localSheetId="30">#REF!</definedName>
    <definedName name="_IPC2010">#REF!</definedName>
    <definedName name="_PJ50" localSheetId="30">#REF!</definedName>
    <definedName name="_PJ50">#REF!</definedName>
    <definedName name="_PRE1" localSheetId="19">#REF!</definedName>
    <definedName name="_PRE1" localSheetId="26">#REF!</definedName>
    <definedName name="_PRE1" localSheetId="30">#REF!</definedName>
    <definedName name="_PRE1" localSheetId="41">#REF!</definedName>
    <definedName name="_PRE1" localSheetId="61">#REF!</definedName>
    <definedName name="_PRE1" localSheetId="62">#REF!</definedName>
    <definedName name="_PRE1" localSheetId="53">#REF!</definedName>
    <definedName name="_PRE1" localSheetId="54">#REF!</definedName>
    <definedName name="_PRE1" localSheetId="55">#REF!</definedName>
    <definedName name="_PRE1" localSheetId="56">#REF!</definedName>
    <definedName name="_PRE1" localSheetId="57">#REF!</definedName>
    <definedName name="_PRE1" localSheetId="58">#REF!</definedName>
    <definedName name="_PRE1" localSheetId="59">#REF!</definedName>
    <definedName name="_PRE1" localSheetId="60">#REF!</definedName>
    <definedName name="_PRE1" localSheetId="6">#REF!</definedName>
    <definedName name="_PRE1" localSheetId="2">#REF!</definedName>
    <definedName name="_PRE1" localSheetId="8">#REF!</definedName>
    <definedName name="_PRE1" localSheetId="13">#REF!</definedName>
    <definedName name="_PRE1" localSheetId="10">#REF!</definedName>
    <definedName name="_PRE1" localSheetId="14">#REF!</definedName>
    <definedName name="_PRE1" localSheetId="3">#REF!</definedName>
    <definedName name="_PRE1" localSheetId="1">#REF!</definedName>
    <definedName name="_PRE1">#REF!</definedName>
    <definedName name="_SBC1">[1]INV!$A$12:$D$15</definedName>
    <definedName name="_SBC3">[1]INV!$F$12:$I$15</definedName>
    <definedName name="_SBC5">[1]INV!$K$12:$N$15</definedName>
    <definedName name="A" localSheetId="19">#REF!</definedName>
    <definedName name="A" localSheetId="26">#REF!</definedName>
    <definedName name="A" localSheetId="30">#REF!</definedName>
    <definedName name="A" localSheetId="41">#REF!</definedName>
    <definedName name="A" localSheetId="61">#REF!</definedName>
    <definedName name="A" localSheetId="62">#REF!</definedName>
    <definedName name="A" localSheetId="53">#REF!</definedName>
    <definedName name="A" localSheetId="54">#REF!</definedName>
    <definedName name="A" localSheetId="55">#REF!</definedName>
    <definedName name="A" localSheetId="56">#REF!</definedName>
    <definedName name="A" localSheetId="57">#REF!</definedName>
    <definedName name="A" localSheetId="58">#REF!</definedName>
    <definedName name="A" localSheetId="59">#REF!</definedName>
    <definedName name="A" localSheetId="60">#REF!</definedName>
    <definedName name="A" localSheetId="6">#REF!</definedName>
    <definedName name="A" localSheetId="2">#REF!</definedName>
    <definedName name="A" localSheetId="8">#REF!</definedName>
    <definedName name="A" localSheetId="13">#REF!</definedName>
    <definedName name="A" localSheetId="10">#REF!</definedName>
    <definedName name="A" localSheetId="14">#REF!</definedName>
    <definedName name="A" localSheetId="3">#REF!</definedName>
    <definedName name="A" localSheetId="1">#REF!</definedName>
    <definedName name="A">#REF!</definedName>
    <definedName name="A_impresión_IM" localSheetId="19">#REF!</definedName>
    <definedName name="A_impresión_IM" localSheetId="26">#REF!</definedName>
    <definedName name="A_impresión_IM" localSheetId="30">#REF!</definedName>
    <definedName name="A_impresión_IM" localSheetId="41">#REF!</definedName>
    <definedName name="A_impresión_IM" localSheetId="61">#REF!</definedName>
    <definedName name="A_impresión_IM" localSheetId="62">#REF!</definedName>
    <definedName name="A_impresión_IM" localSheetId="53">#REF!</definedName>
    <definedName name="A_impresión_IM" localSheetId="54">#REF!</definedName>
    <definedName name="A_impresión_IM" localSheetId="55">#REF!</definedName>
    <definedName name="A_impresión_IM" localSheetId="56">#REF!</definedName>
    <definedName name="A_impresión_IM" localSheetId="57">#REF!</definedName>
    <definedName name="A_impresión_IM" localSheetId="58">#REF!</definedName>
    <definedName name="A_impresión_IM" localSheetId="59">#REF!</definedName>
    <definedName name="A_impresión_IM" localSheetId="60">#REF!</definedName>
    <definedName name="A_impresión_IM" localSheetId="6">#REF!</definedName>
    <definedName name="A_impresión_IM" localSheetId="2">#REF!</definedName>
    <definedName name="A_impresión_IM" localSheetId="8">#REF!</definedName>
    <definedName name="A_impresión_IM" localSheetId="13">#REF!</definedName>
    <definedName name="A_impresión_IM" localSheetId="10">#REF!</definedName>
    <definedName name="A_impresión_IM" localSheetId="14">#REF!</definedName>
    <definedName name="A_impresión_IM" localSheetId="3">#REF!</definedName>
    <definedName name="A_impresión_IM" localSheetId="1">#REF!</definedName>
    <definedName name="A_impresión_IM">#REF!</definedName>
    <definedName name="aa" localSheetId="30">#REF!</definedName>
    <definedName name="aa">#REF!</definedName>
    <definedName name="AAC">[1]AASHTO!$A$14:$F$17</definedName>
    <definedName name="abc" localSheetId="30">#REF!</definedName>
    <definedName name="abc">#REF!</definedName>
    <definedName name="ABG">[1]AASHTO!$A$2:$F$5</definedName>
    <definedName name="absc" localSheetId="26">[2]!absc</definedName>
    <definedName name="absc" localSheetId="30">[2]!absc</definedName>
    <definedName name="absc" localSheetId="41">[2]!absc</definedName>
    <definedName name="absc" localSheetId="61">[2]!absc</definedName>
    <definedName name="absc" localSheetId="62">[2]!absc</definedName>
    <definedName name="absc" localSheetId="53">[2]!absc</definedName>
    <definedName name="absc" localSheetId="54">[2]!absc</definedName>
    <definedName name="absc" localSheetId="55">[2]!absc</definedName>
    <definedName name="absc" localSheetId="56">[2]!absc</definedName>
    <definedName name="absc" localSheetId="57">[2]!absc</definedName>
    <definedName name="absc" localSheetId="58">[2]!absc</definedName>
    <definedName name="absc" localSheetId="59">[2]!absc</definedName>
    <definedName name="absc" localSheetId="60">[2]!absc</definedName>
    <definedName name="absc" localSheetId="2">[2]!absc</definedName>
    <definedName name="absc" localSheetId="13">[2]!absc</definedName>
    <definedName name="absc" localSheetId="14">[2]!absc</definedName>
    <definedName name="absc" localSheetId="3">[2]!absc</definedName>
    <definedName name="absc" localSheetId="1">[2]!absc</definedName>
    <definedName name="absc">[2]!absc</definedName>
    <definedName name="absc1" localSheetId="26">[3]!absc</definedName>
    <definedName name="absc1" localSheetId="30">[3]!absc</definedName>
    <definedName name="absc1" localSheetId="41">[3]!absc</definedName>
    <definedName name="absc1" localSheetId="61">[3]!absc</definedName>
    <definedName name="absc1" localSheetId="62">[3]!absc</definedName>
    <definedName name="absc1" localSheetId="53">[3]!absc</definedName>
    <definedName name="absc1" localSheetId="54">[3]!absc</definedName>
    <definedName name="absc1" localSheetId="55">[3]!absc</definedName>
    <definedName name="absc1" localSheetId="56">[3]!absc</definedName>
    <definedName name="absc1" localSheetId="57">[3]!absc</definedName>
    <definedName name="absc1" localSheetId="58">[3]!absc</definedName>
    <definedName name="absc1" localSheetId="59">[3]!absc</definedName>
    <definedName name="absc1" localSheetId="60">[3]!absc</definedName>
    <definedName name="absc1" localSheetId="2">[3]!absc</definedName>
    <definedName name="absc1" localSheetId="13">[3]!absc</definedName>
    <definedName name="absc1" localSheetId="14">[3]!absc</definedName>
    <definedName name="absc1" localSheetId="3">[3]!absc</definedName>
    <definedName name="absc1" localSheetId="1">[3]!absc</definedName>
    <definedName name="absc1">[3]!absc</definedName>
    <definedName name="ABSOL" localSheetId="30">[4]!absc</definedName>
    <definedName name="ABSOL">[4]!absc</definedName>
    <definedName name="AccessDatabase" hidden="1">"A:\SAIN.mdb"</definedName>
    <definedName name="aceite_quemado" localSheetId="30">#REF!</definedName>
    <definedName name="aceite_quemado">#REF!</definedName>
    <definedName name="acero_corrugado_diám._1_2_pg" localSheetId="30">#REF!</definedName>
    <definedName name="acero_corrugado_diám._1_2_pg">#REF!</definedName>
    <definedName name="acero_liso_diám._1_2_pg" localSheetId="30">#REF!</definedName>
    <definedName name="acero_liso_diám._1_2_pg">#REF!</definedName>
    <definedName name="acero_liso_diám._1_4_pg" localSheetId="30">#REF!</definedName>
    <definedName name="acero_liso_diám._1_4_pg">#REF!</definedName>
    <definedName name="acero_liso_diám._1_pg" localSheetId="30">#REF!</definedName>
    <definedName name="acero_liso_diám._1_pg">#REF!</definedName>
    <definedName name="acero_liso_diám._3_4_pg" localSheetId="30">#REF!</definedName>
    <definedName name="acero_liso_diám._3_4_pg">#REF!</definedName>
    <definedName name="acero_liso_diám._3_8_pg" localSheetId="30">#REF!</definedName>
    <definedName name="acero_liso_diám._3_8_pg">#REF!</definedName>
    <definedName name="acero_liso_diám._5_8_pg" localSheetId="30">#REF!</definedName>
    <definedName name="acero_liso_diám._5_8_pg">#REF!</definedName>
    <definedName name="acero_liso_diám._7_8_pg" localSheetId="30">#REF!</definedName>
    <definedName name="acero_liso_diám._7_8_pg">#REF!</definedName>
    <definedName name="administrador">[5]Informacion!$B$15</definedName>
    <definedName name="adoc1" localSheetId="26">[3]!absc</definedName>
    <definedName name="adoc1" localSheetId="30">[3]!absc</definedName>
    <definedName name="adoc1" localSheetId="41">[3]!absc</definedName>
    <definedName name="adoc1" localSheetId="61">[3]!absc</definedName>
    <definedName name="adoc1" localSheetId="62">[3]!absc</definedName>
    <definedName name="adoc1" localSheetId="53">[3]!absc</definedName>
    <definedName name="adoc1" localSheetId="54">[3]!absc</definedName>
    <definedName name="adoc1" localSheetId="55">[3]!absc</definedName>
    <definedName name="adoc1" localSheetId="56">[3]!absc</definedName>
    <definedName name="adoc1" localSheetId="57">[3]!absc</definedName>
    <definedName name="adoc1" localSheetId="58">[3]!absc</definedName>
    <definedName name="adoc1" localSheetId="59">[3]!absc</definedName>
    <definedName name="adoc1" localSheetId="60">[3]!absc</definedName>
    <definedName name="adoc1" localSheetId="2">[3]!absc</definedName>
    <definedName name="adoc1" localSheetId="13">[3]!absc</definedName>
    <definedName name="adoc1" localSheetId="14">[3]!absc</definedName>
    <definedName name="adoc1" localSheetId="3">[3]!absc</definedName>
    <definedName name="adoc1" localSheetId="1">[3]!absc</definedName>
    <definedName name="adoc1">[3]!absc</definedName>
    <definedName name="adoq" localSheetId="26">[2]!absc</definedName>
    <definedName name="adoq" localSheetId="30">[2]!absc</definedName>
    <definedName name="adoq" localSheetId="41">[2]!absc</definedName>
    <definedName name="adoq" localSheetId="61">[2]!absc</definedName>
    <definedName name="adoq" localSheetId="62">[2]!absc</definedName>
    <definedName name="adoq" localSheetId="53">[2]!absc</definedName>
    <definedName name="adoq" localSheetId="54">[2]!absc</definedName>
    <definedName name="adoq" localSheetId="55">[2]!absc</definedName>
    <definedName name="adoq" localSheetId="56">[2]!absc</definedName>
    <definedName name="adoq" localSheetId="57">[2]!absc</definedName>
    <definedName name="adoq" localSheetId="58">[2]!absc</definedName>
    <definedName name="adoq" localSheetId="59">[2]!absc</definedName>
    <definedName name="adoq" localSheetId="60">[2]!absc</definedName>
    <definedName name="adoq" localSheetId="2">[2]!absc</definedName>
    <definedName name="adoq" localSheetId="13">[2]!absc</definedName>
    <definedName name="adoq" localSheetId="14">[2]!absc</definedName>
    <definedName name="adoq" localSheetId="3">[2]!absc</definedName>
    <definedName name="adoq" localSheetId="1">[2]!absc</definedName>
    <definedName name="adoq">[2]!absc</definedName>
    <definedName name="agua" localSheetId="30">#REF!</definedName>
    <definedName name="agua">#REF!</definedName>
    <definedName name="alc" localSheetId="26">[6]!absc</definedName>
    <definedName name="alc" localSheetId="30">[6]!absc</definedName>
    <definedName name="alc" localSheetId="41">[6]!absc</definedName>
    <definedName name="alc" localSheetId="61">[6]!absc</definedName>
    <definedName name="alc" localSheetId="62">[6]!absc</definedName>
    <definedName name="alc" localSheetId="53">[6]!absc</definedName>
    <definedName name="alc" localSheetId="54">[6]!absc</definedName>
    <definedName name="alc" localSheetId="55">[6]!absc</definedName>
    <definedName name="alc" localSheetId="56">[6]!absc</definedName>
    <definedName name="alc" localSheetId="57">[6]!absc</definedName>
    <definedName name="alc" localSheetId="58">[6]!absc</definedName>
    <definedName name="alc" localSheetId="59">[6]!absc</definedName>
    <definedName name="alc" localSheetId="60">[6]!absc</definedName>
    <definedName name="alc" localSheetId="2">[6]!absc</definedName>
    <definedName name="alc" localSheetId="13">[6]!absc</definedName>
    <definedName name="alc" localSheetId="14">[6]!absc</definedName>
    <definedName name="alc" localSheetId="3">[6]!absc</definedName>
    <definedName name="alc" localSheetId="1">[6]!absc</definedName>
    <definedName name="alc">[6]!absc</definedName>
    <definedName name="_xlnm.Print_Area" localSheetId="20">'200,4P'!$B$2:$I$61</definedName>
    <definedName name="_xlnm.Print_Area" localSheetId="19">'200.2'!$B$2:$I$61</definedName>
    <definedName name="_xlnm.Print_Area" localSheetId="21">'201,7'!$B$2:$I$61</definedName>
    <definedName name="_xlnm.Print_Area" localSheetId="23">'210,1,1'!$B$2:$I$61</definedName>
    <definedName name="_xlnm.Print_Area" localSheetId="24">'210,2,1'!$B$1:$I$61</definedName>
    <definedName name="_xlnm.Print_Area" localSheetId="25">'211,1'!$B$1:$I$61</definedName>
    <definedName name="_xlnm.Print_Area" localSheetId="22">'215'!$B$2:$I$61</definedName>
    <definedName name="_xlnm.Print_Area" localSheetId="26">'220,1'!$B$1:$I$61</definedName>
    <definedName name="_xlnm.Print_Area" localSheetId="27">'230,1'!$B$1:$I$61</definedName>
    <definedName name="_xlnm.Print_Area" localSheetId="28">'310,1'!$B$1:$I$61</definedName>
    <definedName name="_xlnm.Print_Area" localSheetId="29">'311,1'!$B$1:$I$61</definedName>
    <definedName name="_xlnm.Print_Area" localSheetId="30">'311,2'!$B$1:$I$61</definedName>
    <definedName name="_xlnm.Print_Area" localSheetId="31">'320,1'!$B$1:$I$61</definedName>
    <definedName name="_xlnm.Print_Area" localSheetId="32">'500,1'!$B$1:$I$61</definedName>
    <definedName name="_xlnm.Print_Area" localSheetId="33">'600,1,1'!$B$1:$I$61</definedName>
    <definedName name="_xlnm.Print_Area" localSheetId="34">'600,2,1'!$B$1:$I$61</definedName>
    <definedName name="_xlnm.Print_Area" localSheetId="36">'600,2,4'!$B$1:$I$61</definedName>
    <definedName name="_xlnm.Print_Area" localSheetId="35">'6002,2'!$B$1:$I$61</definedName>
    <definedName name="_xlnm.Print_Area" localSheetId="42">'610,1'!$B$1:$I$61</definedName>
    <definedName name="_xlnm.Print_Area" localSheetId="37">'630,1'!$B$1:$I$61</definedName>
    <definedName name="_xlnm.Print_Area" localSheetId="38">'630,2'!$B$1:$I$61</definedName>
    <definedName name="_xlnm.Print_Area" localSheetId="39">'630,3'!$B$1:$I$61</definedName>
    <definedName name="_xlnm.Print_Area" localSheetId="40">'630,4'!$B$1:$I$61</definedName>
    <definedName name="_xlnm.Print_Area" localSheetId="41">'640,1'!$B$1:$I$61</definedName>
    <definedName name="_xlnm.Print_Area" localSheetId="44">'660,1'!$B$1:$I$61</definedName>
    <definedName name="_xlnm.Print_Area" localSheetId="43">'661,1'!$B$1:$I$61</definedName>
    <definedName name="_xlnm.Print_Area" localSheetId="45">'672,1'!$B$1:$I$61</definedName>
    <definedName name="_xlnm.Print_Area" localSheetId="46">'673,1'!$B$1:$I$61</definedName>
    <definedName name="_xlnm.Print_Area" localSheetId="47">'673,2'!$B$1:$I$61</definedName>
    <definedName name="_xlnm.Print_Area" localSheetId="48">'674,2'!$B$1:$I$61</definedName>
    <definedName name="_xlnm.Print_Area" localSheetId="49">'681,1'!$B$1:$I$61</definedName>
    <definedName name="_xlnm.Print_Area" localSheetId="51">'900,2'!$B$1:$I$61</definedName>
    <definedName name="_xlnm.Print_Area" localSheetId="52">'A21'!$B$2:$I$57</definedName>
    <definedName name="_xlnm.Print_Area" localSheetId="61">'A210'!$B$2:$I$57</definedName>
    <definedName name="_xlnm.Print_Area" localSheetId="62">'A211'!$B$2:$I$57</definedName>
    <definedName name="_xlnm.Print_Area" localSheetId="53">'A22'!$B$2:$I$57</definedName>
    <definedName name="_xlnm.Print_Area" localSheetId="54">'A23'!$B$2:$I$57</definedName>
    <definedName name="_xlnm.Print_Area" localSheetId="55">'A24'!$B$2:$I$57</definedName>
    <definedName name="_xlnm.Print_Area" localSheetId="56">'A25'!$B$2:$I$57</definedName>
    <definedName name="_xlnm.Print_Area" localSheetId="57">'A26'!$B$2:$I$57</definedName>
    <definedName name="_xlnm.Print_Area" localSheetId="58">'A27'!$B$2:$I$57</definedName>
    <definedName name="_xlnm.Print_Area" localSheetId="59">'A28'!$B$2:$I$57</definedName>
    <definedName name="_xlnm.Print_Area" localSheetId="60">'A29'!$B$2:$I$57</definedName>
    <definedName name="_xlnm.Print_Area" localSheetId="6">'AIU '!$A$1:$H$99</definedName>
    <definedName name="_xlnm.Print_Area" localSheetId="2">cant!$B$1:$L$1079</definedName>
    <definedName name="_xlnm.Print_Area" localSheetId="17">'CARACTERIZACIÓN VIAL'!$A$1:$H$45</definedName>
    <definedName name="_xlnm.Print_Area" localSheetId="8">'cargas interv'!$A$1:$AI$56</definedName>
    <definedName name="_xlnm.Print_Area" localSheetId="13">CRONOG!$A$1:$AH$66</definedName>
    <definedName name="_xlnm.Print_Area" localSheetId="16">CRONOGRAMA!$A$1:$IH$65</definedName>
    <definedName name="_xlnm.Print_Area" localSheetId="18">DOSIFICACIÓN!$A$1:$E$80</definedName>
    <definedName name="_xlnm.Print_Area" localSheetId="10">Equipo!$A$1:$C$111</definedName>
    <definedName name="_xlnm.Print_Area" localSheetId="14">'FL F'!$A$1:$AP$70</definedName>
    <definedName name="_xlnm.Print_Area" localSheetId="4">'FP 1'!$A$1:$F$36</definedName>
    <definedName name="_xlnm.Print_Area" localSheetId="5">'FP 2'!$A$1:$F$35</definedName>
    <definedName name="_xlnm.Print_Area" localSheetId="7">Interv!$A$1:$L$64</definedName>
    <definedName name="_xlnm.Print_Area" localSheetId="11">Materiales!$A$1:$C$193</definedName>
    <definedName name="_xlnm.Print_Area" localSheetId="12">MdeObra!$A$1:$C$51</definedName>
    <definedName name="_xlnm.Print_Area" localSheetId="3">MGA!$A$1:$AH$89</definedName>
    <definedName name="_xlnm.Print_Area" localSheetId="1">P.Detall!$B$1:$W$127</definedName>
    <definedName name="_xlnm.Print_Area" localSheetId="50">'P1'!$B$1:$I$61</definedName>
    <definedName name="_xlnm.Print_Area" localSheetId="9">PLMT!$A$1:$G$37</definedName>
    <definedName name="_xlnm.Print_Area" localSheetId="0">'Presup '!$B$1:$I$125</definedName>
    <definedName name="_xlnm.Print_Area">#REF!</definedName>
    <definedName name="arena" localSheetId="30">#REF!</definedName>
    <definedName name="arena">#REF!</definedName>
    <definedName name="as" localSheetId="30">#REF!</definedName>
    <definedName name="as">#REF!</definedName>
    <definedName name="ASB">[1]AASHTO!$A$8:$F$11</definedName>
    <definedName name="asfalto" localSheetId="30">#REF!</definedName>
    <definedName name="asfalto">#REF!</definedName>
    <definedName name="AUI" localSheetId="30">#REF!</definedName>
    <definedName name="AUI">#REF!</definedName>
    <definedName name="azulejo_azul" localSheetId="30">#REF!</definedName>
    <definedName name="azulejo_azul">#REF!</definedName>
    <definedName name="azulejo_blanco" localSheetId="30">#REF!</definedName>
    <definedName name="azulejo_blanco">#REF!</definedName>
    <definedName name="azulejo_verde" localSheetId="30">#REF!</definedName>
    <definedName name="azulejo_verde">#REF!</definedName>
    <definedName name="baldosa" localSheetId="30">#REF!</definedName>
    <definedName name="baldosa">#REF!</definedName>
    <definedName name="barrederas" localSheetId="30">#REF!</definedName>
    <definedName name="barrederas">#REF!</definedName>
    <definedName name="C_" localSheetId="19">#REF!</definedName>
    <definedName name="C_" localSheetId="26">#REF!</definedName>
    <definedName name="C_" localSheetId="30">#REF!</definedName>
    <definedName name="C_" localSheetId="41">#REF!</definedName>
    <definedName name="C_" localSheetId="61">#REF!</definedName>
    <definedName name="C_" localSheetId="62">#REF!</definedName>
    <definedName name="C_" localSheetId="53">#REF!</definedName>
    <definedName name="C_" localSheetId="54">#REF!</definedName>
    <definedName name="C_" localSheetId="55">#REF!</definedName>
    <definedName name="C_" localSheetId="56">#REF!</definedName>
    <definedName name="C_" localSheetId="57">#REF!</definedName>
    <definedName name="C_" localSheetId="58">#REF!</definedName>
    <definedName name="C_" localSheetId="59">#REF!</definedName>
    <definedName name="C_" localSheetId="60">#REF!</definedName>
    <definedName name="C_" localSheetId="6">#REF!</definedName>
    <definedName name="C_" localSheetId="2">#REF!</definedName>
    <definedName name="C_" localSheetId="8">#REF!</definedName>
    <definedName name="C_" localSheetId="13">#REF!</definedName>
    <definedName name="C_" localSheetId="10">#REF!</definedName>
    <definedName name="C_" localSheetId="14">#REF!</definedName>
    <definedName name="C_" localSheetId="3">#REF!</definedName>
    <definedName name="C_" localSheetId="1">#REF!</definedName>
    <definedName name="C_">#REF!</definedName>
    <definedName name="CANT" localSheetId="19">#REF!</definedName>
    <definedName name="CANT" localSheetId="26">#REF!</definedName>
    <definedName name="CANT" localSheetId="30">#REF!</definedName>
    <definedName name="CANT" localSheetId="41">#REF!</definedName>
    <definedName name="CANT" localSheetId="61">#REF!</definedName>
    <definedName name="CANT" localSheetId="62">#REF!</definedName>
    <definedName name="CANT" localSheetId="53">#REF!</definedName>
    <definedName name="CANT" localSheetId="54">#REF!</definedName>
    <definedName name="CANT" localSheetId="55">#REF!</definedName>
    <definedName name="CANT" localSheetId="56">#REF!</definedName>
    <definedName name="CANT" localSheetId="57">#REF!</definedName>
    <definedName name="CANT" localSheetId="58">#REF!</definedName>
    <definedName name="CANT" localSheetId="59">#REF!</definedName>
    <definedName name="CANT" localSheetId="60">#REF!</definedName>
    <definedName name="CANT" localSheetId="6">#REF!</definedName>
    <definedName name="CANT" localSheetId="2">#REF!</definedName>
    <definedName name="CANT" localSheetId="8">#REF!</definedName>
    <definedName name="CANT" localSheetId="13">#REF!</definedName>
    <definedName name="CANT" localSheetId="10">#REF!</definedName>
    <definedName name="CANT" localSheetId="14">#REF!</definedName>
    <definedName name="CANT" localSheetId="3">#REF!</definedName>
    <definedName name="CANT" localSheetId="1">#REF!</definedName>
    <definedName name="CANT">#REF!</definedName>
    <definedName name="ccto210" localSheetId="30">#REF!</definedName>
    <definedName name="ccto210">#REF!</definedName>
    <definedName name="cemento" localSheetId="30">#REF!</definedName>
    <definedName name="cemento">#REF!</definedName>
    <definedName name="cemento_blanco" localSheetId="30">#REF!</definedName>
    <definedName name="cemento_blanco">#REF!</definedName>
    <definedName name="cinta_teflón" localSheetId="30">#REF!</definedName>
    <definedName name="cinta_teflón">#REF!</definedName>
    <definedName name="cintas_metricas" localSheetId="30">#REF!</definedName>
    <definedName name="cintas_metricas">#REF!</definedName>
    <definedName name="clavos" localSheetId="30">#REF!</definedName>
    <definedName name="clavos">#REF!</definedName>
    <definedName name="codo_de_cemento_diám._8_pg" localSheetId="30">#REF!</definedName>
    <definedName name="codo_de_cemento_diám._8_pg">#REF!</definedName>
    <definedName name="CUADRILLA">[7]Jornales!$C$6:$C$19</definedName>
    <definedName name="duela_de_pandala" localSheetId="30">#REF!</definedName>
    <definedName name="duela_de_pandala">#REF!</definedName>
    <definedName name="EQUIPO" localSheetId="19">#REF!</definedName>
    <definedName name="EQUIPO" localSheetId="26">#REF!</definedName>
    <definedName name="EQUIPO" localSheetId="30">#REF!</definedName>
    <definedName name="EQUIPO" localSheetId="41">#REF!</definedName>
    <definedName name="EQUIPO" localSheetId="61">#REF!</definedName>
    <definedName name="EQUIPO" localSheetId="62">#REF!</definedName>
    <definedName name="EQUIPO" localSheetId="53">#REF!</definedName>
    <definedName name="EQUIPO" localSheetId="54">#REF!</definedName>
    <definedName name="EQUIPO" localSheetId="55">#REF!</definedName>
    <definedName name="EQUIPO" localSheetId="56">#REF!</definedName>
    <definedName name="EQUIPO" localSheetId="57">#REF!</definedName>
    <definedName name="EQUIPO" localSheetId="58">#REF!</definedName>
    <definedName name="EQUIPO" localSheetId="59">#REF!</definedName>
    <definedName name="EQUIPO" localSheetId="60">#REF!</definedName>
    <definedName name="EQUIPO" localSheetId="6">#REF!</definedName>
    <definedName name="EQUIPO" localSheetId="2">#REF!</definedName>
    <definedName name="EQUIPO" localSheetId="8">#REF!</definedName>
    <definedName name="EQUIPO" localSheetId="13">#REF!</definedName>
    <definedName name="EQUIPO" localSheetId="10">#REF!</definedName>
    <definedName name="EQUIPO" localSheetId="14">#REF!</definedName>
    <definedName name="EQUIPO" localSheetId="3">#REF!</definedName>
    <definedName name="EQUIPO" localSheetId="1">#REF!</definedName>
    <definedName name="EQUIPO">#REF!</definedName>
    <definedName name="EQUIPOS">[7]Jornales!$C$25:$C$68</definedName>
    <definedName name="ESPECIFICACION" localSheetId="30">#REF!</definedName>
    <definedName name="ESPECIFICACION">#REF!</definedName>
    <definedName name="Especificación" localSheetId="30">#REF!</definedName>
    <definedName name="Especificación">#REF!</definedName>
    <definedName name="EXCROC">'[8]Análisis de precios'!$H$52</definedName>
    <definedName name="FECHA" localSheetId="30">#REF!</definedName>
    <definedName name="FECHA">#REF!</definedName>
    <definedName name="fgrds" localSheetId="30">[9]!absc</definedName>
    <definedName name="fgrds">[9]!absc</definedName>
    <definedName name="formaleta_para_pavimento_e_15_cms" localSheetId="30">#REF!</definedName>
    <definedName name="formaleta_para_pavimento_e_15_cms">#REF!</definedName>
    <definedName name="formaleta_para_sardinel" localSheetId="30">#REF!</definedName>
    <definedName name="formaleta_para_sardinel">#REF!</definedName>
    <definedName name="formaleta_para_tapas_de_cámaras" localSheetId="30">#REF!</definedName>
    <definedName name="formaleta_para_tapas_de_cámaras">#REF!</definedName>
    <definedName name="galápago" localSheetId="30">#REF!</definedName>
    <definedName name="galápago">#REF!</definedName>
    <definedName name="gg" localSheetId="30">[9]!absc</definedName>
    <definedName name="gg">[9]!absc</definedName>
    <definedName name="GKJDGDIJZ">"Imagen 3"</definedName>
    <definedName name="gravilla" localSheetId="30">#REF!</definedName>
    <definedName name="gravilla">#REF!</definedName>
    <definedName name="HOJA1" localSheetId="19">#REF!</definedName>
    <definedName name="HOJA1" localSheetId="26">#REF!</definedName>
    <definedName name="HOJA1" localSheetId="30">#REF!</definedName>
    <definedName name="HOJA1" localSheetId="41">#REF!</definedName>
    <definedName name="HOJA1" localSheetId="61">#REF!</definedName>
    <definedName name="HOJA1" localSheetId="62">#REF!</definedName>
    <definedName name="HOJA1" localSheetId="53">#REF!</definedName>
    <definedName name="HOJA1" localSheetId="54">#REF!</definedName>
    <definedName name="HOJA1" localSheetId="55">#REF!</definedName>
    <definedName name="HOJA1" localSheetId="56">#REF!</definedName>
    <definedName name="HOJA1" localSheetId="57">#REF!</definedName>
    <definedName name="HOJA1" localSheetId="58">#REF!</definedName>
    <definedName name="HOJA1" localSheetId="59">#REF!</definedName>
    <definedName name="HOJA1" localSheetId="60">#REF!</definedName>
    <definedName name="HOJA1" localSheetId="6">#REF!</definedName>
    <definedName name="HOJA1" localSheetId="2">#REF!</definedName>
    <definedName name="HOJA1" localSheetId="8">#REF!</definedName>
    <definedName name="HOJA1" localSheetId="13">#REF!</definedName>
    <definedName name="HOJA1" localSheetId="10">#REF!</definedName>
    <definedName name="HOJA1" localSheetId="14">#REF!</definedName>
    <definedName name="HOJA1" localSheetId="3">#REF!</definedName>
    <definedName name="HOJA1" localSheetId="1">#REF!</definedName>
    <definedName name="HOJA1">#REF!</definedName>
    <definedName name="I" localSheetId="19">#REF!</definedName>
    <definedName name="I" localSheetId="26">#REF!</definedName>
    <definedName name="I" localSheetId="30">#REF!</definedName>
    <definedName name="I" localSheetId="41">#REF!</definedName>
    <definedName name="I" localSheetId="61">#REF!</definedName>
    <definedName name="I" localSheetId="62">#REF!</definedName>
    <definedName name="I" localSheetId="53">#REF!</definedName>
    <definedName name="I" localSheetId="54">#REF!</definedName>
    <definedName name="I" localSheetId="55">#REF!</definedName>
    <definedName name="I" localSheetId="56">#REF!</definedName>
    <definedName name="I" localSheetId="57">#REF!</definedName>
    <definedName name="I" localSheetId="58">#REF!</definedName>
    <definedName name="I" localSheetId="59">#REF!</definedName>
    <definedName name="I" localSheetId="60">#REF!</definedName>
    <definedName name="I" localSheetId="6">#REF!</definedName>
    <definedName name="I" localSheetId="2">#REF!</definedName>
    <definedName name="I" localSheetId="8">#REF!</definedName>
    <definedName name="I" localSheetId="13">#REF!</definedName>
    <definedName name="I" localSheetId="10">#REF!</definedName>
    <definedName name="I" localSheetId="14">#REF!</definedName>
    <definedName name="I" localSheetId="3">#REF!</definedName>
    <definedName name="I" localSheetId="1">#REF!</definedName>
    <definedName name="I">#REF!</definedName>
    <definedName name="IF" localSheetId="30">'[10]A. P. U.'!#REF!</definedName>
    <definedName name="IF">'[10]A. P. U.'!#REF!</definedName>
    <definedName name="inf" localSheetId="19">#REF!</definedName>
    <definedName name="inf" localSheetId="26">#REF!</definedName>
    <definedName name="inf" localSheetId="30">#REF!</definedName>
    <definedName name="inf" localSheetId="41">#REF!</definedName>
    <definedName name="inf" localSheetId="61">#REF!</definedName>
    <definedName name="inf" localSheetId="62">#REF!</definedName>
    <definedName name="inf" localSheetId="53">#REF!</definedName>
    <definedName name="inf" localSheetId="54">#REF!</definedName>
    <definedName name="inf" localSheetId="55">#REF!</definedName>
    <definedName name="inf" localSheetId="56">#REF!</definedName>
    <definedName name="inf" localSheetId="57">#REF!</definedName>
    <definedName name="inf" localSheetId="58">#REF!</definedName>
    <definedName name="inf" localSheetId="59">#REF!</definedName>
    <definedName name="inf" localSheetId="60">#REF!</definedName>
    <definedName name="inf" localSheetId="6">#REF!</definedName>
    <definedName name="inf" localSheetId="2">#REF!</definedName>
    <definedName name="inf" localSheetId="8">#REF!</definedName>
    <definedName name="inf" localSheetId="13">#REF!</definedName>
    <definedName name="inf" localSheetId="10">#REF!</definedName>
    <definedName name="inf" localSheetId="14">#REF!</definedName>
    <definedName name="inf" localSheetId="3">#REF!</definedName>
    <definedName name="inf" localSheetId="1">#REF!</definedName>
    <definedName name="inf">#REF!</definedName>
    <definedName name="ITEM" localSheetId="19">#REF!</definedName>
    <definedName name="ITEM" localSheetId="26">#REF!</definedName>
    <definedName name="ITEM" localSheetId="30">#REF!</definedName>
    <definedName name="ITEM" localSheetId="41">#REF!</definedName>
    <definedName name="ITEM" localSheetId="61">#REF!</definedName>
    <definedName name="ITEM" localSheetId="62">#REF!</definedName>
    <definedName name="ITEM" localSheetId="53">#REF!</definedName>
    <definedName name="ITEM" localSheetId="54">#REF!</definedName>
    <definedName name="ITEM" localSheetId="55">#REF!</definedName>
    <definedName name="ITEM" localSheetId="56">#REF!</definedName>
    <definedName name="ITEM" localSheetId="57">#REF!</definedName>
    <definedName name="ITEM" localSheetId="58">#REF!</definedName>
    <definedName name="ITEM" localSheetId="59">#REF!</definedName>
    <definedName name="ITEM" localSheetId="60">#REF!</definedName>
    <definedName name="ITEM" localSheetId="6">#REF!</definedName>
    <definedName name="ITEM" localSheetId="2">#REF!</definedName>
    <definedName name="ITEM" localSheetId="8">#REF!</definedName>
    <definedName name="ITEM" localSheetId="13">#REF!</definedName>
    <definedName name="ITEM" localSheetId="10">#REF!</definedName>
    <definedName name="ITEM" localSheetId="14">#REF!</definedName>
    <definedName name="ITEM" localSheetId="3">#REF!</definedName>
    <definedName name="ITEM" localSheetId="1">#REF!</definedName>
    <definedName name="ITEM">#REF!</definedName>
    <definedName name="ITEM1" localSheetId="19">#REF!</definedName>
    <definedName name="ITEM1" localSheetId="26">#REF!</definedName>
    <definedName name="ITEM1" localSheetId="30">#REF!</definedName>
    <definedName name="ITEM1" localSheetId="41">#REF!</definedName>
    <definedName name="ITEM1" localSheetId="61">#REF!</definedName>
    <definedName name="ITEM1" localSheetId="62">#REF!</definedName>
    <definedName name="ITEM1" localSheetId="53">#REF!</definedName>
    <definedName name="ITEM1" localSheetId="54">#REF!</definedName>
    <definedName name="ITEM1" localSheetId="55">#REF!</definedName>
    <definedName name="ITEM1" localSheetId="56">#REF!</definedName>
    <definedName name="ITEM1" localSheetId="57">#REF!</definedName>
    <definedName name="ITEM1" localSheetId="58">#REF!</definedName>
    <definedName name="ITEM1" localSheetId="59">#REF!</definedName>
    <definedName name="ITEM1" localSheetId="60">#REF!</definedName>
    <definedName name="ITEM1" localSheetId="6">#REF!</definedName>
    <definedName name="ITEM1" localSheetId="2">#REF!</definedName>
    <definedName name="ITEM1" localSheetId="8">#REF!</definedName>
    <definedName name="ITEM1" localSheetId="13">#REF!</definedName>
    <definedName name="ITEM1" localSheetId="10">#REF!</definedName>
    <definedName name="ITEM1" localSheetId="14">#REF!</definedName>
    <definedName name="ITEM1" localSheetId="3">#REF!</definedName>
    <definedName name="ITEM1" localSheetId="1">#REF!</definedName>
    <definedName name="ITEM1">#REF!</definedName>
    <definedName name="ITEM15" localSheetId="19">#REF!</definedName>
    <definedName name="ITEM15" localSheetId="26">#REF!</definedName>
    <definedName name="ITEM15" localSheetId="30">#REF!</definedName>
    <definedName name="ITEM15" localSheetId="41">#REF!</definedName>
    <definedName name="ITEM15" localSheetId="61">#REF!</definedName>
    <definedName name="ITEM15" localSheetId="62">#REF!</definedName>
    <definedName name="ITEM15" localSheetId="53">#REF!</definedName>
    <definedName name="ITEM15" localSheetId="54">#REF!</definedName>
    <definedName name="ITEM15" localSheetId="55">#REF!</definedName>
    <definedName name="ITEM15" localSheetId="56">#REF!</definedName>
    <definedName name="ITEM15" localSheetId="57">#REF!</definedName>
    <definedName name="ITEM15" localSheetId="58">#REF!</definedName>
    <definedName name="ITEM15" localSheetId="59">#REF!</definedName>
    <definedName name="ITEM15" localSheetId="60">#REF!</definedName>
    <definedName name="ITEM15" localSheetId="6">#REF!</definedName>
    <definedName name="ITEM15" localSheetId="2">#REF!</definedName>
    <definedName name="ITEM15" localSheetId="8">#REF!</definedName>
    <definedName name="ITEM15" localSheetId="13">#REF!</definedName>
    <definedName name="ITEM15" localSheetId="10">#REF!</definedName>
    <definedName name="ITEM15" localSheetId="14">#REF!</definedName>
    <definedName name="ITEM15" localSheetId="3">#REF!</definedName>
    <definedName name="ITEM15" localSheetId="1">#REF!</definedName>
    <definedName name="ITEM15">#REF!</definedName>
    <definedName name="ITEM2" localSheetId="19">#REF!</definedName>
    <definedName name="ITEM2" localSheetId="26">#REF!</definedName>
    <definedName name="ITEM2" localSheetId="30">#REF!</definedName>
    <definedName name="ITEM2" localSheetId="41">#REF!</definedName>
    <definedName name="ITEM2" localSheetId="61">#REF!</definedName>
    <definedName name="ITEM2" localSheetId="62">#REF!</definedName>
    <definedName name="ITEM2" localSheetId="53">#REF!</definedName>
    <definedName name="ITEM2" localSheetId="54">#REF!</definedName>
    <definedName name="ITEM2" localSheetId="55">#REF!</definedName>
    <definedName name="ITEM2" localSheetId="56">#REF!</definedName>
    <definedName name="ITEM2" localSheetId="57">#REF!</definedName>
    <definedName name="ITEM2" localSheetId="58">#REF!</definedName>
    <definedName name="ITEM2" localSheetId="59">#REF!</definedName>
    <definedName name="ITEM2" localSheetId="60">#REF!</definedName>
    <definedName name="ITEM2" localSheetId="6">#REF!</definedName>
    <definedName name="ITEM2" localSheetId="2">#REF!</definedName>
    <definedName name="ITEM2" localSheetId="8">#REF!</definedName>
    <definedName name="ITEM2" localSheetId="13">#REF!</definedName>
    <definedName name="ITEM2" localSheetId="10">#REF!</definedName>
    <definedName name="ITEM2" localSheetId="14">#REF!</definedName>
    <definedName name="ITEM2" localSheetId="3">#REF!</definedName>
    <definedName name="ITEM2" localSheetId="1">#REF!</definedName>
    <definedName name="ITEM2">#REF!</definedName>
    <definedName name="ITEM3" localSheetId="19">#REF!</definedName>
    <definedName name="ITEM3" localSheetId="26">#REF!</definedName>
    <definedName name="ITEM3" localSheetId="30">#REF!</definedName>
    <definedName name="ITEM3" localSheetId="41">#REF!</definedName>
    <definedName name="ITEM3" localSheetId="61">#REF!</definedName>
    <definedName name="ITEM3" localSheetId="62">#REF!</definedName>
    <definedName name="ITEM3" localSheetId="53">#REF!</definedName>
    <definedName name="ITEM3" localSheetId="54">#REF!</definedName>
    <definedName name="ITEM3" localSheetId="55">#REF!</definedName>
    <definedName name="ITEM3" localSheetId="56">#REF!</definedName>
    <definedName name="ITEM3" localSheetId="57">#REF!</definedName>
    <definedName name="ITEM3" localSheetId="58">#REF!</definedName>
    <definedName name="ITEM3" localSheetId="59">#REF!</definedName>
    <definedName name="ITEM3" localSheetId="60">#REF!</definedName>
    <definedName name="ITEM3" localSheetId="6">#REF!</definedName>
    <definedName name="ITEM3" localSheetId="2">#REF!</definedName>
    <definedName name="ITEM3" localSheetId="8">#REF!</definedName>
    <definedName name="ITEM3" localSheetId="13">#REF!</definedName>
    <definedName name="ITEM3" localSheetId="10">#REF!</definedName>
    <definedName name="ITEM3" localSheetId="14">#REF!</definedName>
    <definedName name="ITEM3" localSheetId="3">#REF!</definedName>
    <definedName name="ITEM3" localSheetId="1">#REF!</definedName>
    <definedName name="ITEM3">#REF!</definedName>
    <definedName name="ladrillo" localSheetId="30">#REF!</definedName>
    <definedName name="ladrillo">#REF!</definedName>
    <definedName name="ladrillo_adobón" localSheetId="30">#REF!</definedName>
    <definedName name="ladrillo_adobón">#REF!</definedName>
    <definedName name="ladrillo_cuadrilongo" localSheetId="30">#REF!</definedName>
    <definedName name="ladrillo_cuadrilongo">#REF!</definedName>
    <definedName name="ladrillo_farol" localSheetId="30">#REF!</definedName>
    <definedName name="ladrillo_farol">#REF!</definedName>
    <definedName name="leña" localSheetId="30">#REF!</definedName>
    <definedName name="leña">#REF!</definedName>
    <definedName name="limat" localSheetId="30">#REF!</definedName>
    <definedName name="limat">#REF!</definedName>
    <definedName name="listones" localSheetId="30">#REF!</definedName>
    <definedName name="listones">#REF!</definedName>
    <definedName name="LOCA" localSheetId="26">[11]!absc</definedName>
    <definedName name="LOCA" localSheetId="30">[11]!absc</definedName>
    <definedName name="LOCA" localSheetId="41">[11]!absc</definedName>
    <definedName name="LOCA" localSheetId="61">[11]!absc</definedName>
    <definedName name="LOCA" localSheetId="62">[11]!absc</definedName>
    <definedName name="LOCA" localSheetId="53">[11]!absc</definedName>
    <definedName name="LOCA" localSheetId="54">[11]!absc</definedName>
    <definedName name="LOCA" localSheetId="55">[11]!absc</definedName>
    <definedName name="LOCA" localSheetId="56">[11]!absc</definedName>
    <definedName name="LOCA" localSheetId="57">[11]!absc</definedName>
    <definedName name="LOCA" localSheetId="58">[11]!absc</definedName>
    <definedName name="LOCA" localSheetId="59">[11]!absc</definedName>
    <definedName name="LOCA" localSheetId="60">[11]!absc</definedName>
    <definedName name="LOCA" localSheetId="2">[11]!absc</definedName>
    <definedName name="LOCA" localSheetId="13">[11]!absc</definedName>
    <definedName name="LOCA" localSheetId="14">[11]!absc</definedName>
    <definedName name="LOCA" localSheetId="3">[11]!absc</definedName>
    <definedName name="LOCA" localSheetId="1">[11]!absc</definedName>
    <definedName name="LOCA">[11]!absc</definedName>
    <definedName name="manguera_pf_diám._1_2_pg" localSheetId="30">#REF!</definedName>
    <definedName name="manguera_pf_diám._1_2_pg">#REF!</definedName>
    <definedName name="MAQUINAR">[12]Insum!$A$68:$H$98</definedName>
    <definedName name="MAT" localSheetId="19">#REF!</definedName>
    <definedName name="MAT" localSheetId="26">#REF!</definedName>
    <definedName name="MAT" localSheetId="30">#REF!</definedName>
    <definedName name="MAT" localSheetId="41">#REF!</definedName>
    <definedName name="MAT" localSheetId="61">#REF!</definedName>
    <definedName name="MAT" localSheetId="62">#REF!</definedName>
    <definedName name="MAT" localSheetId="53">#REF!</definedName>
    <definedName name="MAT" localSheetId="54">#REF!</definedName>
    <definedName name="MAT" localSheetId="55">#REF!</definedName>
    <definedName name="MAT" localSheetId="56">#REF!</definedName>
    <definedName name="MAT" localSheetId="57">#REF!</definedName>
    <definedName name="MAT" localSheetId="58">#REF!</definedName>
    <definedName name="MAT" localSheetId="59">#REF!</definedName>
    <definedName name="MAT" localSheetId="60">#REF!</definedName>
    <definedName name="MAT" localSheetId="6">#REF!</definedName>
    <definedName name="MAT" localSheetId="2">#REF!</definedName>
    <definedName name="MAT" localSheetId="8">#REF!</definedName>
    <definedName name="MAT" localSheetId="13">#REF!</definedName>
    <definedName name="MAT" localSheetId="10">#REF!</definedName>
    <definedName name="MAT" localSheetId="14">#REF!</definedName>
    <definedName name="MAT" localSheetId="3">#REF!</definedName>
    <definedName name="MAT" localSheetId="1">#REF!</definedName>
    <definedName name="MAT">#REF!</definedName>
    <definedName name="MATERIAL" localSheetId="30">#REF!</definedName>
    <definedName name="MATERIAL">#REF!</definedName>
    <definedName name="MATERIALES">'[7]Materiales (2)'!$B$3:$B$581</definedName>
    <definedName name="Obra" localSheetId="30">#REF!</definedName>
    <definedName name="Obra">#REF!</definedName>
    <definedName name="pintura_sintetica" localSheetId="30">#REF!</definedName>
    <definedName name="pintura_sintetica">#REF!</definedName>
    <definedName name="PRE" localSheetId="19">#REF!</definedName>
    <definedName name="PRE" localSheetId="26">#REF!</definedName>
    <definedName name="PRE" localSheetId="30">#REF!</definedName>
    <definedName name="PRE" localSheetId="41">#REF!</definedName>
    <definedName name="PRE" localSheetId="61">#REF!</definedName>
    <definedName name="PRE" localSheetId="62">#REF!</definedName>
    <definedName name="PRE" localSheetId="53">#REF!</definedName>
    <definedName name="PRE" localSheetId="54">#REF!</definedName>
    <definedName name="PRE" localSheetId="55">#REF!</definedName>
    <definedName name="PRE" localSheetId="56">#REF!</definedName>
    <definedName name="PRE" localSheetId="57">#REF!</definedName>
    <definedName name="PRE" localSheetId="58">#REF!</definedName>
    <definedName name="PRE" localSheetId="59">#REF!</definedName>
    <definedName name="PRE" localSheetId="60">#REF!</definedName>
    <definedName name="PRE" localSheetId="6">#REF!</definedName>
    <definedName name="PRE" localSheetId="2">#REF!</definedName>
    <definedName name="PRE" localSheetId="8">#REF!</definedName>
    <definedName name="PRE" localSheetId="13">#REF!</definedName>
    <definedName name="PRE" localSheetId="10">#REF!</definedName>
    <definedName name="PRE" localSheetId="14">#REF!</definedName>
    <definedName name="PRE" localSheetId="3">#REF!</definedName>
    <definedName name="PRE" localSheetId="1">#REF!</definedName>
    <definedName name="PRE">#REF!</definedName>
    <definedName name="PRECIO" localSheetId="30">#REF!</definedName>
    <definedName name="PRECIO">#REF!</definedName>
    <definedName name="presp2" localSheetId="30">#REF!</definedName>
    <definedName name="presp2">#REF!</definedName>
    <definedName name="Proponente" localSheetId="30">#REF!</definedName>
    <definedName name="Proponente">#REF!</definedName>
    <definedName name="PRUEBA" localSheetId="26">[13]!absc</definedName>
    <definedName name="PRUEBA" localSheetId="30">[13]!absc</definedName>
    <definedName name="PRUEBA" localSheetId="41">[13]!absc</definedName>
    <definedName name="PRUEBA" localSheetId="61">[13]!absc</definedName>
    <definedName name="PRUEBA" localSheetId="62">[13]!absc</definedName>
    <definedName name="PRUEBA" localSheetId="53">[13]!absc</definedName>
    <definedName name="PRUEBA" localSheetId="54">[13]!absc</definedName>
    <definedName name="PRUEBA" localSheetId="55">[13]!absc</definedName>
    <definedName name="PRUEBA" localSheetId="56">[13]!absc</definedName>
    <definedName name="PRUEBA" localSheetId="57">[13]!absc</definedName>
    <definedName name="PRUEBA" localSheetId="58">[13]!absc</definedName>
    <definedName name="PRUEBA" localSheetId="59">[13]!absc</definedName>
    <definedName name="PRUEBA" localSheetId="60">[13]!absc</definedName>
    <definedName name="PRUEBA" localSheetId="2">[13]!absc</definedName>
    <definedName name="PRUEBA" localSheetId="13">[13]!absc</definedName>
    <definedName name="PRUEBA" localSheetId="14">[13]!absc</definedName>
    <definedName name="PRUEBA" localSheetId="3">[13]!absc</definedName>
    <definedName name="PRUEBA" localSheetId="1">[13]!absc</definedName>
    <definedName name="PRUEBA">[13]!absc</definedName>
    <definedName name="prueba1" localSheetId="26">[13]!absc</definedName>
    <definedName name="prueba1" localSheetId="30">[13]!absc</definedName>
    <definedName name="prueba1" localSheetId="41">[13]!absc</definedName>
    <definedName name="prueba1" localSheetId="61">[13]!absc</definedName>
    <definedName name="prueba1" localSheetId="62">[13]!absc</definedName>
    <definedName name="prueba1" localSheetId="53">[13]!absc</definedName>
    <definedName name="prueba1" localSheetId="54">[13]!absc</definedName>
    <definedName name="prueba1" localSheetId="55">[13]!absc</definedName>
    <definedName name="prueba1" localSheetId="56">[13]!absc</definedName>
    <definedName name="prueba1" localSheetId="57">[13]!absc</definedName>
    <definedName name="prueba1" localSheetId="58">[13]!absc</definedName>
    <definedName name="prueba1" localSheetId="59">[13]!absc</definedName>
    <definedName name="prueba1" localSheetId="60">[13]!absc</definedName>
    <definedName name="prueba1" localSheetId="2">[13]!absc</definedName>
    <definedName name="prueba1" localSheetId="13">[13]!absc</definedName>
    <definedName name="prueba1" localSheetId="14">[13]!absc</definedName>
    <definedName name="prueba1" localSheetId="3">[13]!absc</definedName>
    <definedName name="prueba1" localSheetId="1">[13]!absc</definedName>
    <definedName name="prueba1">[13]!absc</definedName>
    <definedName name="PRUEBA2" localSheetId="19">#REF!</definedName>
    <definedName name="PRUEBA2" localSheetId="26">#REF!</definedName>
    <definedName name="PRUEBA2" localSheetId="30">#REF!</definedName>
    <definedName name="PRUEBA2" localSheetId="41">#REF!</definedName>
    <definedName name="PRUEBA2" localSheetId="61">#REF!</definedName>
    <definedName name="PRUEBA2" localSheetId="62">#REF!</definedName>
    <definedName name="PRUEBA2" localSheetId="53">#REF!</definedName>
    <definedName name="PRUEBA2" localSheetId="54">#REF!</definedName>
    <definedName name="PRUEBA2" localSheetId="55">#REF!</definedName>
    <definedName name="PRUEBA2" localSheetId="56">#REF!</definedName>
    <definedName name="PRUEBA2" localSheetId="57">#REF!</definedName>
    <definedName name="PRUEBA2" localSheetId="58">#REF!</definedName>
    <definedName name="PRUEBA2" localSheetId="59">#REF!</definedName>
    <definedName name="PRUEBA2" localSheetId="60">#REF!</definedName>
    <definedName name="PRUEBA2" localSheetId="6">#REF!</definedName>
    <definedName name="PRUEBA2" localSheetId="2">#REF!</definedName>
    <definedName name="PRUEBA2" localSheetId="8">#REF!</definedName>
    <definedName name="PRUEBA2" localSheetId="13">#REF!</definedName>
    <definedName name="PRUEBA2" localSheetId="10">#REF!</definedName>
    <definedName name="PRUEBA2" localSheetId="14">#REF!</definedName>
    <definedName name="PRUEBA2" localSheetId="3">#REF!</definedName>
    <definedName name="PRUEBA2" localSheetId="1">#REF!</definedName>
    <definedName name="PRUEBA2">#REF!</definedName>
    <definedName name="puertas_metalicas" localSheetId="30">#REF!</definedName>
    <definedName name="puertas_metalicas">#REF!</definedName>
    <definedName name="rajon" localSheetId="30">#REF!</definedName>
    <definedName name="rajon">#REF!</definedName>
    <definedName name="recebo" localSheetId="30">#REF!</definedName>
    <definedName name="recebo">#REF!</definedName>
    <definedName name="rell" localSheetId="30">#REF!</definedName>
    <definedName name="rell">#REF!</definedName>
    <definedName name="solver_eng" localSheetId="21" hidden="1">1</definedName>
    <definedName name="solver_neg" localSheetId="21" hidden="1">1</definedName>
    <definedName name="solver_num" localSheetId="21" hidden="1">0</definedName>
    <definedName name="solver_opt" localSheetId="21" hidden="1">'201,7'!$J$39</definedName>
    <definedName name="solver_typ" localSheetId="21" hidden="1">1</definedName>
    <definedName name="solver_val" localSheetId="21" hidden="1">0</definedName>
    <definedName name="solver_ver" localSheetId="21" hidden="1">3</definedName>
    <definedName name="t" localSheetId="26">[4]!absc</definedName>
    <definedName name="t" localSheetId="30">[4]!absc</definedName>
    <definedName name="t" localSheetId="41">[4]!absc</definedName>
    <definedName name="t" localSheetId="61">[4]!absc</definedName>
    <definedName name="t" localSheetId="62">[4]!absc</definedName>
    <definedName name="t" localSheetId="53">[4]!absc</definedName>
    <definedName name="t" localSheetId="54">[4]!absc</definedName>
    <definedName name="t" localSheetId="55">[4]!absc</definedName>
    <definedName name="t" localSheetId="56">[4]!absc</definedName>
    <definedName name="t" localSheetId="57">[4]!absc</definedName>
    <definedName name="t" localSheetId="58">[4]!absc</definedName>
    <definedName name="t" localSheetId="59">[4]!absc</definedName>
    <definedName name="t" localSheetId="60">[4]!absc</definedName>
    <definedName name="t" localSheetId="2">[4]!absc</definedName>
    <definedName name="t" localSheetId="13">[4]!absc</definedName>
    <definedName name="t" localSheetId="14">[4]!absc</definedName>
    <definedName name="t" localSheetId="3">[4]!absc</definedName>
    <definedName name="t" localSheetId="1">[4]!absc</definedName>
    <definedName name="t">[4]!absc</definedName>
    <definedName name="TABLA" localSheetId="19">#REF!</definedName>
    <definedName name="TABLA" localSheetId="26">#REF!</definedName>
    <definedName name="TABLA" localSheetId="30">#REF!</definedName>
    <definedName name="TABLA" localSheetId="41">#REF!</definedName>
    <definedName name="TABLA" localSheetId="61">#REF!</definedName>
    <definedName name="TABLA" localSheetId="62">#REF!</definedName>
    <definedName name="TABLA" localSheetId="53">#REF!</definedName>
    <definedName name="TABLA" localSheetId="54">#REF!</definedName>
    <definedName name="TABLA" localSheetId="55">#REF!</definedName>
    <definedName name="TABLA" localSheetId="56">#REF!</definedName>
    <definedName name="TABLA" localSheetId="57">#REF!</definedName>
    <definedName name="TABLA" localSheetId="58">#REF!</definedName>
    <definedName name="TABLA" localSheetId="59">#REF!</definedName>
    <definedName name="TABLA" localSheetId="60">#REF!</definedName>
    <definedName name="TABLA" localSheetId="6">#REF!</definedName>
    <definedName name="TABLA" localSheetId="2">#REF!</definedName>
    <definedName name="TABLA" localSheetId="8">#REF!</definedName>
    <definedName name="TABLA" localSheetId="13">#REF!</definedName>
    <definedName name="TABLA" localSheetId="10">#REF!</definedName>
    <definedName name="TABLA" localSheetId="14">#REF!</definedName>
    <definedName name="TABLA" localSheetId="3">#REF!</definedName>
    <definedName name="TABLA" localSheetId="1">#REF!</definedName>
    <definedName name="TABLA">#REF!</definedName>
    <definedName name="tablillas" localSheetId="30">#REF!</definedName>
    <definedName name="tablillas">#REF!</definedName>
    <definedName name="teja_de_asbesto_cemento_No._6" localSheetId="30">#REF!</definedName>
    <definedName name="teja_de_asbesto_cemento_No._6">#REF!</definedName>
    <definedName name="TITULO" localSheetId="19">#REF!</definedName>
    <definedName name="TITULO" localSheetId="26">#REF!</definedName>
    <definedName name="TITULO" localSheetId="30">#REF!</definedName>
    <definedName name="TITULO" localSheetId="41">#REF!</definedName>
    <definedName name="TITULO" localSheetId="61">#REF!</definedName>
    <definedName name="TITULO" localSheetId="62">#REF!</definedName>
    <definedName name="TITULO" localSheetId="53">#REF!</definedName>
    <definedName name="TITULO" localSheetId="54">#REF!</definedName>
    <definedName name="TITULO" localSheetId="55">#REF!</definedName>
    <definedName name="TITULO" localSheetId="56">#REF!</definedName>
    <definedName name="TITULO" localSheetId="57">#REF!</definedName>
    <definedName name="TITULO" localSheetId="58">#REF!</definedName>
    <definedName name="TITULO" localSheetId="59">#REF!</definedName>
    <definedName name="TITULO" localSheetId="60">#REF!</definedName>
    <definedName name="TITULO" localSheetId="6">#REF!</definedName>
    <definedName name="TITULO" localSheetId="2">#REF!</definedName>
    <definedName name="TITULO" localSheetId="8">#REF!</definedName>
    <definedName name="TITULO" localSheetId="13">#REF!</definedName>
    <definedName name="TITULO" localSheetId="10">#REF!</definedName>
    <definedName name="TITULO" localSheetId="14">#REF!</definedName>
    <definedName name="TITULO" localSheetId="3">#REF!</definedName>
    <definedName name="TITULO" localSheetId="1">#REF!</definedName>
    <definedName name="TITULO">#REF!</definedName>
    <definedName name="_xlnm.Print_Titles" localSheetId="2">cant!$1:$9</definedName>
    <definedName name="_xlnm.Print_Titles" localSheetId="8">'cargas interv'!$A:$C</definedName>
    <definedName name="_xlnm.Print_Titles" localSheetId="13">CRONOG!$A:$F</definedName>
    <definedName name="_xlnm.Print_Titles" localSheetId="10">Equipo!$1:$7</definedName>
    <definedName name="_xlnm.Print_Titles" localSheetId="14">'FL F'!$A:$F</definedName>
    <definedName name="_xlnm.Print_Titles" localSheetId="11">Materiales!$1:$7</definedName>
    <definedName name="_xlnm.Print_Titles" localSheetId="3">MGA!$1:$6</definedName>
    <definedName name="_xlnm.Print_Titles" localSheetId="1">P.Detall!$1:$11</definedName>
    <definedName name="_xlnm.Print_Titles" localSheetId="0">'Presup '!$1:$11</definedName>
    <definedName name="TOTAL" localSheetId="19">#REF!</definedName>
    <definedName name="TOTAL" localSheetId="26">#REF!</definedName>
    <definedName name="TOTAL" localSheetId="30">#REF!</definedName>
    <definedName name="TOTAL" localSheetId="41">#REF!</definedName>
    <definedName name="TOTAL" localSheetId="61">#REF!</definedName>
    <definedName name="TOTAL" localSheetId="62">#REF!</definedName>
    <definedName name="TOTAL" localSheetId="53">#REF!</definedName>
    <definedName name="TOTAL" localSheetId="54">#REF!</definedName>
    <definedName name="TOTAL" localSheetId="55">#REF!</definedName>
    <definedName name="TOTAL" localSheetId="56">#REF!</definedName>
    <definedName name="TOTAL" localSheetId="57">#REF!</definedName>
    <definedName name="TOTAL" localSheetId="58">#REF!</definedName>
    <definedName name="TOTAL" localSheetId="59">#REF!</definedName>
    <definedName name="TOTAL" localSheetId="60">#REF!</definedName>
    <definedName name="TOTAL" localSheetId="6">#REF!</definedName>
    <definedName name="TOTAL" localSheetId="2">#REF!</definedName>
    <definedName name="TOTAL" localSheetId="8">#REF!</definedName>
    <definedName name="TOTAL" localSheetId="13">#REF!</definedName>
    <definedName name="TOTAL" localSheetId="10">#REF!</definedName>
    <definedName name="TOTAL" localSheetId="14">#REF!</definedName>
    <definedName name="TOTAL" localSheetId="3">#REF!</definedName>
    <definedName name="TOTAL" localSheetId="1">#REF!</definedName>
    <definedName name="TOTAL">#REF!</definedName>
    <definedName name="TRAT">[14]desmonte!$E$48</definedName>
    <definedName name="triturado" localSheetId="30">#REF!</definedName>
    <definedName name="triturado">#REF!</definedName>
    <definedName name="tubo_de_cemento_diám._6_pg" localSheetId="30">#REF!</definedName>
    <definedName name="tubo_de_cemento_diám._6_pg">#REF!</definedName>
    <definedName name="tubo_de_cemento_diám._8_pg" localSheetId="30">#REF!</definedName>
    <definedName name="tubo_de_cemento_diám._8_pg">#REF!</definedName>
    <definedName name="U" localSheetId="19">#REF!</definedName>
    <definedName name="U" localSheetId="26">#REF!</definedName>
    <definedName name="U" localSheetId="30">#REF!</definedName>
    <definedName name="U" localSheetId="41">#REF!</definedName>
    <definedName name="U" localSheetId="61">#REF!</definedName>
    <definedName name="U" localSheetId="62">#REF!</definedName>
    <definedName name="U" localSheetId="53">#REF!</definedName>
    <definedName name="U" localSheetId="54">#REF!</definedName>
    <definedName name="U" localSheetId="55">#REF!</definedName>
    <definedName name="U" localSheetId="56">#REF!</definedName>
    <definedName name="U" localSheetId="57">#REF!</definedName>
    <definedName name="U" localSheetId="58">#REF!</definedName>
    <definedName name="U" localSheetId="59">#REF!</definedName>
    <definedName name="U" localSheetId="60">#REF!</definedName>
    <definedName name="U" localSheetId="6">#REF!</definedName>
    <definedName name="U" localSheetId="2">#REF!</definedName>
    <definedName name="U" localSheetId="8">#REF!</definedName>
    <definedName name="U" localSheetId="13">#REF!</definedName>
    <definedName name="U" localSheetId="10">#REF!</definedName>
    <definedName name="U" localSheetId="14">#REF!</definedName>
    <definedName name="U" localSheetId="3">#REF!</definedName>
    <definedName name="U" localSheetId="1">#REF!</definedName>
    <definedName name="U">#REF!</definedName>
    <definedName name="Ubicación" localSheetId="30">#REF!</definedName>
    <definedName name="Ubicación">#REF!</definedName>
    <definedName name="UNIDAD" localSheetId="30">#REF!</definedName>
    <definedName name="UNIDAD">#REF!</definedName>
    <definedName name="UNITARIO">[15]Unitarios!$A$3:$D$13</definedName>
    <definedName name="Unitarios" localSheetId="30">#REF!</definedName>
    <definedName name="Unitarios">#REF!</definedName>
    <definedName name="valor1" localSheetId="19">#REF!</definedName>
    <definedName name="valor1" localSheetId="26">#REF!</definedName>
    <definedName name="valor1" localSheetId="30">#REF!</definedName>
    <definedName name="valor1" localSheetId="41">#REF!</definedName>
    <definedName name="valor1" localSheetId="61">#REF!</definedName>
    <definedName name="valor1" localSheetId="62">#REF!</definedName>
    <definedName name="valor1" localSheetId="53">#REF!</definedName>
    <definedName name="valor1" localSheetId="54">#REF!</definedName>
    <definedName name="valor1" localSheetId="55">#REF!</definedName>
    <definedName name="valor1" localSheetId="56">#REF!</definedName>
    <definedName name="valor1" localSheetId="57">#REF!</definedName>
    <definedName name="valor1" localSheetId="58">#REF!</definedName>
    <definedName name="valor1" localSheetId="59">#REF!</definedName>
    <definedName name="valor1" localSheetId="60">#REF!</definedName>
    <definedName name="valor1" localSheetId="6">#REF!</definedName>
    <definedName name="valor1" localSheetId="2">#REF!</definedName>
    <definedName name="valor1" localSheetId="8">#REF!</definedName>
    <definedName name="valor1" localSheetId="13">#REF!</definedName>
    <definedName name="valor1" localSheetId="10">#REF!</definedName>
    <definedName name="valor1" localSheetId="14">#REF!</definedName>
    <definedName name="valor1" localSheetId="3">#REF!</definedName>
    <definedName name="valor1" localSheetId="1">#REF!</definedName>
    <definedName name="valor1">#REF!</definedName>
    <definedName name="valor2" localSheetId="19">#REF!</definedName>
    <definedName name="valor2" localSheetId="26">#REF!</definedName>
    <definedName name="valor2" localSheetId="30">#REF!</definedName>
    <definedName name="valor2" localSheetId="41">#REF!</definedName>
    <definedName name="valor2" localSheetId="61">#REF!</definedName>
    <definedName name="valor2" localSheetId="62">#REF!</definedName>
    <definedName name="valor2" localSheetId="53">#REF!</definedName>
    <definedName name="valor2" localSheetId="54">#REF!</definedName>
    <definedName name="valor2" localSheetId="55">#REF!</definedName>
    <definedName name="valor2" localSheetId="56">#REF!</definedName>
    <definedName name="valor2" localSheetId="57">#REF!</definedName>
    <definedName name="valor2" localSheetId="58">#REF!</definedName>
    <definedName name="valor2" localSheetId="59">#REF!</definedName>
    <definedName name="valor2" localSheetId="60">#REF!</definedName>
    <definedName name="valor2" localSheetId="6">#REF!</definedName>
    <definedName name="valor2" localSheetId="2">#REF!</definedName>
    <definedName name="valor2" localSheetId="8">#REF!</definedName>
    <definedName name="valor2" localSheetId="13">#REF!</definedName>
    <definedName name="valor2" localSheetId="10">#REF!</definedName>
    <definedName name="valor2" localSheetId="14">#REF!</definedName>
    <definedName name="valor2" localSheetId="3">#REF!</definedName>
    <definedName name="valor2" localSheetId="1">#REF!</definedName>
    <definedName name="valor2">#REF!</definedName>
    <definedName name="VALOR3" localSheetId="19">#REF!</definedName>
    <definedName name="VALOR3" localSheetId="26">#REF!</definedName>
    <definedName name="VALOR3" localSheetId="30">#REF!</definedName>
    <definedName name="VALOR3" localSheetId="41">#REF!</definedName>
    <definedName name="VALOR3" localSheetId="61">#REF!</definedName>
    <definedName name="VALOR3" localSheetId="62">#REF!</definedName>
    <definedName name="VALOR3" localSheetId="53">#REF!</definedName>
    <definedName name="VALOR3" localSheetId="54">#REF!</definedName>
    <definedName name="VALOR3" localSheetId="55">#REF!</definedName>
    <definedName name="VALOR3" localSheetId="56">#REF!</definedName>
    <definedName name="VALOR3" localSheetId="57">#REF!</definedName>
    <definedName name="VALOR3" localSheetId="58">#REF!</definedName>
    <definedName name="VALOR3" localSheetId="59">#REF!</definedName>
    <definedName name="VALOR3" localSheetId="60">#REF!</definedName>
    <definedName name="VALOR3" localSheetId="6">#REF!</definedName>
    <definedName name="VALOR3" localSheetId="2">#REF!</definedName>
    <definedName name="VALOR3" localSheetId="8">#REF!</definedName>
    <definedName name="VALOR3" localSheetId="13">#REF!</definedName>
    <definedName name="VALOR3" localSheetId="10">#REF!</definedName>
    <definedName name="VALOR3" localSheetId="14">#REF!</definedName>
    <definedName name="VALOR3" localSheetId="3">#REF!</definedName>
    <definedName name="VALOR3" localSheetId="1">#REF!</definedName>
    <definedName name="VALOR3">#REF!</definedName>
    <definedName name="válvula_de_paso_diám._1_2_pg" localSheetId="30">#REF!</definedName>
    <definedName name="válvula_de_paso_diám._1_2_pg">#REF!</definedName>
    <definedName name="WW" localSheetId="30">#REF!</definedName>
    <definedName name="WW">#REF!</definedName>
    <definedName name="xxxx">[1]INV!$A$25:$D$28</definedName>
    <definedName name="xxxxx" localSheetId="26">[16]!absc</definedName>
    <definedName name="xxxxx" localSheetId="30">[16]!absc</definedName>
    <definedName name="xxxxx" localSheetId="41">[16]!absc</definedName>
    <definedName name="xxxxx" localSheetId="61">[16]!absc</definedName>
    <definedName name="xxxxx" localSheetId="62">[16]!absc</definedName>
    <definedName name="xxxxx" localSheetId="53">[16]!absc</definedName>
    <definedName name="xxxxx" localSheetId="54">[16]!absc</definedName>
    <definedName name="xxxxx" localSheetId="55">[16]!absc</definedName>
    <definedName name="xxxxx" localSheetId="56">[16]!absc</definedName>
    <definedName name="xxxxx" localSheetId="57">[16]!absc</definedName>
    <definedName name="xxxxx" localSheetId="58">[16]!absc</definedName>
    <definedName name="xxxxx" localSheetId="59">[16]!absc</definedName>
    <definedName name="xxxxx" localSheetId="60">[16]!absc</definedName>
    <definedName name="xxxxx" localSheetId="2">[16]!absc</definedName>
    <definedName name="xxxxx" localSheetId="13">[16]!absc</definedName>
    <definedName name="xxxxx" localSheetId="14">[16]!absc</definedName>
    <definedName name="xxxxx" localSheetId="3">[16]!absc</definedName>
    <definedName name="xxxxx" localSheetId="1">[16]!absc</definedName>
    <definedName name="xxxxx">[16]!absc</definedName>
  </definedNames>
  <calcPr calcId="179021"/>
</workbook>
</file>

<file path=xl/calcChain.xml><?xml version="1.0" encoding="utf-8"?>
<calcChain xmlns="http://schemas.openxmlformats.org/spreadsheetml/2006/main">
  <c r="E222" i="68" l="1"/>
  <c r="E36" i="68"/>
  <c r="G22" i="31"/>
  <c r="G40" i="30"/>
  <c r="G39" i="28"/>
  <c r="G39" i="16"/>
  <c r="G39" i="14"/>
  <c r="G32" i="14"/>
  <c r="G12" i="14"/>
  <c r="G12" i="9"/>
  <c r="G39" i="9" s="1"/>
  <c r="I99" i="3"/>
  <c r="I100" i="3" s="1"/>
  <c r="I102" i="3"/>
  <c r="I103" i="3" s="1"/>
  <c r="I104" i="3" s="1"/>
  <c r="I105" i="3"/>
  <c r="G23" i="31"/>
  <c r="J582" i="68" l="1"/>
  <c r="I29" i="30"/>
  <c r="A26" i="62"/>
  <c r="T92" i="69"/>
  <c r="P92" i="69"/>
  <c r="N92" i="69"/>
  <c r="T89" i="69"/>
  <c r="P89" i="69"/>
  <c r="N89" i="69"/>
  <c r="L89" i="69"/>
  <c r="J89" i="69"/>
  <c r="D32" i="21"/>
  <c r="F71" i="3"/>
  <c r="E71" i="3"/>
  <c r="D33" i="58"/>
  <c r="D19" i="58"/>
  <c r="D20" i="58" s="1"/>
  <c r="D21" i="58" s="1"/>
  <c r="F44" i="58"/>
  <c r="F43" i="58"/>
  <c r="F42" i="58"/>
  <c r="F41" i="58"/>
  <c r="F40" i="58"/>
  <c r="F39" i="58"/>
  <c r="R89" i="69" l="1"/>
  <c r="V89" i="69"/>
  <c r="E961" i="68" l="1"/>
  <c r="D32" i="90"/>
  <c r="D960" i="68"/>
  <c r="F61" i="90"/>
  <c r="F60" i="90"/>
  <c r="G52" i="90"/>
  <c r="G51" i="90"/>
  <c r="G50" i="90"/>
  <c r="G39" i="90"/>
  <c r="E39" i="90"/>
  <c r="B39" i="90"/>
  <c r="B22" i="90"/>
  <c r="B13" i="90"/>
  <c r="G12" i="90"/>
  <c r="G13" i="90" s="1"/>
  <c r="B12" i="90"/>
  <c r="B11" i="90"/>
  <c r="I7" i="90"/>
  <c r="C7" i="90"/>
  <c r="C6" i="90"/>
  <c r="E2" i="90"/>
  <c r="D32" i="19"/>
  <c r="S12" i="9"/>
  <c r="P15" i="9" s="1"/>
  <c r="F592" i="68"/>
  <c r="J384" i="68"/>
  <c r="F276" i="68"/>
  <c r="F193" i="68"/>
  <c r="F222" i="68" s="1"/>
  <c r="F246" i="68" s="1"/>
  <c r="F261" i="68" s="1"/>
  <c r="F796" i="68"/>
  <c r="H591" i="68"/>
  <c r="H590" i="68"/>
  <c r="J8" i="87"/>
  <c r="D23" i="57"/>
  <c r="F885" i="68"/>
  <c r="G863" i="68"/>
  <c r="G864" i="68" s="1"/>
  <c r="F863" i="68"/>
  <c r="F864" i="68" s="1"/>
  <c r="F614" i="68"/>
  <c r="H614" i="68" s="1"/>
  <c r="J614" i="68" s="1"/>
  <c r="F613" i="68"/>
  <c r="D614" i="68"/>
  <c r="D613" i="68"/>
  <c r="H613" i="68"/>
  <c r="J613" i="68" s="1"/>
  <c r="G610" i="68"/>
  <c r="G590" i="68"/>
  <c r="G946" i="68" s="1"/>
  <c r="G591" i="68"/>
  <c r="G947" i="68" s="1"/>
  <c r="E590" i="68"/>
  <c r="E946" i="68" s="1"/>
  <c r="E591" i="68"/>
  <c r="F802" i="68" s="1"/>
  <c r="G589" i="68"/>
  <c r="G945" i="68" s="1"/>
  <c r="E589" i="68"/>
  <c r="E945" i="68" s="1"/>
  <c r="D590" i="68"/>
  <c r="D946" i="68" s="1"/>
  <c r="D591" i="68"/>
  <c r="D947" i="68" s="1"/>
  <c r="D589" i="68"/>
  <c r="D800" i="68" s="1"/>
  <c r="F577" i="68"/>
  <c r="F578" i="68"/>
  <c r="F579" i="68"/>
  <c r="H577" i="68"/>
  <c r="I577" i="68"/>
  <c r="H578" i="68"/>
  <c r="I578" i="68"/>
  <c r="H579" i="68"/>
  <c r="I579" i="68"/>
  <c r="I576" i="68"/>
  <c r="F576" i="68"/>
  <c r="D578" i="68"/>
  <c r="D579" i="68" s="1"/>
  <c r="D576" i="68"/>
  <c r="D577" i="68" s="1"/>
  <c r="G577" i="68"/>
  <c r="G578" i="68"/>
  <c r="G579" i="68"/>
  <c r="G576" i="68"/>
  <c r="H576" i="68"/>
  <c r="I385" i="68"/>
  <c r="J385" i="68" s="1"/>
  <c r="G493" i="68"/>
  <c r="H493" i="68" s="1"/>
  <c r="J493" i="68" s="1"/>
  <c r="G492" i="68"/>
  <c r="H492" i="68" s="1"/>
  <c r="J492" i="68" s="1"/>
  <c r="D402" i="68"/>
  <c r="D416" i="68" s="1"/>
  <c r="D429" i="68" s="1"/>
  <c r="I384" i="68"/>
  <c r="I294" i="68"/>
  <c r="E134" i="68"/>
  <c r="E135" i="68" s="1"/>
  <c r="E32" i="19" l="1"/>
  <c r="F32" i="19" s="1"/>
  <c r="E32" i="63"/>
  <c r="E32" i="28"/>
  <c r="E32" i="35"/>
  <c r="E208" i="68"/>
  <c r="G14" i="69"/>
  <c r="J134" i="68"/>
  <c r="H961" i="68"/>
  <c r="J961" i="68" s="1"/>
  <c r="J976" i="68" s="1"/>
  <c r="G73" i="69" s="1"/>
  <c r="J576" i="68"/>
  <c r="J578" i="68"/>
  <c r="J577" i="68"/>
  <c r="J864" i="68"/>
  <c r="D802" i="68"/>
  <c r="F801" i="68"/>
  <c r="J863" i="68"/>
  <c r="E947" i="68"/>
  <c r="E592" i="68"/>
  <c r="D801" i="68"/>
  <c r="D885" i="68" s="1"/>
  <c r="F800" i="68"/>
  <c r="D945" i="68"/>
  <c r="G71" i="3" l="1"/>
  <c r="E885" i="68"/>
  <c r="G885" i="68" s="1"/>
  <c r="I592" i="68"/>
  <c r="J592" i="68" s="1"/>
  <c r="E760" i="68"/>
  <c r="F611" i="68"/>
  <c r="E612" i="68" s="1"/>
  <c r="H612" i="68" s="1"/>
  <c r="J612" i="68" s="1"/>
  <c r="F22" i="18" l="1"/>
  <c r="F19" i="8"/>
  <c r="F20" i="8"/>
  <c r="F21" i="8"/>
  <c r="F22" i="8"/>
  <c r="F23" i="8"/>
  <c r="F24" i="8"/>
  <c r="F25" i="8"/>
  <c r="F26" i="8"/>
  <c r="F27" i="8"/>
  <c r="F18" i="8"/>
  <c r="H12" i="8"/>
  <c r="C41" i="7"/>
  <c r="C82" i="7"/>
  <c r="F24" i="31" s="1"/>
  <c r="C96" i="7"/>
  <c r="C136" i="7"/>
  <c r="C144" i="7"/>
  <c r="C151" i="7"/>
  <c r="C181" i="7"/>
  <c r="C8" i="6"/>
  <c r="K4" i="6"/>
  <c r="K6" i="6" s="1"/>
  <c r="K7" i="6" s="1"/>
  <c r="F26" i="28" l="1"/>
  <c r="F26" i="29"/>
  <c r="F26" i="30"/>
  <c r="D110" i="69"/>
  <c r="D109" i="69"/>
  <c r="D111" i="69"/>
  <c r="E8" i="7" l="1"/>
  <c r="E9" i="7"/>
  <c r="E10" i="7"/>
  <c r="E11" i="7"/>
  <c r="G27" i="8" l="1"/>
  <c r="H13" i="8" l="1"/>
  <c r="H14" i="8" s="1"/>
  <c r="H15" i="8" s="1"/>
  <c r="H16" i="8" s="1"/>
  <c r="H17" i="8" s="1"/>
  <c r="H18" i="8" s="1"/>
  <c r="H19" i="8" s="1"/>
  <c r="H20" i="8" s="1"/>
  <c r="H21" i="8" s="1"/>
  <c r="H22" i="8" s="1"/>
  <c r="A40" i="62" l="1"/>
  <c r="C84" i="65" l="1"/>
  <c r="AC85" i="65" s="1"/>
  <c r="A45" i="83" l="1"/>
  <c r="A44" i="83"/>
  <c r="A63" i="62"/>
  <c r="A67" i="88" s="1"/>
  <c r="A62" i="62"/>
  <c r="A66" i="88" s="1"/>
  <c r="A37" i="57"/>
  <c r="A36" i="57"/>
  <c r="A61" i="58"/>
  <c r="A60" i="58"/>
  <c r="A96" i="87"/>
  <c r="A95" i="87"/>
  <c r="B36" i="85"/>
  <c r="B35" i="86" s="1"/>
  <c r="B35" i="85"/>
  <c r="B34" i="86" s="1"/>
  <c r="L9" i="68"/>
  <c r="L8" i="68"/>
  <c r="E127" i="69"/>
  <c r="E126" i="69"/>
  <c r="A46" i="88" l="1"/>
  <c r="H51" i="58" l="1"/>
  <c r="I110" i="69" l="1"/>
  <c r="I100" i="69"/>
  <c r="E46" i="88" l="1"/>
  <c r="AH85" i="65"/>
  <c r="B54" i="89"/>
  <c r="B40" i="89"/>
  <c r="B33" i="89"/>
  <c r="B49" i="89" s="1"/>
  <c r="B25" i="89"/>
  <c r="B46" i="89" s="1"/>
  <c r="D32" i="22" l="1"/>
  <c r="E32" i="14" l="1"/>
  <c r="E851" i="68" l="1"/>
  <c r="H723" i="68"/>
  <c r="H706" i="68"/>
  <c r="H709" i="68" s="1"/>
  <c r="H729" i="68" s="1"/>
  <c r="H696" i="68"/>
  <c r="H703" i="68" s="1"/>
  <c r="H707" i="68" s="1"/>
  <c r="H710" i="68" s="1"/>
  <c r="H715" i="68" s="1"/>
  <c r="H717" i="68" s="1"/>
  <c r="H719" i="68" s="1"/>
  <c r="H724" i="68" s="1"/>
  <c r="H732" i="68" s="1"/>
  <c r="H698" i="68"/>
  <c r="H697" i="68"/>
  <c r="H700" i="68" s="1"/>
  <c r="H701" i="68" s="1"/>
  <c r="H711" i="68" s="1"/>
  <c r="H713" i="68" s="1"/>
  <c r="H716" i="68" s="1"/>
  <c r="H718" i="68" s="1"/>
  <c r="H720" i="68" s="1"/>
  <c r="H721" i="68" s="1"/>
  <c r="H727" i="68" s="1"/>
  <c r="H689" i="68"/>
  <c r="H693" i="68" s="1"/>
  <c r="H695" i="68" s="1"/>
  <c r="H704" i="68" s="1"/>
  <c r="H728" i="68" s="1"/>
  <c r="H699" i="68" l="1"/>
  <c r="H705" i="68"/>
  <c r="H708" i="68" s="1"/>
  <c r="H712" i="68" s="1"/>
  <c r="H714" i="68" s="1"/>
  <c r="H725" i="68" s="1"/>
  <c r="H726" i="68" s="1"/>
  <c r="H730" i="68" s="1"/>
  <c r="H733" i="68" s="1"/>
  <c r="D605" i="68" l="1"/>
  <c r="G607" i="68"/>
  <c r="G94" i="69" s="1"/>
  <c r="G90" i="3" s="1"/>
  <c r="D661" i="68"/>
  <c r="F534" i="68"/>
  <c r="F542" i="68"/>
  <c r="F562" i="68"/>
  <c r="F571" i="68"/>
  <c r="F526" i="68"/>
  <c r="F532" i="68"/>
  <c r="G479" i="68"/>
  <c r="G462" i="68"/>
  <c r="G465" i="68" s="1"/>
  <c r="G485" i="68" s="1"/>
  <c r="G452" i="68"/>
  <c r="G459" i="68" s="1"/>
  <c r="G463" i="68" s="1"/>
  <c r="G466" i="68" s="1"/>
  <c r="G471" i="68" s="1"/>
  <c r="G473" i="68" s="1"/>
  <c r="G475" i="68" s="1"/>
  <c r="G480" i="68" s="1"/>
  <c r="G488" i="68" s="1"/>
  <c r="G443" i="68"/>
  <c r="G444" i="68" s="1"/>
  <c r="G454" i="68" s="1"/>
  <c r="G455" i="68" s="1"/>
  <c r="G461" i="68" s="1"/>
  <c r="G464" i="68" s="1"/>
  <c r="G468" i="68" s="1"/>
  <c r="G470" i="68" s="1"/>
  <c r="G445" i="68"/>
  <c r="G453" i="68" s="1"/>
  <c r="G456" i="68" s="1"/>
  <c r="G457" i="68" s="1"/>
  <c r="G467" i="68" s="1"/>
  <c r="G469" i="68" s="1"/>
  <c r="I442" i="68"/>
  <c r="I443" i="68"/>
  <c r="I444" i="68"/>
  <c r="I445" i="68"/>
  <c r="I447" i="68"/>
  <c r="I448" i="68"/>
  <c r="I449" i="68"/>
  <c r="I450" i="68"/>
  <c r="I451" i="68"/>
  <c r="I452" i="68"/>
  <c r="I453" i="68"/>
  <c r="I454" i="68"/>
  <c r="I455" i="68"/>
  <c r="I456" i="68"/>
  <c r="I457" i="68"/>
  <c r="I458" i="68"/>
  <c r="I459" i="68"/>
  <c r="I460" i="68"/>
  <c r="I461" i="68"/>
  <c r="I462" i="68"/>
  <c r="I463" i="68"/>
  <c r="I464" i="68"/>
  <c r="I465" i="68"/>
  <c r="I466" i="68"/>
  <c r="G824" i="68" s="1"/>
  <c r="I467" i="68"/>
  <c r="G825" i="68" s="1"/>
  <c r="I468" i="68"/>
  <c r="G826" i="68" s="1"/>
  <c r="I469" i="68"/>
  <c r="G827" i="68" s="1"/>
  <c r="I470" i="68"/>
  <c r="G828" i="68" s="1"/>
  <c r="I471" i="68"/>
  <c r="G829" i="68" s="1"/>
  <c r="I472" i="68"/>
  <c r="G830" i="68" s="1"/>
  <c r="I473" i="68"/>
  <c r="G831" i="68" s="1"/>
  <c r="I474" i="68"/>
  <c r="G832" i="68" s="1"/>
  <c r="I475" i="68"/>
  <c r="G833" i="68" s="1"/>
  <c r="I476" i="68"/>
  <c r="G834" i="68" s="1"/>
  <c r="I477" i="68"/>
  <c r="G835" i="68" s="1"/>
  <c r="I478" i="68"/>
  <c r="G836" i="68" s="1"/>
  <c r="I479" i="68"/>
  <c r="G837" i="68" s="1"/>
  <c r="I480" i="68"/>
  <c r="G838" i="68" s="1"/>
  <c r="I481" i="68"/>
  <c r="G839" i="68" s="1"/>
  <c r="I482" i="68"/>
  <c r="G840" i="68" s="1"/>
  <c r="I483" i="68"/>
  <c r="G841" i="68" s="1"/>
  <c r="I484" i="68"/>
  <c r="G842" i="68" s="1"/>
  <c r="I485" i="68"/>
  <c r="G843" i="68" s="1"/>
  <c r="I486" i="68"/>
  <c r="G844" i="68" s="1"/>
  <c r="I487" i="68"/>
  <c r="G845" i="68" s="1"/>
  <c r="I488" i="68"/>
  <c r="G846" i="68" s="1"/>
  <c r="I489" i="68"/>
  <c r="G847" i="68" s="1"/>
  <c r="F467" i="68"/>
  <c r="H551" i="68" s="1"/>
  <c r="F635" i="68" s="1"/>
  <c r="F711" i="68" s="1"/>
  <c r="F825" i="68" s="1"/>
  <c r="E909" i="68" s="1"/>
  <c r="F468" i="68"/>
  <c r="H552" i="68" s="1"/>
  <c r="F636" i="68" s="1"/>
  <c r="F712" i="68" s="1"/>
  <c r="F826" i="68" s="1"/>
  <c r="E910" i="68" s="1"/>
  <c r="F469" i="68"/>
  <c r="H553" i="68" s="1"/>
  <c r="F637" i="68" s="1"/>
  <c r="F713" i="68" s="1"/>
  <c r="F827" i="68" s="1"/>
  <c r="E911" i="68" s="1"/>
  <c r="F470" i="68"/>
  <c r="H554" i="68" s="1"/>
  <c r="F638" i="68" s="1"/>
  <c r="F714" i="68" s="1"/>
  <c r="F828" i="68" s="1"/>
  <c r="E912" i="68" s="1"/>
  <c r="F471" i="68"/>
  <c r="H555" i="68" s="1"/>
  <c r="F639" i="68" s="1"/>
  <c r="F715" i="68" s="1"/>
  <c r="F829" i="68" s="1"/>
  <c r="E913" i="68" s="1"/>
  <c r="F472" i="68"/>
  <c r="H556" i="68" s="1"/>
  <c r="F640" i="68" s="1"/>
  <c r="F716" i="68" s="1"/>
  <c r="F830" i="68" s="1"/>
  <c r="E914" i="68" s="1"/>
  <c r="F473" i="68"/>
  <c r="H557" i="68" s="1"/>
  <c r="F641" i="68" s="1"/>
  <c r="F717" i="68" s="1"/>
  <c r="F831" i="68" s="1"/>
  <c r="E915" i="68" s="1"/>
  <c r="F474" i="68"/>
  <c r="H558" i="68" s="1"/>
  <c r="F642" i="68" s="1"/>
  <c r="F718" i="68" s="1"/>
  <c r="F832" i="68" s="1"/>
  <c r="E916" i="68" s="1"/>
  <c r="F475" i="68"/>
  <c r="H559" i="68" s="1"/>
  <c r="F643" i="68" s="1"/>
  <c r="F719" i="68" s="1"/>
  <c r="F833" i="68" s="1"/>
  <c r="E917" i="68" s="1"/>
  <c r="F476" i="68"/>
  <c r="H560" i="68" s="1"/>
  <c r="F644" i="68" s="1"/>
  <c r="F720" i="68" s="1"/>
  <c r="F834" i="68" s="1"/>
  <c r="E918" i="68" s="1"/>
  <c r="F477" i="68"/>
  <c r="H561" i="68" s="1"/>
  <c r="F645" i="68" s="1"/>
  <c r="F721" i="68" s="1"/>
  <c r="F835" i="68" s="1"/>
  <c r="E919" i="68" s="1"/>
  <c r="F478" i="68"/>
  <c r="H562" i="68" s="1"/>
  <c r="F646" i="68" s="1"/>
  <c r="F722" i="68" s="1"/>
  <c r="F836" i="68" s="1"/>
  <c r="E920" i="68" s="1"/>
  <c r="F479" i="68"/>
  <c r="H563" i="68" s="1"/>
  <c r="F647" i="68" s="1"/>
  <c r="F723" i="68" s="1"/>
  <c r="F837" i="68" s="1"/>
  <c r="E921" i="68" s="1"/>
  <c r="F480" i="68"/>
  <c r="H564" i="68" s="1"/>
  <c r="F648" i="68" s="1"/>
  <c r="F724" i="68" s="1"/>
  <c r="F838" i="68" s="1"/>
  <c r="E922" i="68" s="1"/>
  <c r="F481" i="68"/>
  <c r="H565" i="68" s="1"/>
  <c r="F649" i="68" s="1"/>
  <c r="F725" i="68" s="1"/>
  <c r="F839" i="68" s="1"/>
  <c r="E923" i="68" s="1"/>
  <c r="F482" i="68"/>
  <c r="H566" i="68" s="1"/>
  <c r="F650" i="68" s="1"/>
  <c r="F726" i="68" s="1"/>
  <c r="F840" i="68" s="1"/>
  <c r="E924" i="68" s="1"/>
  <c r="F483" i="68"/>
  <c r="H567" i="68" s="1"/>
  <c r="F651" i="68" s="1"/>
  <c r="F727" i="68" s="1"/>
  <c r="F841" i="68" s="1"/>
  <c r="E925" i="68" s="1"/>
  <c r="F484" i="68"/>
  <c r="H568" i="68" s="1"/>
  <c r="F652" i="68" s="1"/>
  <c r="F728" i="68" s="1"/>
  <c r="F842" i="68" s="1"/>
  <c r="E926" i="68" s="1"/>
  <c r="F485" i="68"/>
  <c r="H569" i="68" s="1"/>
  <c r="F653" i="68" s="1"/>
  <c r="F729" i="68" s="1"/>
  <c r="F843" i="68" s="1"/>
  <c r="E927" i="68" s="1"/>
  <c r="F486" i="68"/>
  <c r="H570" i="68" s="1"/>
  <c r="F654" i="68" s="1"/>
  <c r="F730" i="68" s="1"/>
  <c r="F844" i="68" s="1"/>
  <c r="E928" i="68" s="1"/>
  <c r="F487" i="68"/>
  <c r="H571" i="68" s="1"/>
  <c r="F655" i="68" s="1"/>
  <c r="F731" i="68" s="1"/>
  <c r="F845" i="68" s="1"/>
  <c r="E929" i="68" s="1"/>
  <c r="F488" i="68"/>
  <c r="H572" i="68" s="1"/>
  <c r="F656" i="68" s="1"/>
  <c r="F732" i="68" s="1"/>
  <c r="F846" i="68" s="1"/>
  <c r="E930" i="68" s="1"/>
  <c r="F489" i="68"/>
  <c r="H573" i="68" s="1"/>
  <c r="F657" i="68" s="1"/>
  <c r="F733" i="68" s="1"/>
  <c r="F847" i="68" s="1"/>
  <c r="E931" i="68" s="1"/>
  <c r="D480" i="68"/>
  <c r="D564" i="68" s="1"/>
  <c r="D648" i="68" s="1"/>
  <c r="D724" i="68" s="1"/>
  <c r="D838" i="68" s="1"/>
  <c r="D922" i="68" s="1"/>
  <c r="D481" i="68"/>
  <c r="D565" i="68" s="1"/>
  <c r="D649" i="68" s="1"/>
  <c r="D725" i="68" s="1"/>
  <c r="D839" i="68" s="1"/>
  <c r="D923" i="68" s="1"/>
  <c r="D482" i="68"/>
  <c r="D566" i="68" s="1"/>
  <c r="D650" i="68" s="1"/>
  <c r="D726" i="68" s="1"/>
  <c r="D840" i="68" s="1"/>
  <c r="D924" i="68" s="1"/>
  <c r="D483" i="68"/>
  <c r="D567" i="68" s="1"/>
  <c r="D651" i="68" s="1"/>
  <c r="D727" i="68" s="1"/>
  <c r="D841" i="68" s="1"/>
  <c r="D925" i="68" s="1"/>
  <c r="D484" i="68"/>
  <c r="D568" i="68" s="1"/>
  <c r="D652" i="68" s="1"/>
  <c r="D728" i="68" s="1"/>
  <c r="D842" i="68" s="1"/>
  <c r="D926" i="68" s="1"/>
  <c r="D485" i="68"/>
  <c r="D569" i="68" s="1"/>
  <c r="D653" i="68" s="1"/>
  <c r="D729" i="68" s="1"/>
  <c r="D843" i="68" s="1"/>
  <c r="D927" i="68" s="1"/>
  <c r="D486" i="68"/>
  <c r="D570" i="68" s="1"/>
  <c r="D654" i="68" s="1"/>
  <c r="D730" i="68" s="1"/>
  <c r="D844" i="68" s="1"/>
  <c r="D928" i="68" s="1"/>
  <c r="D487" i="68"/>
  <c r="D571" i="68" s="1"/>
  <c r="D655" i="68" s="1"/>
  <c r="D731" i="68" s="1"/>
  <c r="D845" i="68" s="1"/>
  <c r="D929" i="68" s="1"/>
  <c r="D488" i="68"/>
  <c r="D572" i="68" s="1"/>
  <c r="D656" i="68" s="1"/>
  <c r="D732" i="68" s="1"/>
  <c r="D846" i="68" s="1"/>
  <c r="D930" i="68" s="1"/>
  <c r="D489" i="68"/>
  <c r="D573" i="68" s="1"/>
  <c r="D657" i="68" s="1"/>
  <c r="D733" i="68" s="1"/>
  <c r="D847" i="68" s="1"/>
  <c r="D931" i="68" s="1"/>
  <c r="D468" i="68"/>
  <c r="D552" i="68" s="1"/>
  <c r="D636" i="68" s="1"/>
  <c r="D712" i="68" s="1"/>
  <c r="D826" i="68" s="1"/>
  <c r="D910" i="68" s="1"/>
  <c r="D469" i="68"/>
  <c r="D553" i="68" s="1"/>
  <c r="D637" i="68" s="1"/>
  <c r="D713" i="68" s="1"/>
  <c r="D827" i="68" s="1"/>
  <c r="D911" i="68" s="1"/>
  <c r="D470" i="68"/>
  <c r="D554" i="68" s="1"/>
  <c r="D638" i="68" s="1"/>
  <c r="D714" i="68" s="1"/>
  <c r="D828" i="68" s="1"/>
  <c r="D912" i="68" s="1"/>
  <c r="D471" i="68"/>
  <c r="D555" i="68" s="1"/>
  <c r="D639" i="68" s="1"/>
  <c r="D715" i="68" s="1"/>
  <c r="D829" i="68" s="1"/>
  <c r="D913" i="68" s="1"/>
  <c r="D472" i="68"/>
  <c r="D556" i="68" s="1"/>
  <c r="D640" i="68" s="1"/>
  <c r="D716" i="68" s="1"/>
  <c r="D830" i="68" s="1"/>
  <c r="D914" i="68" s="1"/>
  <c r="D473" i="68"/>
  <c r="D557" i="68" s="1"/>
  <c r="D641" i="68" s="1"/>
  <c r="D717" i="68" s="1"/>
  <c r="D831" i="68" s="1"/>
  <c r="D915" i="68" s="1"/>
  <c r="D474" i="68"/>
  <c r="D558" i="68" s="1"/>
  <c r="D642" i="68" s="1"/>
  <c r="D718" i="68" s="1"/>
  <c r="D832" i="68" s="1"/>
  <c r="D916" i="68" s="1"/>
  <c r="D475" i="68"/>
  <c r="D559" i="68" s="1"/>
  <c r="D643" i="68" s="1"/>
  <c r="D719" i="68" s="1"/>
  <c r="D833" i="68" s="1"/>
  <c r="D917" i="68" s="1"/>
  <c r="D476" i="68"/>
  <c r="D560" i="68" s="1"/>
  <c r="D644" i="68" s="1"/>
  <c r="D720" i="68" s="1"/>
  <c r="D834" i="68" s="1"/>
  <c r="D918" i="68" s="1"/>
  <c r="D477" i="68"/>
  <c r="D561" i="68" s="1"/>
  <c r="D645" i="68" s="1"/>
  <c r="D721" i="68" s="1"/>
  <c r="D835" i="68" s="1"/>
  <c r="D919" i="68" s="1"/>
  <c r="D478" i="68"/>
  <c r="D562" i="68" s="1"/>
  <c r="D646" i="68" s="1"/>
  <c r="D722" i="68" s="1"/>
  <c r="D836" i="68" s="1"/>
  <c r="D920" i="68" s="1"/>
  <c r="D479" i="68"/>
  <c r="D563" i="68" s="1"/>
  <c r="D647" i="68" s="1"/>
  <c r="D723" i="68" s="1"/>
  <c r="D837" i="68" s="1"/>
  <c r="D921" i="68" s="1"/>
  <c r="G731" i="68" l="1"/>
  <c r="I655" i="68"/>
  <c r="B655" i="68"/>
  <c r="G723" i="68"/>
  <c r="I647" i="68"/>
  <c r="B647" i="68"/>
  <c r="G715" i="68"/>
  <c r="I639" i="68"/>
  <c r="B639" i="68"/>
  <c r="I631" i="68"/>
  <c r="B631" i="68"/>
  <c r="I627" i="68"/>
  <c r="B627" i="68"/>
  <c r="I619" i="68"/>
  <c r="B619" i="68"/>
  <c r="B611" i="68"/>
  <c r="B654" i="68"/>
  <c r="G730" i="68"/>
  <c r="I654" i="68"/>
  <c r="B650" i="68"/>
  <c r="I650" i="68"/>
  <c r="G726" i="68"/>
  <c r="B646" i="68"/>
  <c r="I646" i="68"/>
  <c r="G722" i="68"/>
  <c r="B642" i="68"/>
  <c r="G718" i="68"/>
  <c r="I642" i="68"/>
  <c r="B638" i="68"/>
  <c r="G714" i="68"/>
  <c r="I638" i="68"/>
  <c r="B634" i="68"/>
  <c r="G710" i="68"/>
  <c r="I634" i="68"/>
  <c r="B630" i="68"/>
  <c r="I630" i="68"/>
  <c r="B626" i="68"/>
  <c r="I626" i="68"/>
  <c r="B622" i="68"/>
  <c r="I622" i="68"/>
  <c r="B618" i="68"/>
  <c r="I618" i="68"/>
  <c r="B614" i="68"/>
  <c r="B610" i="68"/>
  <c r="I610" i="68"/>
  <c r="B657" i="68"/>
  <c r="I657" i="68"/>
  <c r="G733" i="68"/>
  <c r="B653" i="68"/>
  <c r="G729" i="68"/>
  <c r="I653" i="68"/>
  <c r="B649" i="68"/>
  <c r="G725" i="68"/>
  <c r="I649" i="68"/>
  <c r="B645" i="68"/>
  <c r="G721" i="68"/>
  <c r="I645" i="68"/>
  <c r="B641" i="68"/>
  <c r="G717" i="68"/>
  <c r="I641" i="68"/>
  <c r="B637" i="68"/>
  <c r="G713" i="68"/>
  <c r="I637" i="68"/>
  <c r="B633" i="68"/>
  <c r="I633" i="68"/>
  <c r="B629" i="68"/>
  <c r="I629" i="68"/>
  <c r="B625" i="68"/>
  <c r="I625" i="68"/>
  <c r="B621" i="68"/>
  <c r="I621" i="68"/>
  <c r="B617" i="68"/>
  <c r="I617" i="68"/>
  <c r="B613" i="68"/>
  <c r="G727" i="68"/>
  <c r="I651" i="68"/>
  <c r="B651" i="68"/>
  <c r="G719" i="68"/>
  <c r="I643" i="68"/>
  <c r="B643" i="68"/>
  <c r="G711" i="68"/>
  <c r="I635" i="68"/>
  <c r="B635" i="68"/>
  <c r="I623" i="68"/>
  <c r="B623" i="68"/>
  <c r="B615" i="68"/>
  <c r="G732" i="68"/>
  <c r="I656" i="68"/>
  <c r="B656" i="68"/>
  <c r="G728" i="68"/>
  <c r="I652" i="68"/>
  <c r="B652" i="68"/>
  <c r="G724" i="68"/>
  <c r="I648" i="68"/>
  <c r="B648" i="68"/>
  <c r="G720" i="68"/>
  <c r="I644" i="68"/>
  <c r="B644" i="68"/>
  <c r="G716" i="68"/>
  <c r="I640" i="68"/>
  <c r="B640" i="68"/>
  <c r="G712" i="68"/>
  <c r="I636" i="68"/>
  <c r="B636" i="68"/>
  <c r="I632" i="68"/>
  <c r="B632" i="68"/>
  <c r="I628" i="68"/>
  <c r="B628" i="68"/>
  <c r="I624" i="68"/>
  <c r="B624" i="68"/>
  <c r="I620" i="68"/>
  <c r="B620" i="68"/>
  <c r="I616" i="68"/>
  <c r="B616" i="68"/>
  <c r="B612" i="68"/>
  <c r="G481" i="68"/>
  <c r="G482" i="68" s="1"/>
  <c r="G486" i="68" s="1"/>
  <c r="G489" i="68" s="1"/>
  <c r="G472" i="68"/>
  <c r="G447" i="68"/>
  <c r="G449" i="68" s="1"/>
  <c r="E119" i="68"/>
  <c r="E120" i="68" s="1"/>
  <c r="E121" i="68" s="1"/>
  <c r="F563" i="68"/>
  <c r="G296" i="68"/>
  <c r="H193" i="68"/>
  <c r="H134" i="68"/>
  <c r="G297" i="68" l="1"/>
  <c r="F528" i="68" s="1"/>
  <c r="F589" i="68"/>
  <c r="F527" i="68"/>
  <c r="F543" i="68"/>
  <c r="F536" i="68"/>
  <c r="F549" i="68"/>
  <c r="F546" i="68"/>
  <c r="G460" i="68"/>
  <c r="G484" i="68" s="1"/>
  <c r="G451" i="68"/>
  <c r="G474" i="68"/>
  <c r="F531" i="68"/>
  <c r="I589" i="68" l="1"/>
  <c r="J589" i="68" s="1"/>
  <c r="G800" i="68"/>
  <c r="H800" i="68" s="1"/>
  <c r="F945" i="68"/>
  <c r="G298" i="68"/>
  <c r="F590" i="68"/>
  <c r="F538" i="68"/>
  <c r="F569" i="68"/>
  <c r="F533" i="68"/>
  <c r="F547" i="68"/>
  <c r="F537" i="68"/>
  <c r="G476" i="68"/>
  <c r="F946" i="68" l="1"/>
  <c r="J946" i="68" s="1"/>
  <c r="G801" i="68"/>
  <c r="H801" i="68" s="1"/>
  <c r="I590" i="68"/>
  <c r="J590" i="68" s="1"/>
  <c r="F591" i="68"/>
  <c r="F529" i="68"/>
  <c r="F539" i="68"/>
  <c r="F535" i="68"/>
  <c r="F540" i="68"/>
  <c r="F550" i="68"/>
  <c r="G477" i="68"/>
  <c r="F541" i="68"/>
  <c r="F947" i="68" l="1"/>
  <c r="J947" i="68" s="1"/>
  <c r="G802" i="68"/>
  <c r="H802" i="68" s="1"/>
  <c r="I591" i="68"/>
  <c r="J591" i="68" s="1"/>
  <c r="F555" i="68"/>
  <c r="F545" i="68"/>
  <c r="F544" i="68"/>
  <c r="G483" i="68"/>
  <c r="F557" i="68"/>
  <c r="F551" i="68"/>
  <c r="F548" i="68" l="1"/>
  <c r="F568" i="68"/>
  <c r="F559" i="68"/>
  <c r="F553" i="68"/>
  <c r="F552" i="68" l="1"/>
  <c r="F564" i="68"/>
  <c r="F556" i="68"/>
  <c r="F554" i="68" l="1"/>
  <c r="F572" i="68"/>
  <c r="F558" i="68"/>
  <c r="F565" i="68" l="1"/>
  <c r="F560" i="68"/>
  <c r="E77" i="68"/>
  <c r="F566" i="68" l="1"/>
  <c r="F561" i="68"/>
  <c r="E78" i="68"/>
  <c r="E79" i="68" s="1"/>
  <c r="E80" i="68" s="1"/>
  <c r="E81" i="68" s="1"/>
  <c r="E82" i="68" s="1"/>
  <c r="E83" i="68" s="1"/>
  <c r="E84" i="68" s="1"/>
  <c r="E85" i="68" s="1"/>
  <c r="E122" i="68"/>
  <c r="E117" i="68" s="1"/>
  <c r="F570" i="68" l="1"/>
  <c r="F567" i="68"/>
  <c r="E109" i="68"/>
  <c r="F573" i="68" l="1"/>
  <c r="M15" i="68"/>
  <c r="E32" i="40" l="1"/>
  <c r="E32" i="38"/>
  <c r="E32" i="32"/>
  <c r="E33" i="32" s="1"/>
  <c r="E32" i="34"/>
  <c r="E32" i="31"/>
  <c r="E33" i="28"/>
  <c r="E33" i="29" s="1"/>
  <c r="E33" i="30" s="1"/>
  <c r="E32" i="29"/>
  <c r="E32" i="30" s="1"/>
  <c r="E32" i="23"/>
  <c r="E32" i="20"/>
  <c r="G40" i="31"/>
  <c r="G12" i="19"/>
  <c r="G13" i="19" s="1"/>
  <c r="E32" i="21" l="1"/>
  <c r="E32" i="22" s="1"/>
  <c r="E32" i="90"/>
  <c r="F32" i="90" s="1"/>
  <c r="A31" i="62"/>
  <c r="A35" i="88" s="1"/>
  <c r="A28" i="62"/>
  <c r="A32" i="88" s="1"/>
  <c r="A23" i="62"/>
  <c r="A23" i="88" s="1"/>
  <c r="A20" i="62"/>
  <c r="A20" i="88" s="1"/>
  <c r="A17" i="62"/>
  <c r="A17" i="88" s="1"/>
  <c r="A14" i="62"/>
  <c r="A14" i="88" s="1"/>
  <c r="H276" i="68"/>
  <c r="H261" i="68"/>
  <c r="H246" i="68"/>
  <c r="J1017" i="68" l="1"/>
  <c r="D1019" i="68"/>
  <c r="J982" i="68"/>
  <c r="D984" i="68"/>
  <c r="D940" i="68"/>
  <c r="J942" i="68"/>
  <c r="D944" i="68"/>
  <c r="J878" i="68"/>
  <c r="D880" i="68"/>
  <c r="J858" i="68"/>
  <c r="D860" i="68"/>
  <c r="J793" i="68"/>
  <c r="D795" i="68"/>
  <c r="J772" i="68"/>
  <c r="D774" i="68"/>
  <c r="J757" i="68"/>
  <c r="D759" i="68"/>
  <c r="J741" i="68"/>
  <c r="D743" i="68"/>
  <c r="J669" i="68"/>
  <c r="D671" i="68"/>
  <c r="J603" i="68"/>
  <c r="J585" i="68"/>
  <c r="D587" i="68"/>
  <c r="J517" i="68"/>
  <c r="D519" i="68"/>
  <c r="J501" i="68"/>
  <c r="D503" i="68"/>
  <c r="J437" i="68"/>
  <c r="D439" i="68"/>
  <c r="J422" i="68"/>
  <c r="D424" i="68"/>
  <c r="J409" i="68"/>
  <c r="D411" i="68"/>
  <c r="J395" i="68"/>
  <c r="D397" i="68"/>
  <c r="J290" i="68"/>
  <c r="D292" i="68"/>
  <c r="J274" i="68"/>
  <c r="D276" i="68"/>
  <c r="J259" i="68"/>
  <c r="J244" i="68"/>
  <c r="J220" i="68"/>
  <c r="D222" i="68"/>
  <c r="J205" i="68"/>
  <c r="D207" i="68"/>
  <c r="J190" i="68"/>
  <c r="D192" i="68"/>
  <c r="J172" i="68"/>
  <c r="D174" i="68"/>
  <c r="J150" i="68"/>
  <c r="D152" i="68"/>
  <c r="J131" i="68"/>
  <c r="D133" i="68"/>
  <c r="J115" i="68"/>
  <c r="D117" i="68"/>
  <c r="J68" i="68"/>
  <c r="D70" i="68"/>
  <c r="J34" i="68"/>
  <c r="D36" i="68"/>
  <c r="J13" i="68"/>
  <c r="D15" i="68"/>
  <c r="I7" i="26"/>
  <c r="I7" i="25"/>
  <c r="I7" i="24"/>
  <c r="I7" i="23"/>
  <c r="I7" i="22"/>
  <c r="I7" i="21"/>
  <c r="I7" i="20"/>
  <c r="I7" i="19"/>
  <c r="I7" i="63"/>
  <c r="I7" i="18"/>
  <c r="I7" i="17"/>
  <c r="I7" i="16"/>
  <c r="I7" i="15"/>
  <c r="I7" i="14"/>
  <c r="C7" i="53"/>
  <c r="C7" i="51"/>
  <c r="C7" i="40"/>
  <c r="C7" i="39"/>
  <c r="C7" i="38"/>
  <c r="C7" i="37"/>
  <c r="C7" i="36"/>
  <c r="C7" i="35"/>
  <c r="C7" i="32"/>
  <c r="C7" i="34"/>
  <c r="C7" i="33"/>
  <c r="C7" i="31"/>
  <c r="C7" i="30"/>
  <c r="C7" i="29"/>
  <c r="C7" i="28"/>
  <c r="C7" i="27"/>
  <c r="C7" i="26"/>
  <c r="C7" i="25"/>
  <c r="C7" i="24"/>
  <c r="C7" i="23"/>
  <c r="C7" i="22"/>
  <c r="C7" i="21"/>
  <c r="C7" i="20"/>
  <c r="C7" i="19"/>
  <c r="C7" i="63"/>
  <c r="C7" i="18"/>
  <c r="C7" i="17"/>
  <c r="C7" i="16"/>
  <c r="C7" i="15"/>
  <c r="C7" i="14"/>
  <c r="I7" i="13"/>
  <c r="C7" i="13"/>
  <c r="I7" i="9"/>
  <c r="C7" i="9"/>
  <c r="B81" i="3"/>
  <c r="D81" i="3"/>
  <c r="F81" i="3"/>
  <c r="E81" i="3"/>
  <c r="F76" i="3"/>
  <c r="E76" i="3"/>
  <c r="F40" i="3"/>
  <c r="F41" i="3"/>
  <c r="F42" i="3"/>
  <c r="F45" i="3"/>
  <c r="F46" i="3"/>
  <c r="F47" i="3"/>
  <c r="F48" i="3"/>
  <c r="F51" i="3"/>
  <c r="F52" i="3"/>
  <c r="F53" i="3"/>
  <c r="F56" i="3"/>
  <c r="F57" i="3"/>
  <c r="F60" i="3"/>
  <c r="F61" i="3"/>
  <c r="F62" i="3"/>
  <c r="F66" i="3"/>
  <c r="F39" i="3"/>
  <c r="E38" i="3"/>
  <c r="E65" i="3"/>
  <c r="E59" i="3"/>
  <c r="E55" i="3"/>
  <c r="E50" i="3"/>
  <c r="E44" i="3"/>
  <c r="E52" i="3"/>
  <c r="E53" i="3"/>
  <c r="E56" i="3"/>
  <c r="E57" i="3"/>
  <c r="E60" i="3"/>
  <c r="E61" i="3"/>
  <c r="E62" i="3"/>
  <c r="E66" i="3"/>
  <c r="E51" i="3"/>
  <c r="E46" i="3"/>
  <c r="E47" i="3"/>
  <c r="E48" i="3"/>
  <c r="E45" i="3"/>
  <c r="E40" i="3"/>
  <c r="E41" i="3"/>
  <c r="E42" i="3"/>
  <c r="E39" i="3"/>
  <c r="F33" i="3"/>
  <c r="E33" i="3"/>
  <c r="E28" i="3"/>
  <c r="F28" i="3"/>
  <c r="F27" i="3"/>
  <c r="E27" i="3"/>
  <c r="F14" i="3"/>
  <c r="F15" i="3"/>
  <c r="F16" i="3"/>
  <c r="F17" i="3"/>
  <c r="F18" i="3"/>
  <c r="F19" i="3"/>
  <c r="F20" i="3"/>
  <c r="F21" i="3"/>
  <c r="F22" i="3"/>
  <c r="F13" i="3"/>
  <c r="E14" i="3"/>
  <c r="E15" i="3"/>
  <c r="E16" i="3"/>
  <c r="E17" i="3"/>
  <c r="E18" i="3"/>
  <c r="E19" i="3"/>
  <c r="E20" i="3"/>
  <c r="E21" i="3"/>
  <c r="E22" i="3"/>
  <c r="E13" i="3"/>
  <c r="AC83" i="65" l="1"/>
  <c r="B2" i="86" l="1"/>
  <c r="B2" i="85"/>
  <c r="I70" i="88"/>
  <c r="Y70" i="88" s="1"/>
  <c r="I69" i="88"/>
  <c r="Y69" i="88" s="1"/>
  <c r="AN53" i="88"/>
  <c r="AM53" i="88"/>
  <c r="AL53" i="88"/>
  <c r="AK53" i="88"/>
  <c r="AJ53" i="88"/>
  <c r="AI53" i="88"/>
  <c r="AH53" i="88"/>
  <c r="AG53" i="88"/>
  <c r="AF53" i="88"/>
  <c r="AE53" i="88"/>
  <c r="AD53" i="88"/>
  <c r="AC53" i="88"/>
  <c r="AB53" i="88"/>
  <c r="AA53" i="88"/>
  <c r="Z53" i="88"/>
  <c r="Y53" i="88"/>
  <c r="X53" i="88"/>
  <c r="W53" i="88"/>
  <c r="V53" i="88"/>
  <c r="U53" i="88"/>
  <c r="T53" i="88"/>
  <c r="S53" i="88"/>
  <c r="R53" i="88"/>
  <c r="Q53" i="88"/>
  <c r="P53" i="88"/>
  <c r="O53" i="88"/>
  <c r="N53" i="88"/>
  <c r="M53" i="88"/>
  <c r="L53" i="88"/>
  <c r="K53" i="88"/>
  <c r="J53" i="88"/>
  <c r="I53" i="88"/>
  <c r="A41" i="88"/>
  <c r="E18" i="88"/>
  <c r="A5" i="88"/>
  <c r="A3" i="88"/>
  <c r="A2" i="88"/>
  <c r="A1" i="88"/>
  <c r="U69" i="88" l="1"/>
  <c r="Q69" i="88"/>
  <c r="AC69" i="88" s="1"/>
  <c r="U70" i="88"/>
  <c r="Q70" i="88"/>
  <c r="AC70" i="88" s="1"/>
  <c r="M69" i="88"/>
  <c r="M70" i="88"/>
  <c r="I77" i="65"/>
  <c r="AL70" i="88" l="1"/>
  <c r="AG70" i="88"/>
  <c r="AL69" i="88"/>
  <c r="AG69" i="88"/>
  <c r="A1" i="83" l="1"/>
  <c r="I94" i="3"/>
  <c r="D98" i="6"/>
  <c r="C98" i="6" s="1"/>
  <c r="D99" i="6"/>
  <c r="C99" i="6" s="1"/>
  <c r="D100" i="6"/>
  <c r="C100" i="6" s="1"/>
  <c r="D101" i="6"/>
  <c r="C101" i="6" s="1"/>
  <c r="D102" i="6"/>
  <c r="C102" i="6" s="1"/>
  <c r="D103" i="6"/>
  <c r="C103" i="6" s="1"/>
  <c r="D104" i="6"/>
  <c r="C104" i="6" s="1"/>
  <c r="D105" i="6"/>
  <c r="C105" i="6" s="1"/>
  <c r="D106" i="6"/>
  <c r="C106" i="6" s="1"/>
  <c r="F11" i="53" s="1"/>
  <c r="D18" i="6"/>
  <c r="C18" i="6" s="1"/>
  <c r="D19" i="6"/>
  <c r="C19" i="6" s="1"/>
  <c r="D20" i="6"/>
  <c r="C20" i="6" s="1"/>
  <c r="D21" i="6"/>
  <c r="C21" i="6" s="1"/>
  <c r="D22" i="6"/>
  <c r="C22" i="6" s="1"/>
  <c r="D23" i="6"/>
  <c r="C23" i="6" s="1"/>
  <c r="D24" i="6"/>
  <c r="C24" i="6" s="1"/>
  <c r="D25" i="6"/>
  <c r="C25" i="6" s="1"/>
  <c r="D26" i="6"/>
  <c r="C26" i="6" s="1"/>
  <c r="F11" i="33" s="1"/>
  <c r="D27" i="6"/>
  <c r="C27" i="6" s="1"/>
  <c r="D28" i="6"/>
  <c r="C28" i="6" s="1"/>
  <c r="D29" i="6"/>
  <c r="C29" i="6" s="1"/>
  <c r="D30" i="6"/>
  <c r="C30" i="6" s="1"/>
  <c r="F11" i="34" s="1"/>
  <c r="D31" i="6"/>
  <c r="C31" i="6" s="1"/>
  <c r="D32" i="6"/>
  <c r="C32" i="6" s="1"/>
  <c r="D33" i="6"/>
  <c r="C33" i="6" s="1"/>
  <c r="D34" i="6"/>
  <c r="C34" i="6" s="1"/>
  <c r="D35" i="6"/>
  <c r="C35" i="6" s="1"/>
  <c r="F15" i="23" s="1"/>
  <c r="D36" i="6"/>
  <c r="C36" i="6" s="1"/>
  <c r="D37" i="6"/>
  <c r="C37" i="6" s="1"/>
  <c r="F11" i="23" s="1"/>
  <c r="D38" i="6"/>
  <c r="C38" i="6" s="1"/>
  <c r="F11" i="32" s="1"/>
  <c r="D39" i="6"/>
  <c r="C39" i="6" s="1"/>
  <c r="D40" i="6"/>
  <c r="C40" i="6" s="1"/>
  <c r="D41" i="6"/>
  <c r="C41" i="6" s="1"/>
  <c r="F12" i="14" s="1"/>
  <c r="D42" i="6"/>
  <c r="C42" i="6" s="1"/>
  <c r="D43" i="6"/>
  <c r="C43" i="6" s="1"/>
  <c r="D44" i="6"/>
  <c r="C44" i="6" s="1"/>
  <c r="D45" i="6"/>
  <c r="C45" i="6" s="1"/>
  <c r="D46" i="6"/>
  <c r="C46" i="6" s="1"/>
  <c r="D47" i="6"/>
  <c r="C47" i="6" s="1"/>
  <c r="D48" i="6"/>
  <c r="C48" i="6" s="1"/>
  <c r="D49" i="6"/>
  <c r="C49" i="6" s="1"/>
  <c r="D50" i="6"/>
  <c r="C50" i="6" s="1"/>
  <c r="F11" i="13" s="1"/>
  <c r="D51" i="6"/>
  <c r="C51" i="6" s="1"/>
  <c r="F13" i="23" s="1"/>
  <c r="D52" i="6"/>
  <c r="C52" i="6" s="1"/>
  <c r="D53" i="6"/>
  <c r="C53" i="6" s="1"/>
  <c r="D54" i="6"/>
  <c r="C54" i="6" s="1"/>
  <c r="D55" i="6"/>
  <c r="C55" i="6" s="1"/>
  <c r="D56" i="6"/>
  <c r="C56" i="6" s="1"/>
  <c r="D57" i="6"/>
  <c r="C57" i="6" s="1"/>
  <c r="D58" i="6"/>
  <c r="C58" i="6" s="1"/>
  <c r="D59" i="6"/>
  <c r="C59" i="6" s="1"/>
  <c r="F11" i="9" s="1"/>
  <c r="D60" i="6"/>
  <c r="C60" i="6" s="1"/>
  <c r="D61" i="6"/>
  <c r="C61" i="6" s="1"/>
  <c r="D62" i="6"/>
  <c r="C62" i="6" s="1"/>
  <c r="F13" i="26" s="1"/>
  <c r="D63" i="6"/>
  <c r="C63" i="6" s="1"/>
  <c r="D64" i="6"/>
  <c r="C64" i="6" s="1"/>
  <c r="D65" i="6"/>
  <c r="C65" i="6" s="1"/>
  <c r="D66" i="6"/>
  <c r="C66" i="6" s="1"/>
  <c r="D67" i="6"/>
  <c r="C67" i="6" s="1"/>
  <c r="F12" i="9" s="1"/>
  <c r="D68" i="6"/>
  <c r="C68" i="6" s="1"/>
  <c r="D69" i="6"/>
  <c r="C69" i="6" s="1"/>
  <c r="D70" i="6"/>
  <c r="C70" i="6" s="1"/>
  <c r="D71" i="6"/>
  <c r="C71" i="6" s="1"/>
  <c r="D72" i="6"/>
  <c r="C72" i="6" s="1"/>
  <c r="D73" i="6"/>
  <c r="C73" i="6" s="1"/>
  <c r="D74" i="6"/>
  <c r="C74" i="6" s="1"/>
  <c r="D75" i="6"/>
  <c r="C75" i="6" s="1"/>
  <c r="D76" i="6"/>
  <c r="C76" i="6" s="1"/>
  <c r="D77" i="6"/>
  <c r="C77" i="6" s="1"/>
  <c r="D78" i="6"/>
  <c r="C78" i="6" s="1"/>
  <c r="F12" i="23" s="1"/>
  <c r="D79" i="6"/>
  <c r="C79" i="6" s="1"/>
  <c r="D80" i="6"/>
  <c r="C80" i="6" s="1"/>
  <c r="F11" i="27" s="1"/>
  <c r="D81" i="6"/>
  <c r="C81" i="6" s="1"/>
  <c r="D82" i="6"/>
  <c r="C82" i="6" s="1"/>
  <c r="D83" i="6"/>
  <c r="C83" i="6" s="1"/>
  <c r="D84" i="6"/>
  <c r="C84" i="6" s="1"/>
  <c r="D85" i="6"/>
  <c r="C85" i="6" s="1"/>
  <c r="F11" i="24" s="1"/>
  <c r="D86" i="6"/>
  <c r="C86" i="6" s="1"/>
  <c r="D87" i="6"/>
  <c r="C87" i="6" s="1"/>
  <c r="D88" i="6"/>
  <c r="C88" i="6" s="1"/>
  <c r="D89" i="6"/>
  <c r="C89" i="6" s="1"/>
  <c r="D90" i="6"/>
  <c r="C90" i="6" s="1"/>
  <c r="D91" i="6"/>
  <c r="C91" i="6" s="1"/>
  <c r="G32" i="35" s="1"/>
  <c r="D92" i="6"/>
  <c r="C92" i="6" s="1"/>
  <c r="D93" i="6"/>
  <c r="C93" i="6" s="1"/>
  <c r="D94" i="6"/>
  <c r="C94" i="6" s="1"/>
  <c r="D95" i="6"/>
  <c r="C95" i="6" s="1"/>
  <c r="D96" i="6"/>
  <c r="C96" i="6" s="1"/>
  <c r="D97" i="6"/>
  <c r="C97" i="6" s="1"/>
  <c r="D10" i="6"/>
  <c r="C10" i="6" s="1"/>
  <c r="D11" i="6"/>
  <c r="C11" i="6" s="1"/>
  <c r="D12" i="6"/>
  <c r="C12" i="6" s="1"/>
  <c r="D13" i="6"/>
  <c r="C13" i="6" s="1"/>
  <c r="D14" i="6"/>
  <c r="C14" i="6" s="1"/>
  <c r="D15" i="6"/>
  <c r="C15" i="6" s="1"/>
  <c r="F11" i="51" s="1"/>
  <c r="D16" i="6"/>
  <c r="C16" i="6" s="1"/>
  <c r="D17" i="6"/>
  <c r="C17" i="6" s="1"/>
  <c r="F11" i="63" s="1"/>
  <c r="D9" i="6"/>
  <c r="C9" i="6" s="1"/>
  <c r="F16" i="23" s="1"/>
  <c r="D183" i="7"/>
  <c r="C183" i="7" s="1"/>
  <c r="D184" i="7"/>
  <c r="C184" i="7" s="1"/>
  <c r="D185" i="7"/>
  <c r="C185" i="7" s="1"/>
  <c r="D186" i="7"/>
  <c r="C186" i="7" s="1"/>
  <c r="D187" i="7"/>
  <c r="C187" i="7" s="1"/>
  <c r="D182" i="7"/>
  <c r="C182" i="7" s="1"/>
  <c r="F23" i="39" s="1"/>
  <c r="D153" i="7"/>
  <c r="C153" i="7" s="1"/>
  <c r="D154" i="7"/>
  <c r="C154" i="7" s="1"/>
  <c r="D155" i="7"/>
  <c r="C155" i="7" s="1"/>
  <c r="D156" i="7"/>
  <c r="C156" i="7" s="1"/>
  <c r="D157" i="7"/>
  <c r="C157" i="7" s="1"/>
  <c r="D158" i="7"/>
  <c r="C158" i="7" s="1"/>
  <c r="D159" i="7"/>
  <c r="C159" i="7" s="1"/>
  <c r="D160" i="7"/>
  <c r="C160" i="7" s="1"/>
  <c r="D161" i="7"/>
  <c r="C161" i="7" s="1"/>
  <c r="D162" i="7"/>
  <c r="C162" i="7" s="1"/>
  <c r="D163" i="7"/>
  <c r="C163" i="7" s="1"/>
  <c r="D164" i="7"/>
  <c r="C164" i="7" s="1"/>
  <c r="D165" i="7"/>
  <c r="C165" i="7" s="1"/>
  <c r="D166" i="7"/>
  <c r="C166" i="7" s="1"/>
  <c r="D167" i="7"/>
  <c r="C167" i="7" s="1"/>
  <c r="D168" i="7"/>
  <c r="C168" i="7" s="1"/>
  <c r="D169" i="7"/>
  <c r="C169" i="7" s="1"/>
  <c r="D170" i="7"/>
  <c r="C170" i="7" s="1"/>
  <c r="D171" i="7"/>
  <c r="C171" i="7" s="1"/>
  <c r="D172" i="7"/>
  <c r="C172" i="7" s="1"/>
  <c r="D173" i="7"/>
  <c r="C173" i="7" s="1"/>
  <c r="F22" i="39" s="1"/>
  <c r="D174" i="7"/>
  <c r="C174" i="7" s="1"/>
  <c r="D175" i="7"/>
  <c r="C175" i="7" s="1"/>
  <c r="D176" i="7"/>
  <c r="C176" i="7" s="1"/>
  <c r="F24" i="32" s="1"/>
  <c r="D177" i="7"/>
  <c r="C177" i="7" s="1"/>
  <c r="D178" i="7"/>
  <c r="C178" i="7" s="1"/>
  <c r="D179" i="7"/>
  <c r="C179" i="7" s="1"/>
  <c r="D180" i="7"/>
  <c r="C180" i="7" s="1"/>
  <c r="D146" i="7"/>
  <c r="C146" i="7" s="1"/>
  <c r="D147" i="7"/>
  <c r="C147" i="7" s="1"/>
  <c r="D148" i="7"/>
  <c r="C148" i="7" s="1"/>
  <c r="F23" i="23" s="1"/>
  <c r="D149" i="7"/>
  <c r="C149" i="7" s="1"/>
  <c r="D150" i="7"/>
  <c r="C150" i="7" s="1"/>
  <c r="D145" i="7"/>
  <c r="C145" i="7" s="1"/>
  <c r="F24" i="39" s="1"/>
  <c r="D138" i="7"/>
  <c r="C138" i="7" s="1"/>
  <c r="D139" i="7"/>
  <c r="C139" i="7" s="1"/>
  <c r="D140" i="7"/>
  <c r="C140" i="7" s="1"/>
  <c r="D141" i="7"/>
  <c r="C141" i="7" s="1"/>
  <c r="D142" i="7"/>
  <c r="C142" i="7" s="1"/>
  <c r="D143" i="7"/>
  <c r="C143" i="7" s="1"/>
  <c r="D137" i="7"/>
  <c r="C137" i="7" s="1"/>
  <c r="D98" i="7"/>
  <c r="C98" i="7" s="1"/>
  <c r="F23" i="40" s="1"/>
  <c r="D99" i="7"/>
  <c r="C99" i="7" s="1"/>
  <c r="D100" i="7"/>
  <c r="C100" i="7" s="1"/>
  <c r="D101" i="7"/>
  <c r="C101" i="7" s="1"/>
  <c r="D102" i="7"/>
  <c r="C102" i="7" s="1"/>
  <c r="D103" i="7"/>
  <c r="C103" i="7" s="1"/>
  <c r="D104" i="7"/>
  <c r="C104" i="7" s="1"/>
  <c r="D105" i="7"/>
  <c r="C105" i="7" s="1"/>
  <c r="D106" i="7"/>
  <c r="C106" i="7" s="1"/>
  <c r="D107" i="7"/>
  <c r="C107" i="7" s="1"/>
  <c r="D108" i="7"/>
  <c r="C108" i="7" s="1"/>
  <c r="D109" i="7"/>
  <c r="C109" i="7" s="1"/>
  <c r="D110" i="7"/>
  <c r="C110" i="7" s="1"/>
  <c r="D111" i="7"/>
  <c r="C111" i="7" s="1"/>
  <c r="F22" i="38" s="1"/>
  <c r="D112" i="7"/>
  <c r="C112" i="7" s="1"/>
  <c r="D113" i="7"/>
  <c r="C113" i="7" s="1"/>
  <c r="D114" i="7"/>
  <c r="C114" i="7" s="1"/>
  <c r="D115" i="7"/>
  <c r="C115" i="7" s="1"/>
  <c r="D116" i="7"/>
  <c r="C116" i="7" s="1"/>
  <c r="D117" i="7"/>
  <c r="C117" i="7" s="1"/>
  <c r="D118" i="7"/>
  <c r="C118" i="7" s="1"/>
  <c r="D119" i="7"/>
  <c r="C119" i="7" s="1"/>
  <c r="D120" i="7"/>
  <c r="C120" i="7" s="1"/>
  <c r="D121" i="7"/>
  <c r="C121" i="7" s="1"/>
  <c r="F22" i="32" s="1"/>
  <c r="D122" i="7"/>
  <c r="C122" i="7" s="1"/>
  <c r="D123" i="7"/>
  <c r="C123" i="7" s="1"/>
  <c r="D124" i="7"/>
  <c r="C124" i="7" s="1"/>
  <c r="D125" i="7"/>
  <c r="C125" i="7" s="1"/>
  <c r="D126" i="7"/>
  <c r="C126" i="7" s="1"/>
  <c r="D127" i="7"/>
  <c r="C127" i="7" s="1"/>
  <c r="D128" i="7"/>
  <c r="C128" i="7" s="1"/>
  <c r="D129" i="7"/>
  <c r="C129" i="7" s="1"/>
  <c r="D130" i="7"/>
  <c r="C130" i="7" s="1"/>
  <c r="F23" i="31" s="1"/>
  <c r="D131" i="7"/>
  <c r="C131" i="7" s="1"/>
  <c r="F24" i="40" s="1"/>
  <c r="D132" i="7"/>
  <c r="C132" i="7" s="1"/>
  <c r="D133" i="7"/>
  <c r="C133" i="7" s="1"/>
  <c r="D134" i="7"/>
  <c r="C134" i="7" s="1"/>
  <c r="D135" i="7"/>
  <c r="C135" i="7" s="1"/>
  <c r="D97" i="7"/>
  <c r="C97" i="7" s="1"/>
  <c r="D84" i="7"/>
  <c r="C84" i="7" s="1"/>
  <c r="D85" i="7"/>
  <c r="C85" i="7" s="1"/>
  <c r="D86" i="7"/>
  <c r="C86" i="7" s="1"/>
  <c r="D87" i="7"/>
  <c r="C87" i="7" s="1"/>
  <c r="D88" i="7"/>
  <c r="C88" i="7" s="1"/>
  <c r="D90" i="7"/>
  <c r="C90" i="7" s="1"/>
  <c r="D91" i="7"/>
  <c r="C91" i="7" s="1"/>
  <c r="D92" i="7"/>
  <c r="C92" i="7" s="1"/>
  <c r="D93" i="7"/>
  <c r="C93" i="7" s="1"/>
  <c r="D94" i="7"/>
  <c r="C94" i="7" s="1"/>
  <c r="D95" i="7"/>
  <c r="C95" i="7" s="1"/>
  <c r="D83" i="7"/>
  <c r="C83" i="7" s="1"/>
  <c r="F25" i="40" s="1"/>
  <c r="D43" i="7"/>
  <c r="C43" i="7" s="1"/>
  <c r="D44" i="7"/>
  <c r="C44" i="7" s="1"/>
  <c r="D45" i="7"/>
  <c r="C45" i="7" s="1"/>
  <c r="D46" i="7"/>
  <c r="C46" i="7" s="1"/>
  <c r="D47" i="7"/>
  <c r="C47" i="7" s="1"/>
  <c r="D48" i="7"/>
  <c r="C48" i="7" s="1"/>
  <c r="D49" i="7"/>
  <c r="C49" i="7" s="1"/>
  <c r="D50" i="7"/>
  <c r="C50" i="7" s="1"/>
  <c r="D51" i="7"/>
  <c r="C51" i="7" s="1"/>
  <c r="D52" i="7"/>
  <c r="C52" i="7" s="1"/>
  <c r="D53" i="7"/>
  <c r="C53" i="7" s="1"/>
  <c r="D54" i="7"/>
  <c r="C54" i="7" s="1"/>
  <c r="D55" i="7"/>
  <c r="C55" i="7" s="1"/>
  <c r="D56" i="7"/>
  <c r="C56" i="7" s="1"/>
  <c r="F24" i="23" s="1"/>
  <c r="D57" i="7"/>
  <c r="C57" i="7" s="1"/>
  <c r="D58" i="7"/>
  <c r="C58" i="7" s="1"/>
  <c r="D59" i="7"/>
  <c r="C59" i="7" s="1"/>
  <c r="D60" i="7"/>
  <c r="C60" i="7" s="1"/>
  <c r="D61" i="7"/>
  <c r="C61" i="7" s="1"/>
  <c r="D62" i="7"/>
  <c r="C62" i="7" s="1"/>
  <c r="F22" i="23" s="1"/>
  <c r="D63" i="7"/>
  <c r="C63" i="7" s="1"/>
  <c r="D64" i="7"/>
  <c r="C64" i="7" s="1"/>
  <c r="D65" i="7"/>
  <c r="C65" i="7" s="1"/>
  <c r="D66" i="7"/>
  <c r="C66" i="7" s="1"/>
  <c r="D67" i="7"/>
  <c r="C67" i="7" s="1"/>
  <c r="D68" i="7"/>
  <c r="C68" i="7" s="1"/>
  <c r="D69" i="7"/>
  <c r="C69" i="7" s="1"/>
  <c r="D70" i="7"/>
  <c r="C70" i="7" s="1"/>
  <c r="D71" i="7"/>
  <c r="C71" i="7" s="1"/>
  <c r="D72" i="7"/>
  <c r="C72" i="7" s="1"/>
  <c r="D73" i="7"/>
  <c r="C73" i="7" s="1"/>
  <c r="D74" i="7"/>
  <c r="C74" i="7" s="1"/>
  <c r="D75" i="7"/>
  <c r="C75" i="7" s="1"/>
  <c r="D76" i="7"/>
  <c r="C76" i="7" s="1"/>
  <c r="D77" i="7"/>
  <c r="C77" i="7" s="1"/>
  <c r="D78" i="7"/>
  <c r="C78" i="7" s="1"/>
  <c r="D79" i="7"/>
  <c r="C79" i="7" s="1"/>
  <c r="F22" i="13" s="1"/>
  <c r="D80" i="7"/>
  <c r="C80" i="7" s="1"/>
  <c r="D81" i="7"/>
  <c r="C81" i="7" s="1"/>
  <c r="D42" i="7"/>
  <c r="C42" i="7" s="1"/>
  <c r="D9" i="7"/>
  <c r="C9" i="7" s="1"/>
  <c r="D10" i="7"/>
  <c r="C10" i="7" s="1"/>
  <c r="D11" i="7"/>
  <c r="C11" i="7" s="1"/>
  <c r="F22" i="33" s="1"/>
  <c r="D12" i="7"/>
  <c r="C12" i="7" s="1"/>
  <c r="D13" i="7"/>
  <c r="C13" i="7" s="1"/>
  <c r="D14" i="7"/>
  <c r="C14" i="7" s="1"/>
  <c r="D15" i="7"/>
  <c r="C15" i="7" s="1"/>
  <c r="D16" i="7"/>
  <c r="C16" i="7" s="1"/>
  <c r="D17" i="7"/>
  <c r="C17" i="7" s="1"/>
  <c r="D18" i="7"/>
  <c r="C18" i="7" s="1"/>
  <c r="D19" i="7"/>
  <c r="C19" i="7" s="1"/>
  <c r="D20" i="7"/>
  <c r="C20" i="7" s="1"/>
  <c r="D21" i="7"/>
  <c r="C21" i="7" s="1"/>
  <c r="D22" i="7"/>
  <c r="C22" i="7" s="1"/>
  <c r="D23" i="7"/>
  <c r="C23" i="7" s="1"/>
  <c r="D24" i="7"/>
  <c r="C24" i="7" s="1"/>
  <c r="D25" i="7"/>
  <c r="C25" i="7" s="1"/>
  <c r="D26" i="7"/>
  <c r="C26" i="7" s="1"/>
  <c r="D27" i="7"/>
  <c r="C27" i="7" s="1"/>
  <c r="F22" i="40" s="1"/>
  <c r="D28" i="7"/>
  <c r="C28" i="7" s="1"/>
  <c r="F23" i="33" s="1"/>
  <c r="D29" i="7"/>
  <c r="C29" i="7" s="1"/>
  <c r="D30" i="7"/>
  <c r="C30" i="7" s="1"/>
  <c r="D31" i="7"/>
  <c r="C31" i="7" s="1"/>
  <c r="D32" i="7"/>
  <c r="C32" i="7" s="1"/>
  <c r="F27" i="23" s="1"/>
  <c r="D33" i="7"/>
  <c r="C33" i="7" s="1"/>
  <c r="D34" i="7"/>
  <c r="C34" i="7" s="1"/>
  <c r="D35" i="7"/>
  <c r="C35" i="7" s="1"/>
  <c r="D36" i="7"/>
  <c r="C36" i="7" s="1"/>
  <c r="D37" i="7"/>
  <c r="C37" i="7" s="1"/>
  <c r="D38" i="7"/>
  <c r="C38" i="7" s="1"/>
  <c r="D39" i="7"/>
  <c r="C39" i="7" s="1"/>
  <c r="F25" i="23" s="1"/>
  <c r="D40" i="7"/>
  <c r="C40" i="7" s="1"/>
  <c r="F26" i="23" s="1"/>
  <c r="D8" i="7"/>
  <c r="C8" i="7" s="1"/>
  <c r="J187" i="7"/>
  <c r="H187" i="7"/>
  <c r="G187" i="7"/>
  <c r="J186" i="7"/>
  <c r="H186" i="7"/>
  <c r="G186" i="7"/>
  <c r="J185" i="7"/>
  <c r="H185" i="7"/>
  <c r="G185" i="7"/>
  <c r="J184" i="7"/>
  <c r="H184" i="7"/>
  <c r="G184" i="7"/>
  <c r="J183" i="7"/>
  <c r="H183" i="7"/>
  <c r="G183" i="7"/>
  <c r="J182" i="7"/>
  <c r="H182" i="7"/>
  <c r="G182" i="7"/>
  <c r="J180" i="7"/>
  <c r="H180" i="7"/>
  <c r="G180" i="7"/>
  <c r="J179" i="7"/>
  <c r="H179" i="7"/>
  <c r="G179" i="7"/>
  <c r="J178" i="7"/>
  <c r="H178" i="7"/>
  <c r="G178" i="7"/>
  <c r="J177" i="7"/>
  <c r="H177" i="7"/>
  <c r="G177" i="7"/>
  <c r="J176" i="7"/>
  <c r="H176" i="7"/>
  <c r="G176" i="7"/>
  <c r="J175" i="7"/>
  <c r="H175" i="7"/>
  <c r="G175" i="7"/>
  <c r="J174" i="7"/>
  <c r="H174" i="7"/>
  <c r="G174" i="7"/>
  <c r="J173" i="7"/>
  <c r="H173" i="7"/>
  <c r="G173" i="7"/>
  <c r="J172" i="7"/>
  <c r="H172" i="7"/>
  <c r="G172" i="7"/>
  <c r="J171" i="7"/>
  <c r="H171" i="7"/>
  <c r="G171" i="7"/>
  <c r="J170" i="7"/>
  <c r="H170" i="7"/>
  <c r="G170" i="7"/>
  <c r="J169" i="7"/>
  <c r="H169" i="7"/>
  <c r="G169" i="7"/>
  <c r="J168" i="7"/>
  <c r="H168" i="7"/>
  <c r="G168" i="7"/>
  <c r="J167" i="7"/>
  <c r="H167" i="7"/>
  <c r="G167" i="7"/>
  <c r="J166" i="7"/>
  <c r="H166" i="7"/>
  <c r="G166" i="7"/>
  <c r="J165" i="7"/>
  <c r="H165" i="7"/>
  <c r="G165" i="7"/>
  <c r="J164" i="7"/>
  <c r="H164" i="7"/>
  <c r="G164" i="7"/>
  <c r="J163" i="7"/>
  <c r="H163" i="7"/>
  <c r="G163" i="7"/>
  <c r="J162" i="7"/>
  <c r="H162" i="7"/>
  <c r="G162" i="7"/>
  <c r="J161" i="7"/>
  <c r="H161" i="7"/>
  <c r="G161" i="7"/>
  <c r="J160" i="7"/>
  <c r="H160" i="7"/>
  <c r="G160" i="7"/>
  <c r="J159" i="7"/>
  <c r="H159" i="7"/>
  <c r="G159" i="7"/>
  <c r="J158" i="7"/>
  <c r="H158" i="7"/>
  <c r="G158" i="7"/>
  <c r="J157" i="7"/>
  <c r="H157" i="7"/>
  <c r="G157" i="7"/>
  <c r="J156" i="7"/>
  <c r="H156" i="7"/>
  <c r="G156" i="7"/>
  <c r="J155" i="7"/>
  <c r="H155" i="7"/>
  <c r="G155" i="7"/>
  <c r="J154" i="7"/>
  <c r="H154" i="7"/>
  <c r="G154" i="7"/>
  <c r="J153" i="7"/>
  <c r="H153" i="7"/>
  <c r="G153" i="7"/>
  <c r="J152" i="7"/>
  <c r="E152" i="7"/>
  <c r="G152" i="7" s="1"/>
  <c r="J150" i="7"/>
  <c r="H150" i="7"/>
  <c r="G150" i="7"/>
  <c r="J149" i="7"/>
  <c r="H149" i="7"/>
  <c r="G149" i="7"/>
  <c r="J148" i="7"/>
  <c r="H148" i="7"/>
  <c r="G148" i="7"/>
  <c r="J147" i="7"/>
  <c r="H147" i="7"/>
  <c r="G147" i="7"/>
  <c r="J146" i="7"/>
  <c r="H146" i="7"/>
  <c r="G146" i="7"/>
  <c r="J145" i="7"/>
  <c r="H145" i="7"/>
  <c r="G145" i="7"/>
  <c r="J143" i="7"/>
  <c r="H143" i="7"/>
  <c r="G143" i="7"/>
  <c r="J142" i="7"/>
  <c r="H142" i="7"/>
  <c r="G142" i="7"/>
  <c r="J141" i="7"/>
  <c r="H141" i="7"/>
  <c r="G141" i="7"/>
  <c r="J140" i="7"/>
  <c r="H140" i="7"/>
  <c r="G140" i="7"/>
  <c r="J139" i="7"/>
  <c r="H139" i="7"/>
  <c r="G139" i="7"/>
  <c r="J138" i="7"/>
  <c r="H138" i="7"/>
  <c r="G138" i="7"/>
  <c r="J137" i="7"/>
  <c r="H137" i="7"/>
  <c r="G137" i="7"/>
  <c r="J135" i="7"/>
  <c r="H135" i="7"/>
  <c r="G135" i="7"/>
  <c r="J134" i="7"/>
  <c r="H134" i="7"/>
  <c r="G134" i="7"/>
  <c r="J133" i="7"/>
  <c r="H133" i="7"/>
  <c r="G133" i="7"/>
  <c r="J132" i="7"/>
  <c r="H132" i="7"/>
  <c r="G132" i="7"/>
  <c r="J131" i="7"/>
  <c r="H131" i="7"/>
  <c r="G131" i="7"/>
  <c r="J130" i="7"/>
  <c r="H130" i="7"/>
  <c r="G130" i="7"/>
  <c r="J129" i="7"/>
  <c r="H129" i="7"/>
  <c r="G129" i="7"/>
  <c r="J128" i="7"/>
  <c r="H128" i="7"/>
  <c r="G128" i="7"/>
  <c r="J127" i="7"/>
  <c r="H127" i="7"/>
  <c r="G127" i="7"/>
  <c r="J126" i="7"/>
  <c r="H126" i="7"/>
  <c r="G126" i="7"/>
  <c r="J125" i="7"/>
  <c r="H125" i="7"/>
  <c r="G125" i="7"/>
  <c r="J124" i="7"/>
  <c r="H124" i="7"/>
  <c r="G124" i="7"/>
  <c r="J123" i="7"/>
  <c r="H123" i="7"/>
  <c r="G123" i="7"/>
  <c r="J122" i="7"/>
  <c r="H122" i="7"/>
  <c r="G122" i="7"/>
  <c r="J121" i="7"/>
  <c r="H121" i="7"/>
  <c r="G121" i="7"/>
  <c r="J120" i="7"/>
  <c r="H120" i="7"/>
  <c r="G120" i="7"/>
  <c r="J119" i="7"/>
  <c r="H119" i="7"/>
  <c r="G119" i="7"/>
  <c r="J118" i="7"/>
  <c r="H118" i="7"/>
  <c r="G118" i="7"/>
  <c r="J117" i="7"/>
  <c r="H117" i="7"/>
  <c r="G117" i="7"/>
  <c r="J116" i="7"/>
  <c r="H116" i="7"/>
  <c r="G116" i="7"/>
  <c r="J115" i="7"/>
  <c r="H115" i="7"/>
  <c r="G115" i="7"/>
  <c r="J114" i="7"/>
  <c r="H114" i="7"/>
  <c r="G114" i="7"/>
  <c r="J113" i="7"/>
  <c r="H113" i="7"/>
  <c r="G113" i="7"/>
  <c r="J112" i="7"/>
  <c r="H112" i="7"/>
  <c r="G112" i="7"/>
  <c r="J111" i="7"/>
  <c r="H111" i="7"/>
  <c r="G111" i="7"/>
  <c r="J110" i="7"/>
  <c r="H110" i="7"/>
  <c r="G110" i="7"/>
  <c r="J109" i="7"/>
  <c r="H109" i="7"/>
  <c r="G109" i="7"/>
  <c r="J108" i="7"/>
  <c r="H108" i="7"/>
  <c r="G108" i="7"/>
  <c r="J107" i="7"/>
  <c r="H107" i="7"/>
  <c r="G107" i="7"/>
  <c r="J106" i="7"/>
  <c r="H106" i="7"/>
  <c r="G106" i="7"/>
  <c r="J105" i="7"/>
  <c r="H105" i="7"/>
  <c r="G105" i="7"/>
  <c r="J104" i="7"/>
  <c r="H104" i="7"/>
  <c r="G104" i="7"/>
  <c r="J103" i="7"/>
  <c r="H103" i="7"/>
  <c r="G103" i="7"/>
  <c r="J102" i="7"/>
  <c r="H102" i="7"/>
  <c r="G102" i="7"/>
  <c r="J101" i="7"/>
  <c r="H101" i="7"/>
  <c r="G101" i="7"/>
  <c r="J100" i="7"/>
  <c r="H100" i="7"/>
  <c r="G100" i="7"/>
  <c r="J99" i="7"/>
  <c r="H99" i="7"/>
  <c r="G99" i="7"/>
  <c r="J98" i="7"/>
  <c r="H98" i="7"/>
  <c r="G98" i="7"/>
  <c r="J97" i="7"/>
  <c r="H97" i="7"/>
  <c r="G97" i="7"/>
  <c r="J95" i="7"/>
  <c r="H95" i="7"/>
  <c r="G95" i="7"/>
  <c r="J94" i="7"/>
  <c r="H94" i="7"/>
  <c r="G94" i="7"/>
  <c r="J93" i="7"/>
  <c r="H93" i="7"/>
  <c r="G93" i="7"/>
  <c r="J92" i="7"/>
  <c r="H92" i="7"/>
  <c r="G92" i="7"/>
  <c r="J91" i="7"/>
  <c r="H91" i="7"/>
  <c r="G91" i="7"/>
  <c r="J90" i="7"/>
  <c r="H90" i="7"/>
  <c r="G90" i="7"/>
  <c r="E89" i="7"/>
  <c r="J89" i="7" s="1"/>
  <c r="J88" i="7"/>
  <c r="H88" i="7"/>
  <c r="G88" i="7"/>
  <c r="J87" i="7"/>
  <c r="H87" i="7"/>
  <c r="G87" i="7"/>
  <c r="J86" i="7"/>
  <c r="H86" i="7"/>
  <c r="G86" i="7"/>
  <c r="J85" i="7"/>
  <c r="H85" i="7"/>
  <c r="G85" i="7"/>
  <c r="J84" i="7"/>
  <c r="H84" i="7"/>
  <c r="G84" i="7"/>
  <c r="J83" i="7"/>
  <c r="H83" i="7"/>
  <c r="G83" i="7"/>
  <c r="J82" i="7"/>
  <c r="H82" i="7"/>
  <c r="G82" i="7"/>
  <c r="J81" i="7"/>
  <c r="H81" i="7"/>
  <c r="G81" i="7"/>
  <c r="J80" i="7"/>
  <c r="H80" i="7"/>
  <c r="G80" i="7"/>
  <c r="J79" i="7"/>
  <c r="H79" i="7"/>
  <c r="G79" i="7"/>
  <c r="J78" i="7"/>
  <c r="H78" i="7"/>
  <c r="G78" i="7"/>
  <c r="J77" i="7"/>
  <c r="H77" i="7"/>
  <c r="G77" i="7"/>
  <c r="J76" i="7"/>
  <c r="H76" i="7"/>
  <c r="G76" i="7"/>
  <c r="J75" i="7"/>
  <c r="H75" i="7"/>
  <c r="G75" i="7"/>
  <c r="J74" i="7"/>
  <c r="H74" i="7"/>
  <c r="G74" i="7"/>
  <c r="J73" i="7"/>
  <c r="H73" i="7"/>
  <c r="G73" i="7"/>
  <c r="J72" i="7"/>
  <c r="H72" i="7"/>
  <c r="G72" i="7"/>
  <c r="J71" i="7"/>
  <c r="H71" i="7"/>
  <c r="G71" i="7"/>
  <c r="J70" i="7"/>
  <c r="H70" i="7"/>
  <c r="G70" i="7"/>
  <c r="J69" i="7"/>
  <c r="H69" i="7"/>
  <c r="G69" i="7"/>
  <c r="J68" i="7"/>
  <c r="H68" i="7"/>
  <c r="G68" i="7"/>
  <c r="J67" i="7"/>
  <c r="H67" i="7"/>
  <c r="G67" i="7"/>
  <c r="J66" i="7"/>
  <c r="H66" i="7"/>
  <c r="G66" i="7"/>
  <c r="J65" i="7"/>
  <c r="H65" i="7"/>
  <c r="G65" i="7"/>
  <c r="J64" i="7"/>
  <c r="H64" i="7"/>
  <c r="G64" i="7"/>
  <c r="J63" i="7"/>
  <c r="H63" i="7"/>
  <c r="G63" i="7"/>
  <c r="O62" i="7"/>
  <c r="O63" i="7" s="1"/>
  <c r="N62" i="7"/>
  <c r="N63" i="7" s="1"/>
  <c r="M62" i="7"/>
  <c r="M63" i="7" s="1"/>
  <c r="L62" i="7"/>
  <c r="J62" i="7"/>
  <c r="H62" i="7"/>
  <c r="G62" i="7"/>
  <c r="L61" i="7"/>
  <c r="L63" i="7" s="1"/>
  <c r="J61" i="7"/>
  <c r="H61" i="7"/>
  <c r="G61" i="7"/>
  <c r="J60" i="7"/>
  <c r="H60" i="7"/>
  <c r="G60" i="7"/>
  <c r="J59" i="7"/>
  <c r="H59" i="7"/>
  <c r="G59" i="7"/>
  <c r="J58" i="7"/>
  <c r="H58" i="7"/>
  <c r="G58" i="7"/>
  <c r="J57" i="7"/>
  <c r="H57" i="7"/>
  <c r="G57" i="7"/>
  <c r="J56" i="7"/>
  <c r="H56" i="7"/>
  <c r="G56" i="7"/>
  <c r="J55" i="7"/>
  <c r="H55" i="7"/>
  <c r="G55" i="7"/>
  <c r="J54" i="7"/>
  <c r="H54" i="7"/>
  <c r="G54" i="7"/>
  <c r="L53" i="7"/>
  <c r="I53" i="7"/>
  <c r="J53" i="7" s="1"/>
  <c r="H53" i="7"/>
  <c r="G53" i="7"/>
  <c r="J52" i="7"/>
  <c r="H52" i="7"/>
  <c r="G52" i="7"/>
  <c r="J51" i="7"/>
  <c r="H51" i="7"/>
  <c r="G51" i="7"/>
  <c r="J50" i="7"/>
  <c r="H50" i="7"/>
  <c r="G50" i="7"/>
  <c r="J49" i="7"/>
  <c r="H49" i="7"/>
  <c r="G49" i="7"/>
  <c r="J48" i="7"/>
  <c r="H48" i="7"/>
  <c r="G48" i="7"/>
  <c r="J47" i="7"/>
  <c r="H47" i="7"/>
  <c r="G47" i="7"/>
  <c r="J46" i="7"/>
  <c r="H46" i="7"/>
  <c r="G46" i="7"/>
  <c r="J45" i="7"/>
  <c r="H45" i="7"/>
  <c r="G45" i="7"/>
  <c r="J44" i="7"/>
  <c r="H44" i="7"/>
  <c r="G44" i="7"/>
  <c r="J43" i="7"/>
  <c r="H43" i="7"/>
  <c r="G43" i="7"/>
  <c r="J42" i="7"/>
  <c r="H42" i="7"/>
  <c r="G42" i="7"/>
  <c r="I40" i="7"/>
  <c r="J40" i="7" s="1"/>
  <c r="H40" i="7"/>
  <c r="G40" i="7"/>
  <c r="J39" i="7"/>
  <c r="H39" i="7"/>
  <c r="G39" i="7"/>
  <c r="J38" i="7"/>
  <c r="H38" i="7"/>
  <c r="G38" i="7"/>
  <c r="J37" i="7"/>
  <c r="H37" i="7"/>
  <c r="G37" i="7"/>
  <c r="J36" i="7"/>
  <c r="H36" i="7"/>
  <c r="G36" i="7"/>
  <c r="J35" i="7"/>
  <c r="H35" i="7"/>
  <c r="G35" i="7"/>
  <c r="J34" i="7"/>
  <c r="H34" i="7"/>
  <c r="G34" i="7"/>
  <c r="J33" i="7"/>
  <c r="H33" i="7"/>
  <c r="G33" i="7"/>
  <c r="J32" i="7"/>
  <c r="H32" i="7"/>
  <c r="G32" i="7"/>
  <c r="J31" i="7"/>
  <c r="H31" i="7"/>
  <c r="G31" i="7"/>
  <c r="J30" i="7"/>
  <c r="H30" i="7"/>
  <c r="G30" i="7"/>
  <c r="J29" i="7"/>
  <c r="H29" i="7"/>
  <c r="G29" i="7"/>
  <c r="J28" i="7"/>
  <c r="H28" i="7"/>
  <c r="G28" i="7"/>
  <c r="J27" i="7"/>
  <c r="H27" i="7"/>
  <c r="G27" i="7"/>
  <c r="J26" i="7"/>
  <c r="H26" i="7"/>
  <c r="G26" i="7"/>
  <c r="J25" i="7"/>
  <c r="H25" i="7"/>
  <c r="G25" i="7"/>
  <c r="J24" i="7"/>
  <c r="H24" i="7"/>
  <c r="G24" i="7"/>
  <c r="J23" i="7"/>
  <c r="H23" i="7"/>
  <c r="G23" i="7"/>
  <c r="J22" i="7"/>
  <c r="H22" i="7"/>
  <c r="G22" i="7"/>
  <c r="J21" i="7"/>
  <c r="H21" i="7"/>
  <c r="G21" i="7"/>
  <c r="J20" i="7"/>
  <c r="H20" i="7"/>
  <c r="G20" i="7"/>
  <c r="J19" i="7"/>
  <c r="H19" i="7"/>
  <c r="G19" i="7"/>
  <c r="J18" i="7"/>
  <c r="H18" i="7"/>
  <c r="G18" i="7"/>
  <c r="J17" i="7"/>
  <c r="H17" i="7"/>
  <c r="G17" i="7"/>
  <c r="J16" i="7"/>
  <c r="H16" i="7"/>
  <c r="G16" i="7"/>
  <c r="J15" i="7"/>
  <c r="H15" i="7"/>
  <c r="G15" i="7"/>
  <c r="J14" i="7"/>
  <c r="H14" i="7"/>
  <c r="G14" i="7"/>
  <c r="J13" i="7"/>
  <c r="H13" i="7"/>
  <c r="G13" i="7"/>
  <c r="J12" i="7"/>
  <c r="H12" i="7"/>
  <c r="G12" i="7"/>
  <c r="I11" i="7"/>
  <c r="J11" i="7" s="1"/>
  <c r="H11" i="7"/>
  <c r="G11" i="7"/>
  <c r="J10" i="7"/>
  <c r="H10" i="7"/>
  <c r="G10" i="7"/>
  <c r="J9" i="7"/>
  <c r="H9" i="7"/>
  <c r="G9" i="7"/>
  <c r="J8" i="7"/>
  <c r="H8" i="7"/>
  <c r="G8" i="7"/>
  <c r="C26" i="8"/>
  <c r="J22" i="8"/>
  <c r="M22" i="8" s="1"/>
  <c r="O22" i="8" s="1"/>
  <c r="D43" i="8" s="1"/>
  <c r="J21" i="8"/>
  <c r="M21" i="8" s="1"/>
  <c r="O21" i="8" s="1"/>
  <c r="D42" i="8" s="1"/>
  <c r="J20" i="8"/>
  <c r="M20" i="8" s="1"/>
  <c r="O20" i="8" s="1"/>
  <c r="D41" i="8" s="1"/>
  <c r="J19" i="8"/>
  <c r="M19" i="8" s="1"/>
  <c r="O19" i="8" s="1"/>
  <c r="D40" i="8" s="1"/>
  <c r="J18" i="8"/>
  <c r="M18" i="8" s="1"/>
  <c r="O18" i="8" s="1"/>
  <c r="D38" i="8" s="1"/>
  <c r="J17" i="8"/>
  <c r="M17" i="8" s="1"/>
  <c r="O17" i="8" s="1"/>
  <c r="J16" i="8"/>
  <c r="M16" i="8" s="1"/>
  <c r="O16" i="8" s="1"/>
  <c r="D33" i="8" s="1"/>
  <c r="J15" i="8"/>
  <c r="M15" i="8" s="1"/>
  <c r="O15" i="8" s="1"/>
  <c r="D32" i="8" s="1"/>
  <c r="J14" i="8"/>
  <c r="M14" i="8" s="1"/>
  <c r="O14" i="8" s="1"/>
  <c r="D31" i="8" s="1"/>
  <c r="J13" i="8"/>
  <c r="M13" i="8" s="1"/>
  <c r="O13" i="8" s="1"/>
  <c r="D30" i="8" s="1"/>
  <c r="J12" i="8"/>
  <c r="M12" i="8" s="1"/>
  <c r="O12" i="8" s="1"/>
  <c r="D29" i="8" s="1"/>
  <c r="F23" i="32" l="1"/>
  <c r="F22" i="34"/>
  <c r="F22" i="63"/>
  <c r="F23" i="19"/>
  <c r="F25" i="35"/>
  <c r="F24" i="36"/>
  <c r="G32" i="30"/>
  <c r="G32" i="29"/>
  <c r="G32" i="28"/>
  <c r="F11" i="18"/>
  <c r="F13" i="14"/>
  <c r="F23" i="34"/>
  <c r="F22" i="20"/>
  <c r="F23" i="30"/>
  <c r="F23" i="29"/>
  <c r="F22" i="19"/>
  <c r="F23" i="28"/>
  <c r="F25" i="39"/>
  <c r="F22" i="37"/>
  <c r="G32" i="32"/>
  <c r="G32" i="23"/>
  <c r="F11" i="30"/>
  <c r="F11" i="29"/>
  <c r="F11" i="28"/>
  <c r="F12" i="27"/>
  <c r="F24" i="35"/>
  <c r="F22" i="22"/>
  <c r="G32" i="90"/>
  <c r="H32" i="90" s="1"/>
  <c r="I36" i="90" s="1"/>
  <c r="N73" i="69" s="1"/>
  <c r="O73" i="69" s="1"/>
  <c r="O75" i="69" s="1"/>
  <c r="G32" i="34"/>
  <c r="G33" i="32"/>
  <c r="G32" i="63"/>
  <c r="G32" i="21"/>
  <c r="G32" i="19"/>
  <c r="H32" i="19" s="1"/>
  <c r="G32" i="22"/>
  <c r="F22" i="30"/>
  <c r="F22" i="29"/>
  <c r="F22" i="28"/>
  <c r="F23" i="36"/>
  <c r="F23" i="35"/>
  <c r="F22" i="90"/>
  <c r="H22" i="90" s="1"/>
  <c r="I29" i="90" s="1"/>
  <c r="L73" i="69" s="1"/>
  <c r="M73" i="69" s="1"/>
  <c r="M75" i="69" s="1"/>
  <c r="F23" i="20"/>
  <c r="F22" i="21"/>
  <c r="F23" i="17"/>
  <c r="F22" i="26"/>
  <c r="F22" i="25"/>
  <c r="F24" i="17"/>
  <c r="F23" i="26"/>
  <c r="F23" i="25"/>
  <c r="G32" i="9"/>
  <c r="G32" i="20"/>
  <c r="G32" i="15"/>
  <c r="F13" i="90"/>
  <c r="H13" i="90" s="1"/>
  <c r="F13" i="21"/>
  <c r="F11" i="20"/>
  <c r="F11" i="19"/>
  <c r="F13" i="22"/>
  <c r="F11" i="39"/>
  <c r="F13" i="17"/>
  <c r="F24" i="30"/>
  <c r="F24" i="29"/>
  <c r="F24" i="28"/>
  <c r="F22" i="17"/>
  <c r="F25" i="25"/>
  <c r="F25" i="26"/>
  <c r="F24" i="26"/>
  <c r="F24" i="25"/>
  <c r="F25" i="17"/>
  <c r="G32" i="31"/>
  <c r="G32" i="40"/>
  <c r="F11" i="15"/>
  <c r="F12" i="26"/>
  <c r="F12" i="25"/>
  <c r="F11" i="17"/>
  <c r="F11" i="16"/>
  <c r="F11" i="14"/>
  <c r="F12" i="17"/>
  <c r="F11" i="25"/>
  <c r="F11" i="26"/>
  <c r="F12" i="24"/>
  <c r="G32" i="27"/>
  <c r="G32" i="24"/>
  <c r="G32" i="26"/>
  <c r="G32" i="25"/>
  <c r="F12" i="90"/>
  <c r="H12" i="90" s="1"/>
  <c r="F12" i="22"/>
  <c r="F12" i="20"/>
  <c r="F12" i="21"/>
  <c r="F13" i="63"/>
  <c r="F13" i="19"/>
  <c r="F11" i="90"/>
  <c r="H11" i="90" s="1"/>
  <c r="F11" i="22"/>
  <c r="F13" i="20"/>
  <c r="F12" i="63"/>
  <c r="F11" i="21"/>
  <c r="F12" i="19"/>
  <c r="F25" i="30"/>
  <c r="F25" i="29"/>
  <c r="F25" i="28"/>
  <c r="G32" i="38"/>
  <c r="G33" i="30"/>
  <c r="G33" i="29"/>
  <c r="F12" i="29"/>
  <c r="F12" i="28"/>
  <c r="F14" i="23"/>
  <c r="C27" i="8"/>
  <c r="Q31" i="8"/>
  <c r="C25" i="8"/>
  <c r="Q32" i="8"/>
  <c r="C24" i="8"/>
  <c r="C23" i="8"/>
  <c r="C20" i="8"/>
  <c r="C22" i="8"/>
  <c r="D40" i="29" s="1"/>
  <c r="C21" i="8"/>
  <c r="D39" i="90" s="1"/>
  <c r="F39" i="90" s="1"/>
  <c r="H39" i="90" s="1"/>
  <c r="I45" i="90" s="1"/>
  <c r="P73" i="69" s="1"/>
  <c r="Q73" i="69" s="1"/>
  <c r="Q75" i="69" s="1"/>
  <c r="C19" i="8"/>
  <c r="E40" i="8"/>
  <c r="F40" i="8" s="1"/>
  <c r="E33" i="8"/>
  <c r="F33" i="8" s="1"/>
  <c r="E29" i="8"/>
  <c r="F29" i="8" s="1"/>
  <c r="E32" i="8"/>
  <c r="F32" i="8" s="1"/>
  <c r="E43" i="8"/>
  <c r="F43" i="8" s="1"/>
  <c r="E41" i="8"/>
  <c r="F41" i="8" s="1"/>
  <c r="E31" i="8"/>
  <c r="F31" i="8" s="1"/>
  <c r="E38" i="8"/>
  <c r="F38" i="8" s="1"/>
  <c r="E30" i="8"/>
  <c r="F30" i="8" s="1"/>
  <c r="E46" i="8"/>
  <c r="F46" i="8" s="1"/>
  <c r="C46" i="8" s="1"/>
  <c r="E36" i="8"/>
  <c r="F36" i="8" s="1"/>
  <c r="C36" i="8" s="1"/>
  <c r="D152" i="7"/>
  <c r="C152" i="7" s="1"/>
  <c r="E44" i="8"/>
  <c r="F44" i="8" s="1"/>
  <c r="C44" i="8" s="1"/>
  <c r="E42" i="8"/>
  <c r="F42" i="8" s="1"/>
  <c r="D89" i="7"/>
  <c r="C89" i="7" s="1"/>
  <c r="H152" i="7"/>
  <c r="P63" i="7"/>
  <c r="G89" i="7"/>
  <c r="H89" i="7"/>
  <c r="D34" i="8"/>
  <c r="E34" i="8" s="1"/>
  <c r="F34" i="8" s="1"/>
  <c r="C34" i="8" s="1"/>
  <c r="D35" i="8"/>
  <c r="E35" i="8" s="1"/>
  <c r="F35" i="8" s="1"/>
  <c r="C35" i="8" s="1"/>
  <c r="D37" i="8"/>
  <c r="E37" i="8" s="1"/>
  <c r="F37" i="8" s="1"/>
  <c r="C37" i="8" s="1"/>
  <c r="I19" i="90" l="1"/>
  <c r="C38" i="8"/>
  <c r="P18" i="8"/>
  <c r="C32" i="8"/>
  <c r="P15" i="8"/>
  <c r="C31" i="8"/>
  <c r="P14" i="8"/>
  <c r="C29" i="8"/>
  <c r="P12" i="8"/>
  <c r="C42" i="8"/>
  <c r="P21" i="8"/>
  <c r="C41" i="8"/>
  <c r="P20" i="8"/>
  <c r="C33" i="8"/>
  <c r="P16" i="8"/>
  <c r="C30" i="8"/>
  <c r="P13" i="8"/>
  <c r="C43" i="8"/>
  <c r="P22" i="8"/>
  <c r="C40" i="8"/>
  <c r="P19" i="8"/>
  <c r="H851" i="68"/>
  <c r="J851" i="68" s="1"/>
  <c r="D682" i="68"/>
  <c r="D850" i="68" s="1"/>
  <c r="J73" i="69" l="1"/>
  <c r="I47" i="90"/>
  <c r="J682" i="68"/>
  <c r="H51" i="90" l="1"/>
  <c r="H50" i="90"/>
  <c r="H52" i="90"/>
  <c r="R73" i="69"/>
  <c r="S73" i="69" s="1"/>
  <c r="S75" i="69" s="1"/>
  <c r="K73" i="69"/>
  <c r="K75" i="69" s="1"/>
  <c r="J494" i="68"/>
  <c r="I53" i="90" l="1"/>
  <c r="I55" i="90" s="1"/>
  <c r="H73" i="69" s="1"/>
  <c r="H402" i="68"/>
  <c r="H71" i="3" l="1"/>
  <c r="I71" i="3" s="1"/>
  <c r="I73" i="3" s="1"/>
  <c r="I73" i="69"/>
  <c r="I75" i="69" s="1"/>
  <c r="H416" i="68"/>
  <c r="H429" i="68" s="1"/>
  <c r="E935" i="68" l="1"/>
  <c r="D935" i="68"/>
  <c r="F525" i="68"/>
  <c r="G526" i="68"/>
  <c r="G527" i="68" s="1"/>
  <c r="G528" i="68" s="1"/>
  <c r="G529" i="68" s="1"/>
  <c r="G531" i="68" s="1"/>
  <c r="G532" i="68" s="1"/>
  <c r="G533" i="68" s="1"/>
  <c r="G534" i="68" s="1"/>
  <c r="G535" i="68" s="1"/>
  <c r="G536" i="68" s="1"/>
  <c r="G537" i="68" s="1"/>
  <c r="G538" i="68" s="1"/>
  <c r="G539" i="68" s="1"/>
  <c r="J511" i="68"/>
  <c r="G806" i="68"/>
  <c r="G809" i="68"/>
  <c r="G810" i="68"/>
  <c r="G813" i="68"/>
  <c r="G814" i="68"/>
  <c r="G817" i="68"/>
  <c r="G818" i="68"/>
  <c r="G821" i="68"/>
  <c r="G822" i="68"/>
  <c r="I441" i="68"/>
  <c r="F442" i="68"/>
  <c r="F443" i="68"/>
  <c r="F444" i="68"/>
  <c r="F445" i="68"/>
  <c r="F447" i="68"/>
  <c r="F448" i="68"/>
  <c r="F449" i="68"/>
  <c r="F450" i="68"/>
  <c r="F451" i="68"/>
  <c r="F452" i="68"/>
  <c r="F453" i="68"/>
  <c r="F454" i="68"/>
  <c r="F455" i="68"/>
  <c r="F456" i="68"/>
  <c r="F457" i="68"/>
  <c r="F458" i="68"/>
  <c r="F459" i="68"/>
  <c r="F460" i="68"/>
  <c r="F461" i="68"/>
  <c r="F462" i="68"/>
  <c r="F463" i="68"/>
  <c r="F464" i="68"/>
  <c r="F465" i="68"/>
  <c r="F466" i="68"/>
  <c r="D463" i="68"/>
  <c r="D547" i="68" s="1"/>
  <c r="D464" i="68"/>
  <c r="D548" i="68" s="1"/>
  <c r="D465" i="68"/>
  <c r="D549" i="68" s="1"/>
  <c r="D466" i="68"/>
  <c r="D550" i="68" s="1"/>
  <c r="D467" i="68"/>
  <c r="D459" i="68"/>
  <c r="D543" i="68" s="1"/>
  <c r="D460" i="68"/>
  <c r="D544" i="68" s="1"/>
  <c r="D461" i="68"/>
  <c r="D545" i="68" s="1"/>
  <c r="D462" i="68"/>
  <c r="D546" i="68" s="1"/>
  <c r="D442" i="68"/>
  <c r="D526" i="68" s="1"/>
  <c r="D443" i="68"/>
  <c r="D527" i="68" s="1"/>
  <c r="D444" i="68"/>
  <c r="D528" i="68" s="1"/>
  <c r="D445" i="68"/>
  <c r="D529" i="68" s="1"/>
  <c r="D447" i="68"/>
  <c r="D531" i="68" s="1"/>
  <c r="D448" i="68"/>
  <c r="D532" i="68" s="1"/>
  <c r="D449" i="68"/>
  <c r="D533" i="68" s="1"/>
  <c r="D450" i="68"/>
  <c r="D534" i="68" s="1"/>
  <c r="D451" i="68"/>
  <c r="D535" i="68" s="1"/>
  <c r="D452" i="68"/>
  <c r="D536" i="68" s="1"/>
  <c r="D453" i="68"/>
  <c r="D537" i="68" s="1"/>
  <c r="D454" i="68"/>
  <c r="D538" i="68" s="1"/>
  <c r="D455" i="68"/>
  <c r="D539" i="68" s="1"/>
  <c r="D456" i="68"/>
  <c r="D540" i="68" s="1"/>
  <c r="D457" i="68"/>
  <c r="D541" i="68" s="1"/>
  <c r="D458" i="68"/>
  <c r="D542" i="68" s="1"/>
  <c r="E441" i="68"/>
  <c r="F348" i="68"/>
  <c r="E351" i="68"/>
  <c r="E295" i="68"/>
  <c r="G798" i="68" l="1"/>
  <c r="B609" i="68"/>
  <c r="I609" i="68"/>
  <c r="D622" i="68"/>
  <c r="D698" i="68" s="1"/>
  <c r="D812" i="68" s="1"/>
  <c r="D896" i="68" s="1"/>
  <c r="D618" i="68"/>
  <c r="D694" i="68" s="1"/>
  <c r="D808" i="68" s="1"/>
  <c r="D892" i="68" s="1"/>
  <c r="D690" i="68"/>
  <c r="D804" i="68" s="1"/>
  <c r="D888" i="68" s="1"/>
  <c r="D627" i="68"/>
  <c r="D703" i="68" s="1"/>
  <c r="D817" i="68" s="1"/>
  <c r="D901" i="68" s="1"/>
  <c r="D632" i="68"/>
  <c r="D708" i="68" s="1"/>
  <c r="D822" i="68" s="1"/>
  <c r="D906" i="68" s="1"/>
  <c r="D625" i="68"/>
  <c r="D701" i="68" s="1"/>
  <c r="D815" i="68" s="1"/>
  <c r="D899" i="68" s="1"/>
  <c r="D689" i="68"/>
  <c r="D803" i="68" s="1"/>
  <c r="D887" i="68" s="1"/>
  <c r="D631" i="68"/>
  <c r="D707" i="68" s="1"/>
  <c r="D821" i="68" s="1"/>
  <c r="D905" i="68" s="1"/>
  <c r="D620" i="68"/>
  <c r="D696" i="68" s="1"/>
  <c r="D810" i="68" s="1"/>
  <c r="D894" i="68" s="1"/>
  <c r="D886" i="68"/>
  <c r="D634" i="68"/>
  <c r="D710" i="68" s="1"/>
  <c r="D824" i="68" s="1"/>
  <c r="D908" i="68" s="1"/>
  <c r="D626" i="68"/>
  <c r="D702" i="68" s="1"/>
  <c r="D816" i="68" s="1"/>
  <c r="D900" i="68" s="1"/>
  <c r="D610" i="68"/>
  <c r="D686" i="68" s="1"/>
  <c r="D799" i="68" s="1"/>
  <c r="D883" i="68" s="1"/>
  <c r="D621" i="68"/>
  <c r="D697" i="68" s="1"/>
  <c r="D811" i="68" s="1"/>
  <c r="D895" i="68" s="1"/>
  <c r="D617" i="68"/>
  <c r="D693" i="68" s="1"/>
  <c r="D807" i="68" s="1"/>
  <c r="D891" i="68" s="1"/>
  <c r="D630" i="68"/>
  <c r="D706" i="68" s="1"/>
  <c r="D820" i="68" s="1"/>
  <c r="D904" i="68" s="1"/>
  <c r="D624" i="68"/>
  <c r="D700" i="68" s="1"/>
  <c r="D814" i="68" s="1"/>
  <c r="D898" i="68" s="1"/>
  <c r="D616" i="68"/>
  <c r="D692" i="68" s="1"/>
  <c r="D806" i="68" s="1"/>
  <c r="D890" i="68" s="1"/>
  <c r="D629" i="68"/>
  <c r="D705" i="68" s="1"/>
  <c r="D819" i="68" s="1"/>
  <c r="D903" i="68" s="1"/>
  <c r="D623" i="68"/>
  <c r="D699" i="68" s="1"/>
  <c r="D813" i="68" s="1"/>
  <c r="D897" i="68" s="1"/>
  <c r="D619" i="68"/>
  <c r="D695" i="68" s="1"/>
  <c r="D809" i="68" s="1"/>
  <c r="D893" i="68" s="1"/>
  <c r="D884" i="68"/>
  <c r="D628" i="68"/>
  <c r="D704" i="68" s="1"/>
  <c r="D818" i="68" s="1"/>
  <c r="D902" i="68" s="1"/>
  <c r="D633" i="68"/>
  <c r="D709" i="68" s="1"/>
  <c r="D823" i="68" s="1"/>
  <c r="D907" i="68" s="1"/>
  <c r="H549" i="68"/>
  <c r="F633" i="68" s="1"/>
  <c r="F709" i="68" s="1"/>
  <c r="H541" i="68"/>
  <c r="F625" i="68" s="1"/>
  <c r="F701" i="68" s="1"/>
  <c r="H533" i="68"/>
  <c r="F617" i="68" s="1"/>
  <c r="F693" i="68" s="1"/>
  <c r="H548" i="68"/>
  <c r="F632" i="68" s="1"/>
  <c r="F708" i="68" s="1"/>
  <c r="H544" i="68"/>
  <c r="F628" i="68" s="1"/>
  <c r="F704" i="68" s="1"/>
  <c r="H540" i="68"/>
  <c r="F624" i="68" s="1"/>
  <c r="F700" i="68" s="1"/>
  <c r="H536" i="68"/>
  <c r="F620" i="68" s="1"/>
  <c r="F696" i="68" s="1"/>
  <c r="H532" i="68"/>
  <c r="F616" i="68" s="1"/>
  <c r="F692" i="68" s="1"/>
  <c r="H528" i="68"/>
  <c r="G540" i="68"/>
  <c r="G541" i="68" s="1"/>
  <c r="G542" i="68" s="1"/>
  <c r="G543" i="68" s="1"/>
  <c r="G544" i="68" s="1"/>
  <c r="G545" i="68" s="1"/>
  <c r="G546" i="68" s="1"/>
  <c r="G547" i="68" s="1"/>
  <c r="G548" i="68" s="1"/>
  <c r="G549" i="68" s="1"/>
  <c r="G550" i="68" s="1"/>
  <c r="G551" i="68" s="1"/>
  <c r="G552" i="68" s="1"/>
  <c r="G553" i="68" s="1"/>
  <c r="G554" i="68" s="1"/>
  <c r="G555" i="68" s="1"/>
  <c r="G556" i="68" s="1"/>
  <c r="G557" i="68" s="1"/>
  <c r="G558" i="68" s="1"/>
  <c r="G559" i="68" s="1"/>
  <c r="G560" i="68" s="1"/>
  <c r="G561" i="68" s="1"/>
  <c r="G562" i="68" s="1"/>
  <c r="G563" i="68" s="1"/>
  <c r="G564" i="68" s="1"/>
  <c r="G565" i="68" s="1"/>
  <c r="G566" i="68" s="1"/>
  <c r="G567" i="68" s="1"/>
  <c r="G568" i="68" s="1"/>
  <c r="G569" i="68" s="1"/>
  <c r="G570" i="68" s="1"/>
  <c r="G571" i="68" s="1"/>
  <c r="G572" i="68" s="1"/>
  <c r="G573" i="68" s="1"/>
  <c r="H547" i="68"/>
  <c r="F631" i="68" s="1"/>
  <c r="F707" i="68" s="1"/>
  <c r="H543" i="68"/>
  <c r="F627" i="68" s="1"/>
  <c r="F703" i="68" s="1"/>
  <c r="H539" i="68"/>
  <c r="F623" i="68" s="1"/>
  <c r="F699" i="68" s="1"/>
  <c r="H535" i="68"/>
  <c r="F619" i="68" s="1"/>
  <c r="F695" i="68" s="1"/>
  <c r="H531" i="68"/>
  <c r="H527" i="68"/>
  <c r="H545" i="68"/>
  <c r="F629" i="68" s="1"/>
  <c r="F705" i="68" s="1"/>
  <c r="H537" i="68"/>
  <c r="F621" i="68" s="1"/>
  <c r="F697" i="68" s="1"/>
  <c r="H529" i="68"/>
  <c r="F689" i="68" s="1"/>
  <c r="H550" i="68"/>
  <c r="H546" i="68"/>
  <c r="F630" i="68" s="1"/>
  <c r="F706" i="68" s="1"/>
  <c r="H542" i="68"/>
  <c r="F626" i="68" s="1"/>
  <c r="F702" i="68" s="1"/>
  <c r="H538" i="68"/>
  <c r="F622" i="68" s="1"/>
  <c r="F698" i="68" s="1"/>
  <c r="H534" i="68"/>
  <c r="F618" i="68" s="1"/>
  <c r="F694" i="68" s="1"/>
  <c r="F690" i="68"/>
  <c r="H526" i="68"/>
  <c r="F610" i="68" s="1"/>
  <c r="F686" i="68" s="1"/>
  <c r="D551" i="68"/>
  <c r="E442" i="68"/>
  <c r="H442" i="68" s="1"/>
  <c r="I295" i="68"/>
  <c r="G702" i="68"/>
  <c r="G812" i="68"/>
  <c r="G698" i="68"/>
  <c r="G808" i="68"/>
  <c r="G706" i="68"/>
  <c r="G816" i="68"/>
  <c r="G799" i="68"/>
  <c r="G686" i="68"/>
  <c r="G694" i="68"/>
  <c r="G820" i="68"/>
  <c r="G709" i="68"/>
  <c r="G705" i="68"/>
  <c r="G701" i="68"/>
  <c r="G697" i="68"/>
  <c r="G693" i="68"/>
  <c r="G823" i="68"/>
  <c r="G819" i="68"/>
  <c r="G815" i="68"/>
  <c r="G811" i="68"/>
  <c r="G807" i="68"/>
  <c r="G685" i="68"/>
  <c r="G708" i="68"/>
  <c r="G704" i="68"/>
  <c r="G700" i="68"/>
  <c r="G696" i="68"/>
  <c r="G692" i="68"/>
  <c r="G707" i="68"/>
  <c r="G703" i="68"/>
  <c r="G699" i="68"/>
  <c r="G695" i="68"/>
  <c r="E352" i="68"/>
  <c r="E296" i="68"/>
  <c r="E297" i="68" s="1"/>
  <c r="E298" i="68" l="1"/>
  <c r="I298" i="68" s="1"/>
  <c r="I297" i="68"/>
  <c r="F808" i="68"/>
  <c r="E892" i="68" s="1"/>
  <c r="E884" i="68"/>
  <c r="F817" i="68"/>
  <c r="E901" i="68" s="1"/>
  <c r="F806" i="68"/>
  <c r="E890" i="68" s="1"/>
  <c r="F822" i="68"/>
  <c r="E906" i="68" s="1"/>
  <c r="F812" i="68"/>
  <c r="E896" i="68" s="1"/>
  <c r="F803" i="68"/>
  <c r="E887" i="68" s="1"/>
  <c r="F821" i="68"/>
  <c r="E905" i="68" s="1"/>
  <c r="F810" i="68"/>
  <c r="E894" i="68" s="1"/>
  <c r="F807" i="68"/>
  <c r="E891" i="68" s="1"/>
  <c r="F799" i="68"/>
  <c r="E883" i="68" s="1"/>
  <c r="F816" i="68"/>
  <c r="E900" i="68" s="1"/>
  <c r="F811" i="68"/>
  <c r="E895" i="68" s="1"/>
  <c r="F809" i="68"/>
  <c r="E893" i="68" s="1"/>
  <c r="F814" i="68"/>
  <c r="E898" i="68" s="1"/>
  <c r="F815" i="68"/>
  <c r="E899" i="68" s="1"/>
  <c r="F804" i="68"/>
  <c r="E888" i="68" s="1"/>
  <c r="F820" i="68"/>
  <c r="E904" i="68" s="1"/>
  <c r="F819" i="68"/>
  <c r="E903" i="68" s="1"/>
  <c r="F813" i="68"/>
  <c r="E897" i="68" s="1"/>
  <c r="E886" i="68"/>
  <c r="F818" i="68"/>
  <c r="E902" i="68" s="1"/>
  <c r="F823" i="68"/>
  <c r="E907" i="68" s="1"/>
  <c r="F634" i="68"/>
  <c r="F710" i="68" s="1"/>
  <c r="D635" i="68"/>
  <c r="D711" i="68" s="1"/>
  <c r="E353" i="68"/>
  <c r="E354" i="68" s="1"/>
  <c r="E355" i="68" s="1"/>
  <c r="E356" i="68" s="1"/>
  <c r="E357" i="68" s="1"/>
  <c r="H443" i="68"/>
  <c r="I296" i="68"/>
  <c r="D825" i="68" l="1"/>
  <c r="D909" i="68" s="1"/>
  <c r="F824" i="68"/>
  <c r="E908" i="68" s="1"/>
  <c r="E348" i="68"/>
  <c r="I505" i="68" s="1"/>
  <c r="E522" i="68" s="1"/>
  <c r="E523" i="68" s="1"/>
  <c r="J523" i="68" s="1"/>
  <c r="H444" i="68"/>
  <c r="J522" i="68" l="1"/>
  <c r="E607" i="68"/>
  <c r="J607" i="68" s="1"/>
  <c r="E673" i="68" l="1"/>
  <c r="E745" i="68" s="1"/>
  <c r="F935" i="68" s="1"/>
  <c r="G935" i="68" s="1"/>
  <c r="J935" i="68" s="1"/>
  <c r="H445" i="68"/>
  <c r="I299" i="68"/>
  <c r="E447" i="68" l="1"/>
  <c r="H447" i="68" s="1"/>
  <c r="I300" i="68"/>
  <c r="E531" i="68" l="1"/>
  <c r="E448" i="68"/>
  <c r="E532" i="68" s="1"/>
  <c r="E616" i="68" s="1"/>
  <c r="H616" i="68" s="1"/>
  <c r="I301" i="68"/>
  <c r="J531" i="68" l="1"/>
  <c r="H448" i="68"/>
  <c r="E449" i="68"/>
  <c r="H449" i="68" s="1"/>
  <c r="I302" i="68"/>
  <c r="J532" i="68"/>
  <c r="E533" i="68" l="1"/>
  <c r="E617" i="68" s="1"/>
  <c r="H617" i="68" s="1"/>
  <c r="E450" i="68"/>
  <c r="H450" i="68" s="1"/>
  <c r="I303" i="68"/>
  <c r="E692" i="68"/>
  <c r="J533" i="68" l="1"/>
  <c r="E534" i="68"/>
  <c r="E618" i="68" s="1"/>
  <c r="H618" i="68" s="1"/>
  <c r="E451" i="68"/>
  <c r="E535" i="68" s="1"/>
  <c r="E619" i="68" s="1"/>
  <c r="H619" i="68" s="1"/>
  <c r="I304" i="68"/>
  <c r="I692" i="68"/>
  <c r="E806" i="68"/>
  <c r="H806" i="68" s="1"/>
  <c r="E693" i="68"/>
  <c r="H451" i="68" l="1"/>
  <c r="J534" i="68"/>
  <c r="E452" i="68"/>
  <c r="E536" i="68" s="1"/>
  <c r="E620" i="68" s="1"/>
  <c r="H620" i="68" s="1"/>
  <c r="I305" i="68"/>
  <c r="F890" i="68"/>
  <c r="G890" i="68" s="1"/>
  <c r="I693" i="68"/>
  <c r="E807" i="68"/>
  <c r="H807" i="68" s="1"/>
  <c r="E694" i="68"/>
  <c r="J535" i="68"/>
  <c r="H452" i="68" l="1"/>
  <c r="E453" i="68"/>
  <c r="H453" i="68" s="1"/>
  <c r="I306" i="68"/>
  <c r="F891" i="68"/>
  <c r="G891" i="68" s="1"/>
  <c r="I694" i="68"/>
  <c r="E808" i="68"/>
  <c r="H808" i="68" s="1"/>
  <c r="E695" i="68"/>
  <c r="J536" i="68"/>
  <c r="E537" i="68" l="1"/>
  <c r="E621" i="68" s="1"/>
  <c r="H621" i="68" s="1"/>
  <c r="E454" i="68"/>
  <c r="E538" i="68" s="1"/>
  <c r="E622" i="68" s="1"/>
  <c r="H622" i="68" s="1"/>
  <c r="I307" i="68"/>
  <c r="F892" i="68"/>
  <c r="G892" i="68" s="1"/>
  <c r="I695" i="68"/>
  <c r="E809" i="68"/>
  <c r="H809" i="68" s="1"/>
  <c r="E696" i="68"/>
  <c r="J537" i="68" l="1"/>
  <c r="H454" i="68"/>
  <c r="E455" i="68"/>
  <c r="H455" i="68" s="1"/>
  <c r="I308" i="68"/>
  <c r="F893" i="68"/>
  <c r="G893" i="68" s="1"/>
  <c r="I696" i="68"/>
  <c r="E810" i="68"/>
  <c r="H810" i="68" s="1"/>
  <c r="E697" i="68"/>
  <c r="J538" i="68"/>
  <c r="E539" i="68" l="1"/>
  <c r="E623" i="68" s="1"/>
  <c r="H623" i="68" s="1"/>
  <c r="E456" i="68"/>
  <c r="E540" i="68" s="1"/>
  <c r="E624" i="68" s="1"/>
  <c r="H624" i="68" s="1"/>
  <c r="I309" i="68"/>
  <c r="F894" i="68"/>
  <c r="G894" i="68" s="1"/>
  <c r="I697" i="68"/>
  <c r="E811" i="68"/>
  <c r="H811" i="68" s="1"/>
  <c r="E698" i="68"/>
  <c r="J539" i="68" l="1"/>
  <c r="H456" i="68"/>
  <c r="E457" i="68"/>
  <c r="E541" i="68" s="1"/>
  <c r="E625" i="68" s="1"/>
  <c r="H625" i="68" s="1"/>
  <c r="I310" i="68"/>
  <c r="F895" i="68"/>
  <c r="G895" i="68" s="1"/>
  <c r="I698" i="68"/>
  <c r="E812" i="68"/>
  <c r="H812" i="68" s="1"/>
  <c r="E699" i="68"/>
  <c r="J540" i="68"/>
  <c r="H457" i="68" l="1"/>
  <c r="E458" i="68"/>
  <c r="E542" i="68" s="1"/>
  <c r="E626" i="68" s="1"/>
  <c r="H626" i="68" s="1"/>
  <c r="I311" i="68"/>
  <c r="F896" i="68"/>
  <c r="G896" i="68" s="1"/>
  <c r="I699" i="68"/>
  <c r="E813" i="68"/>
  <c r="H813" i="68" s="1"/>
  <c r="E700" i="68"/>
  <c r="J541" i="68"/>
  <c r="H458" i="68" l="1"/>
  <c r="E459" i="68"/>
  <c r="E543" i="68" s="1"/>
  <c r="E627" i="68" s="1"/>
  <c r="H627" i="68" s="1"/>
  <c r="I312" i="68"/>
  <c r="F897" i="68"/>
  <c r="G897" i="68" s="1"/>
  <c r="I700" i="68"/>
  <c r="E814" i="68"/>
  <c r="H814" i="68" s="1"/>
  <c r="E701" i="68"/>
  <c r="J542" i="68"/>
  <c r="H459" i="68" l="1"/>
  <c r="E460" i="68"/>
  <c r="E544" i="68" s="1"/>
  <c r="E628" i="68" s="1"/>
  <c r="H628" i="68" s="1"/>
  <c r="I313" i="68"/>
  <c r="F898" i="68"/>
  <c r="G898" i="68" s="1"/>
  <c r="I701" i="68"/>
  <c r="E815" i="68"/>
  <c r="H815" i="68" s="1"/>
  <c r="E702" i="68"/>
  <c r="J543" i="68"/>
  <c r="H460" i="68" l="1"/>
  <c r="E461" i="68"/>
  <c r="H461" i="68" s="1"/>
  <c r="I314" i="68"/>
  <c r="F899" i="68"/>
  <c r="G899" i="68" s="1"/>
  <c r="I702" i="68"/>
  <c r="E816" i="68"/>
  <c r="H816" i="68" s="1"/>
  <c r="E703" i="68"/>
  <c r="J544" i="68"/>
  <c r="E545" i="68" l="1"/>
  <c r="E629" i="68" s="1"/>
  <c r="H629" i="68" s="1"/>
  <c r="E462" i="68"/>
  <c r="E546" i="68" s="1"/>
  <c r="E630" i="68" s="1"/>
  <c r="H630" i="68" s="1"/>
  <c r="I315" i="68"/>
  <c r="F900" i="68"/>
  <c r="G900" i="68" s="1"/>
  <c r="I703" i="68"/>
  <c r="E817" i="68"/>
  <c r="H817" i="68" s="1"/>
  <c r="E704" i="68"/>
  <c r="J545" i="68" l="1"/>
  <c r="H462" i="68"/>
  <c r="E463" i="68"/>
  <c r="H463" i="68" s="1"/>
  <c r="I316" i="68"/>
  <c r="E705" i="68"/>
  <c r="F901" i="68"/>
  <c r="G901" i="68" s="1"/>
  <c r="I704" i="68"/>
  <c r="E818" i="68"/>
  <c r="H818" i="68" s="1"/>
  <c r="J546" i="68"/>
  <c r="E547" i="68" l="1"/>
  <c r="E631" i="68" s="1"/>
  <c r="H631" i="68" s="1"/>
  <c r="E464" i="68"/>
  <c r="H464" i="68" s="1"/>
  <c r="I317" i="68"/>
  <c r="E706" i="68"/>
  <c r="E819" i="68"/>
  <c r="H819" i="68" s="1"/>
  <c r="I705" i="68"/>
  <c r="F902" i="68"/>
  <c r="G902" i="68" s="1"/>
  <c r="J547" i="68" l="1"/>
  <c r="E548" i="68"/>
  <c r="E632" i="68" s="1"/>
  <c r="H632" i="68" s="1"/>
  <c r="E465" i="68"/>
  <c r="H465" i="68" s="1"/>
  <c r="I318" i="68"/>
  <c r="E707" i="68"/>
  <c r="F903" i="68"/>
  <c r="G903" i="68" s="1"/>
  <c r="E820" i="68"/>
  <c r="H820" i="68" s="1"/>
  <c r="I706" i="68"/>
  <c r="E549" i="68" l="1"/>
  <c r="E633" i="68" s="1"/>
  <c r="H633" i="68" s="1"/>
  <c r="J548" i="68"/>
  <c r="E466" i="68"/>
  <c r="E550" i="68" s="1"/>
  <c r="E634" i="68" s="1"/>
  <c r="H634" i="68" s="1"/>
  <c r="I319" i="68"/>
  <c r="E708" i="68"/>
  <c r="F904" i="68"/>
  <c r="G904" i="68" s="1"/>
  <c r="E821" i="68"/>
  <c r="H821" i="68" s="1"/>
  <c r="I707" i="68"/>
  <c r="J549" i="68" l="1"/>
  <c r="H466" i="68"/>
  <c r="I320" i="68"/>
  <c r="E467" i="68"/>
  <c r="E468" i="68"/>
  <c r="F905" i="68"/>
  <c r="G905" i="68" s="1"/>
  <c r="E709" i="68"/>
  <c r="E822" i="68"/>
  <c r="H822" i="68" s="1"/>
  <c r="I708" i="68"/>
  <c r="J550" i="68"/>
  <c r="H468" i="68" l="1"/>
  <c r="E552" i="68"/>
  <c r="H467" i="68"/>
  <c r="E551" i="68"/>
  <c r="E635" i="68" s="1"/>
  <c r="E469" i="68"/>
  <c r="I321" i="68"/>
  <c r="E710" i="68"/>
  <c r="E823" i="68"/>
  <c r="H823" i="68" s="1"/>
  <c r="I709" i="68"/>
  <c r="F906" i="68"/>
  <c r="G906" i="68" s="1"/>
  <c r="J551" i="68" l="1"/>
  <c r="H635" i="68"/>
  <c r="E711" i="68"/>
  <c r="J552" i="68"/>
  <c r="E636" i="68"/>
  <c r="H469" i="68"/>
  <c r="E553" i="68"/>
  <c r="E470" i="68"/>
  <c r="I322" i="68"/>
  <c r="F907" i="68"/>
  <c r="G907" i="68" s="1"/>
  <c r="E824" i="68"/>
  <c r="H824" i="68" s="1"/>
  <c r="I710" i="68"/>
  <c r="E347" i="68"/>
  <c r="I711" i="68" l="1"/>
  <c r="E825" i="68"/>
  <c r="H636" i="68"/>
  <c r="E712" i="68"/>
  <c r="J553" i="68"/>
  <c r="E637" i="68"/>
  <c r="H470" i="68"/>
  <c r="E554" i="68"/>
  <c r="E471" i="68"/>
  <c r="I323" i="68"/>
  <c r="I193" i="68"/>
  <c r="J193" i="68" s="1"/>
  <c r="H30" i="83"/>
  <c r="F908" i="68"/>
  <c r="G908" i="68" s="1"/>
  <c r="J36" i="68"/>
  <c r="J65" i="68" s="1"/>
  <c r="B5" i="69"/>
  <c r="B3" i="69"/>
  <c r="H825" i="68" l="1"/>
  <c r="F909" i="68"/>
  <c r="G909" i="68" s="1"/>
  <c r="I712" i="68"/>
  <c r="E826" i="68"/>
  <c r="H637" i="68"/>
  <c r="E713" i="68"/>
  <c r="J554" i="68"/>
  <c r="E638" i="68"/>
  <c r="H471" i="68"/>
  <c r="E555" i="68"/>
  <c r="E472" i="68"/>
  <c r="I324" i="68"/>
  <c r="I134" i="68"/>
  <c r="B2" i="84"/>
  <c r="A2" i="82"/>
  <c r="AC49" i="62"/>
  <c r="U49" i="62"/>
  <c r="V49" i="62"/>
  <c r="W49" i="62"/>
  <c r="X49" i="62"/>
  <c r="Y49" i="62"/>
  <c r="Z49" i="62"/>
  <c r="AA49" i="62"/>
  <c r="AB49" i="62"/>
  <c r="M49" i="62"/>
  <c r="N49" i="62"/>
  <c r="O49" i="62"/>
  <c r="P49" i="62"/>
  <c r="H826" i="68" l="1"/>
  <c r="F910" i="68"/>
  <c r="G910" i="68" s="1"/>
  <c r="I713" i="68"/>
  <c r="E827" i="68"/>
  <c r="H638" i="68"/>
  <c r="E714" i="68"/>
  <c r="J555" i="68"/>
  <c r="E639" i="68"/>
  <c r="H472" i="68"/>
  <c r="E556" i="68"/>
  <c r="E473" i="68"/>
  <c r="I325" i="68"/>
  <c r="A37" i="62"/>
  <c r="H827" i="68" l="1"/>
  <c r="F911" i="68"/>
  <c r="G911" i="68" s="1"/>
  <c r="I714" i="68"/>
  <c r="E828" i="68"/>
  <c r="H639" i="68"/>
  <c r="E715" i="68"/>
  <c r="J556" i="68"/>
  <c r="E640" i="68"/>
  <c r="H473" i="68"/>
  <c r="E557" i="68"/>
  <c r="E474" i="68"/>
  <c r="I326" i="68"/>
  <c r="A3" i="87"/>
  <c r="A5" i="87"/>
  <c r="D9" i="87" s="1"/>
  <c r="L20" i="87"/>
  <c r="O21" i="87"/>
  <c r="L17" i="87" s="1"/>
  <c r="E22" i="87"/>
  <c r="M22" i="87"/>
  <c r="E23" i="87"/>
  <c r="M23" i="87"/>
  <c r="E24" i="87"/>
  <c r="E25" i="87"/>
  <c r="E26" i="87"/>
  <c r="M26" i="87"/>
  <c r="E27" i="87"/>
  <c r="M27" i="87"/>
  <c r="E28" i="87"/>
  <c r="M28" i="87"/>
  <c r="E29" i="87"/>
  <c r="M29" i="87"/>
  <c r="E30" i="87"/>
  <c r="M30" i="87"/>
  <c r="E33" i="87"/>
  <c r="M33" i="87"/>
  <c r="M34" i="87"/>
  <c r="E35" i="87"/>
  <c r="M35" i="87"/>
  <c r="E38" i="87"/>
  <c r="M38" i="87"/>
  <c r="E39" i="87"/>
  <c r="M39" i="87"/>
  <c r="N46" i="87"/>
  <c r="N47" i="87"/>
  <c r="N48" i="87"/>
  <c r="N49" i="87"/>
  <c r="K50" i="87"/>
  <c r="N50" i="87" s="1"/>
  <c r="N51" i="87"/>
  <c r="E51" i="87" s="1"/>
  <c r="G51" i="87" s="1"/>
  <c r="N52" i="87"/>
  <c r="G69" i="87"/>
  <c r="E74" i="87"/>
  <c r="E75" i="87"/>
  <c r="E78" i="87" s="1"/>
  <c r="F98" i="87"/>
  <c r="F99" i="87"/>
  <c r="H828" i="68" l="1"/>
  <c r="F912" i="68"/>
  <c r="G912" i="68" s="1"/>
  <c r="I715" i="68"/>
  <c r="E829" i="68"/>
  <c r="H640" i="68"/>
  <c r="E716" i="68"/>
  <c r="J557" i="68"/>
  <c r="E641" i="68"/>
  <c r="H474" i="68"/>
  <c r="E558" i="68"/>
  <c r="E475" i="68"/>
  <c r="I327" i="68"/>
  <c r="E77" i="87"/>
  <c r="E76" i="87"/>
  <c r="N53" i="87"/>
  <c r="F22" i="87"/>
  <c r="N22" i="87" s="1"/>
  <c r="E52" i="87"/>
  <c r="G52" i="87" s="1"/>
  <c r="E50" i="87"/>
  <c r="G50" i="87" s="1"/>
  <c r="G48" i="87"/>
  <c r="G47" i="87"/>
  <c r="J11" i="83"/>
  <c r="L16" i="58"/>
  <c r="L17" i="58"/>
  <c r="L18" i="58"/>
  <c r="L19" i="58"/>
  <c r="L20" i="58"/>
  <c r="L21" i="58"/>
  <c r="L22" i="58"/>
  <c r="L23" i="58"/>
  <c r="L24" i="58"/>
  <c r="L25" i="58"/>
  <c r="L26" i="58"/>
  <c r="L27" i="58"/>
  <c r="L15" i="58"/>
  <c r="K16" i="58"/>
  <c r="K17" i="58"/>
  <c r="K18" i="58"/>
  <c r="K19" i="58"/>
  <c r="K20" i="58"/>
  <c r="K21" i="58"/>
  <c r="K22" i="58"/>
  <c r="K23" i="58"/>
  <c r="K24" i="58"/>
  <c r="K25" i="58"/>
  <c r="K26" i="58"/>
  <c r="K27" i="58"/>
  <c r="K15" i="58"/>
  <c r="E8" i="86"/>
  <c r="E23" i="86" s="1"/>
  <c r="J7" i="87" s="1"/>
  <c r="F28" i="87" s="1"/>
  <c r="N28" i="87" l="1"/>
  <c r="G28" i="87"/>
  <c r="F30" i="87"/>
  <c r="F27" i="87"/>
  <c r="F29" i="87"/>
  <c r="F39" i="87"/>
  <c r="F24" i="87"/>
  <c r="G24" i="87" s="1"/>
  <c r="F23" i="87"/>
  <c r="F25" i="87"/>
  <c r="G25" i="87" s="1"/>
  <c r="F33" i="87"/>
  <c r="F26" i="87"/>
  <c r="H829" i="68"/>
  <c r="F913" i="68"/>
  <c r="G913" i="68" s="1"/>
  <c r="I716" i="68"/>
  <c r="E830" i="68"/>
  <c r="H641" i="68"/>
  <c r="E717" i="68"/>
  <c r="J558" i="68"/>
  <c r="E642" i="68"/>
  <c r="H475" i="68"/>
  <c r="E559" i="68"/>
  <c r="E476" i="68"/>
  <c r="I328" i="68"/>
  <c r="G22" i="87"/>
  <c r="G53" i="87"/>
  <c r="L52" i="58"/>
  <c r="L48" i="58"/>
  <c r="L46" i="58"/>
  <c r="L45" i="58"/>
  <c r="L30" i="58"/>
  <c r="L31" i="58"/>
  <c r="L32" i="58"/>
  <c r="L33" i="58"/>
  <c r="L34" i="58"/>
  <c r="L35" i="58"/>
  <c r="L36" i="58"/>
  <c r="L37" i="58"/>
  <c r="L38" i="58"/>
  <c r="L39" i="58"/>
  <c r="L40" i="58"/>
  <c r="L41" i="58"/>
  <c r="L42" i="58"/>
  <c r="L43" i="58"/>
  <c r="L29" i="58"/>
  <c r="J49" i="58"/>
  <c r="J16" i="58"/>
  <c r="J17" i="58"/>
  <c r="J18" i="58"/>
  <c r="J19" i="58"/>
  <c r="J20" i="58"/>
  <c r="J21" i="58"/>
  <c r="J22" i="58"/>
  <c r="J23" i="58"/>
  <c r="J24" i="58"/>
  <c r="J25" i="58"/>
  <c r="J26" i="58"/>
  <c r="J27" i="58"/>
  <c r="J15" i="58"/>
  <c r="G39" i="87" l="1"/>
  <c r="N39" i="87"/>
  <c r="G29" i="87"/>
  <c r="N29" i="87"/>
  <c r="G23" i="87"/>
  <c r="G40" i="87" s="1"/>
  <c r="G55" i="87" s="1"/>
  <c r="N23" i="87"/>
  <c r="G27" i="87"/>
  <c r="N27" i="87"/>
  <c r="G26" i="87"/>
  <c r="N26" i="87"/>
  <c r="G30" i="87"/>
  <c r="N30" i="87"/>
  <c r="G33" i="87"/>
  <c r="N33" i="87"/>
  <c r="H830" i="68"/>
  <c r="F914" i="68"/>
  <c r="G914" i="68" s="1"/>
  <c r="I717" i="68"/>
  <c r="E831" i="68"/>
  <c r="H642" i="68"/>
  <c r="E718" i="68"/>
  <c r="J559" i="68"/>
  <c r="E643" i="68"/>
  <c r="H476" i="68"/>
  <c r="E560" i="68"/>
  <c r="E477" i="68"/>
  <c r="I329" i="68"/>
  <c r="J14" i="58"/>
  <c r="L49" i="58"/>
  <c r="L14" i="58"/>
  <c r="E8" i="85"/>
  <c r="E23" i="85" s="1"/>
  <c r="J6" i="87" s="1"/>
  <c r="J53" i="58" l="1"/>
  <c r="J9" i="83" s="1"/>
  <c r="L53" i="58"/>
  <c r="J10" i="83" s="1"/>
  <c r="F35" i="87"/>
  <c r="F38" i="87"/>
  <c r="H831" i="68"/>
  <c r="F915" i="68"/>
  <c r="G915" i="68" s="1"/>
  <c r="I718" i="68"/>
  <c r="E832" i="68"/>
  <c r="H643" i="68"/>
  <c r="E719" i="68"/>
  <c r="J560" i="68"/>
  <c r="E644" i="68"/>
  <c r="H477" i="68"/>
  <c r="E561" i="68"/>
  <c r="E478" i="68"/>
  <c r="I330" i="68"/>
  <c r="H33" i="83"/>
  <c r="N38" i="87" l="1"/>
  <c r="G38" i="87"/>
  <c r="G35" i="87"/>
  <c r="N35" i="87"/>
  <c r="H832" i="68"/>
  <c r="F916" i="68"/>
  <c r="G916" i="68" s="1"/>
  <c r="I719" i="68"/>
  <c r="E833" i="68"/>
  <c r="H644" i="68"/>
  <c r="E720" i="68"/>
  <c r="J561" i="68"/>
  <c r="E645" i="68"/>
  <c r="H478" i="68"/>
  <c r="E562" i="68"/>
  <c r="E479" i="68"/>
  <c r="I331" i="68"/>
  <c r="D14" i="83"/>
  <c r="E14" i="83" s="1"/>
  <c r="D19" i="83"/>
  <c r="F19" i="83" s="1"/>
  <c r="C19" i="83"/>
  <c r="A19" i="83"/>
  <c r="H833" i="68" l="1"/>
  <c r="F917" i="68"/>
  <c r="G917" i="68" s="1"/>
  <c r="I720" i="68"/>
  <c r="E834" i="68"/>
  <c r="H645" i="68"/>
  <c r="E721" i="68"/>
  <c r="J562" i="68"/>
  <c r="E646" i="68"/>
  <c r="H479" i="68"/>
  <c r="E563" i="68"/>
  <c r="E480" i="68"/>
  <c r="I332" i="68"/>
  <c r="G19" i="83"/>
  <c r="C20" i="83"/>
  <c r="A20" i="83"/>
  <c r="H834" i="68" l="1"/>
  <c r="F918" i="68"/>
  <c r="G918" i="68" s="1"/>
  <c r="I721" i="68"/>
  <c r="E835" i="68"/>
  <c r="H646" i="68"/>
  <c r="E722" i="68"/>
  <c r="J563" i="68"/>
  <c r="E647" i="68"/>
  <c r="H480" i="68"/>
  <c r="E564" i="68"/>
  <c r="E481" i="68"/>
  <c r="I333" i="68"/>
  <c r="G40" i="15"/>
  <c r="E40" i="15"/>
  <c r="E39" i="15"/>
  <c r="H835" i="68" l="1"/>
  <c r="F919" i="68"/>
  <c r="G919" i="68" s="1"/>
  <c r="I722" i="68"/>
  <c r="E836" i="68"/>
  <c r="H647" i="68"/>
  <c r="E723" i="68"/>
  <c r="J564" i="68"/>
  <c r="E648" i="68"/>
  <c r="H481" i="68"/>
  <c r="E565" i="68"/>
  <c r="E482" i="68"/>
  <c r="I334" i="68"/>
  <c r="C105" i="69"/>
  <c r="C103" i="69"/>
  <c r="C102" i="69"/>
  <c r="C100" i="69"/>
  <c r="H836" i="68" l="1"/>
  <c r="F920" i="68"/>
  <c r="G920" i="68" s="1"/>
  <c r="I723" i="68"/>
  <c r="E837" i="68"/>
  <c r="H648" i="68"/>
  <c r="E724" i="68"/>
  <c r="J565" i="68"/>
  <c r="E649" i="68"/>
  <c r="H482" i="68"/>
  <c r="E566" i="68"/>
  <c r="E483" i="68"/>
  <c r="I335" i="68"/>
  <c r="H837" i="68" l="1"/>
  <c r="F921" i="68"/>
  <c r="G921" i="68" s="1"/>
  <c r="I724" i="68"/>
  <c r="E838" i="68"/>
  <c r="H649" i="68"/>
  <c r="E725" i="68"/>
  <c r="J566" i="68"/>
  <c r="E650" i="68"/>
  <c r="H483" i="68"/>
  <c r="E567" i="68"/>
  <c r="E484" i="68"/>
  <c r="I336" i="68"/>
  <c r="F32" i="53"/>
  <c r="H32" i="53" s="1"/>
  <c r="H838" i="68" l="1"/>
  <c r="F922" i="68"/>
  <c r="G922" i="68" s="1"/>
  <c r="I725" i="68"/>
  <c r="E839" i="68"/>
  <c r="H650" i="68"/>
  <c r="E726" i="68"/>
  <c r="J567" i="68"/>
  <c r="E651" i="68"/>
  <c r="H484" i="68"/>
  <c r="E568" i="68"/>
  <c r="E485" i="68"/>
  <c r="I337" i="68"/>
  <c r="L100" i="69"/>
  <c r="H839" i="68" l="1"/>
  <c r="F923" i="68"/>
  <c r="G923" i="68" s="1"/>
  <c r="I726" i="68"/>
  <c r="E840" i="68"/>
  <c r="H651" i="68"/>
  <c r="E727" i="68"/>
  <c r="J568" i="68"/>
  <c r="E652" i="68"/>
  <c r="H485" i="68"/>
  <c r="E569" i="68"/>
  <c r="E486" i="68"/>
  <c r="I338" i="68"/>
  <c r="H840" i="68" l="1"/>
  <c r="F924" i="68"/>
  <c r="G924" i="68" s="1"/>
  <c r="I727" i="68"/>
  <c r="E841" i="68"/>
  <c r="H652" i="68"/>
  <c r="E728" i="68"/>
  <c r="J569" i="68"/>
  <c r="E653" i="68"/>
  <c r="H486" i="68"/>
  <c r="E570" i="68"/>
  <c r="E487" i="68"/>
  <c r="I339" i="68"/>
  <c r="I6" i="53"/>
  <c r="I7" i="53"/>
  <c r="H841" i="68" l="1"/>
  <c r="F925" i="68"/>
  <c r="G925" i="68" s="1"/>
  <c r="I728" i="68"/>
  <c r="E842" i="68"/>
  <c r="H653" i="68"/>
  <c r="E729" i="68"/>
  <c r="J570" i="68"/>
  <c r="E654" i="68"/>
  <c r="H487" i="68"/>
  <c r="E571" i="68"/>
  <c r="E488" i="68"/>
  <c r="I340" i="68"/>
  <c r="L112" i="3"/>
  <c r="L113" i="3"/>
  <c r="L114" i="3"/>
  <c r="L115" i="3"/>
  <c r="L116" i="3"/>
  <c r="L117" i="3"/>
  <c r="L118" i="3"/>
  <c r="L119" i="3"/>
  <c r="G40" i="16"/>
  <c r="G40" i="14"/>
  <c r="H842" i="68" l="1"/>
  <c r="F926" i="68"/>
  <c r="G926" i="68" s="1"/>
  <c r="I729" i="68"/>
  <c r="E843" i="68"/>
  <c r="H654" i="68"/>
  <c r="E730" i="68"/>
  <c r="J571" i="68"/>
  <c r="E655" i="68"/>
  <c r="H488" i="68"/>
  <c r="E572" i="68"/>
  <c r="E489" i="68"/>
  <c r="E573" i="68" s="1"/>
  <c r="I341" i="68"/>
  <c r="H24" i="33"/>
  <c r="H22" i="18"/>
  <c r="N5" i="9"/>
  <c r="D39" i="14"/>
  <c r="P5" i="9"/>
  <c r="H843" i="68" l="1"/>
  <c r="F927" i="68"/>
  <c r="G927" i="68" s="1"/>
  <c r="I730" i="68"/>
  <c r="E844" i="68"/>
  <c r="H655" i="68"/>
  <c r="E731" i="68"/>
  <c r="J572" i="68"/>
  <c r="E656" i="68"/>
  <c r="J573" i="68"/>
  <c r="E657" i="68"/>
  <c r="H489" i="68"/>
  <c r="E491" i="68"/>
  <c r="I342" i="68"/>
  <c r="E344" i="68"/>
  <c r="G210" i="68"/>
  <c r="G211" i="68" s="1"/>
  <c r="H844" i="68" l="1"/>
  <c r="F928" i="68"/>
  <c r="G928" i="68" s="1"/>
  <c r="I731" i="68"/>
  <c r="E845" i="68"/>
  <c r="H656" i="68"/>
  <c r="E732" i="68"/>
  <c r="H657" i="68"/>
  <c r="E733" i="68"/>
  <c r="H845" i="68" l="1"/>
  <c r="F929" i="68"/>
  <c r="G929" i="68" s="1"/>
  <c r="I732" i="68"/>
  <c r="E846" i="68"/>
  <c r="I733" i="68"/>
  <c r="E847" i="68"/>
  <c r="H847" i="68" l="1"/>
  <c r="F931" i="68"/>
  <c r="G931" i="68" s="1"/>
  <c r="H846" i="68"/>
  <c r="F930" i="68"/>
  <c r="G930" i="68" s="1"/>
  <c r="E934" i="68" l="1"/>
  <c r="D934" i="68"/>
  <c r="D862" i="68" l="1"/>
  <c r="D861" i="68"/>
  <c r="H760" i="68" l="1"/>
  <c r="J760" i="68" s="1"/>
  <c r="G679" i="68"/>
  <c r="F679" i="68"/>
  <c r="E677" i="68"/>
  <c r="E675" i="68"/>
  <c r="F677" i="68" s="1"/>
  <c r="F441" i="68"/>
  <c r="H441" i="68" s="1"/>
  <c r="H491" i="68" s="1"/>
  <c r="D441" i="68"/>
  <c r="I344" i="68"/>
  <c r="H675" i="68" l="1"/>
  <c r="H744" i="68"/>
  <c r="H745" i="68" s="1"/>
  <c r="J745" i="68" s="1"/>
  <c r="H677" i="68"/>
  <c r="H679" i="68"/>
  <c r="E527" i="68"/>
  <c r="H611" i="68" s="1"/>
  <c r="J611" i="68" s="1"/>
  <c r="E526" i="68"/>
  <c r="E610" i="68" s="1"/>
  <c r="H610" i="68" s="1"/>
  <c r="E529" i="68"/>
  <c r="E528" i="68"/>
  <c r="J293" i="68"/>
  <c r="J526" i="68" l="1"/>
  <c r="J528" i="68"/>
  <c r="J527" i="68"/>
  <c r="J529" i="68"/>
  <c r="H680" i="68"/>
  <c r="J673" i="68" s="1"/>
  <c r="E689" i="68" l="1"/>
  <c r="E690" i="68"/>
  <c r="E686" i="68"/>
  <c r="I686" i="68" s="1"/>
  <c r="E803" i="68" l="1"/>
  <c r="H803" i="68" s="1"/>
  <c r="I689" i="68"/>
  <c r="J689" i="68" s="1"/>
  <c r="E804" i="68"/>
  <c r="H804" i="68" s="1"/>
  <c r="I690" i="68"/>
  <c r="J690" i="68" s="1"/>
  <c r="E799" i="68"/>
  <c r="H799" i="68" s="1"/>
  <c r="F886" i="68" l="1"/>
  <c r="G886" i="68" s="1"/>
  <c r="F884" i="68"/>
  <c r="G884" i="68" s="1"/>
  <c r="F883" i="68"/>
  <c r="G883" i="68" s="1"/>
  <c r="F888" i="68"/>
  <c r="G888" i="68" s="1"/>
  <c r="F887" i="68"/>
  <c r="G887" i="68" s="1"/>
  <c r="H525" i="68"/>
  <c r="F609" i="68" s="1"/>
  <c r="E525" i="68"/>
  <c r="D525" i="68"/>
  <c r="D524" i="68"/>
  <c r="D608" i="68" s="1"/>
  <c r="H509" i="68"/>
  <c r="H508" i="68"/>
  <c r="H507" i="68"/>
  <c r="H506" i="68"/>
  <c r="E609" i="68" l="1"/>
  <c r="D609" i="68"/>
  <c r="D685" i="68" s="1"/>
  <c r="D798" i="68" s="1"/>
  <c r="D882" i="68" s="1"/>
  <c r="J525" i="68"/>
  <c r="F685" i="68"/>
  <c r="F798" i="68" s="1"/>
  <c r="E882" i="68" s="1"/>
  <c r="H510" i="68"/>
  <c r="G93" i="69" s="1"/>
  <c r="G89" i="3" s="1"/>
  <c r="E659" i="68" l="1"/>
  <c r="H609" i="68"/>
  <c r="J608" i="68" s="1"/>
  <c r="J505" i="68"/>
  <c r="E685" i="68"/>
  <c r="I685" i="68" s="1"/>
  <c r="J684" i="68" s="1"/>
  <c r="E798" i="68" l="1"/>
  <c r="H798" i="68" s="1"/>
  <c r="J440" i="68"/>
  <c r="J498" i="68" s="1"/>
  <c r="I426" i="68"/>
  <c r="I427" i="68" s="1"/>
  <c r="I428" i="68" s="1"/>
  <c r="I429" i="68" s="1"/>
  <c r="J429" i="68" s="1"/>
  <c r="I413" i="68"/>
  <c r="I414" i="68" s="1"/>
  <c r="I415" i="68" s="1"/>
  <c r="I416" i="68" s="1"/>
  <c r="J416" i="68" s="1"/>
  <c r="I400" i="68"/>
  <c r="I401" i="68" s="1"/>
  <c r="I402" i="68" s="1"/>
  <c r="J402" i="68" s="1"/>
  <c r="H379" i="68"/>
  <c r="H383" i="68" s="1"/>
  <c r="G375" i="68"/>
  <c r="G377" i="68" s="1"/>
  <c r="H849" i="68" l="1"/>
  <c r="J797" i="68" s="1"/>
  <c r="I348" i="68"/>
  <c r="I347" i="68"/>
  <c r="F882" i="68"/>
  <c r="G882" i="68" s="1"/>
  <c r="G933" i="68" s="1"/>
  <c r="H398" i="68"/>
  <c r="J881" i="68" l="1"/>
  <c r="J346" i="68"/>
  <c r="J398" i="68"/>
  <c r="H412" i="68"/>
  <c r="J412" i="68" l="1"/>
  <c r="H425" i="68"/>
  <c r="J425" i="68" s="1"/>
  <c r="F138" i="68" l="1"/>
  <c r="G70" i="68"/>
  <c r="G74" i="68"/>
  <c r="G72" i="68"/>
  <c r="G73" i="68" s="1"/>
  <c r="G71" i="68" l="1"/>
  <c r="G75" i="68" s="1"/>
  <c r="J70" i="68" s="1"/>
  <c r="F20" i="68" l="1"/>
  <c r="F18" i="68"/>
  <c r="F21" i="68" l="1"/>
  <c r="J15" i="68" s="1"/>
  <c r="J112" i="68" l="1"/>
  <c r="I106" i="69" l="1"/>
  <c r="A3" i="6" l="1"/>
  <c r="A5" i="8"/>
  <c r="A2" i="8"/>
  <c r="A3" i="8"/>
  <c r="A1" i="8"/>
  <c r="A50" i="8" l="1"/>
  <c r="F119" i="69"/>
  <c r="D63" i="58"/>
  <c r="A110" i="6"/>
  <c r="A51" i="8"/>
  <c r="F120" i="69"/>
  <c r="D64" i="58"/>
  <c r="A111" i="6"/>
  <c r="I64" i="58" l="1"/>
  <c r="K64" i="58"/>
  <c r="I63" i="58"/>
  <c r="K63" i="58"/>
  <c r="I7" i="79"/>
  <c r="C7" i="79"/>
  <c r="F57" i="79"/>
  <c r="F56" i="79"/>
  <c r="G48" i="79"/>
  <c r="G47" i="79"/>
  <c r="G46" i="79"/>
  <c r="G36" i="79"/>
  <c r="E36" i="79"/>
  <c r="F36" i="79" s="1"/>
  <c r="E35" i="79"/>
  <c r="D35" i="79"/>
  <c r="B35" i="79"/>
  <c r="H28" i="79"/>
  <c r="I32" i="79" s="1"/>
  <c r="H23" i="79"/>
  <c r="H22" i="79"/>
  <c r="H21" i="79"/>
  <c r="H20" i="79"/>
  <c r="H19" i="79"/>
  <c r="H18" i="79"/>
  <c r="C6" i="79"/>
  <c r="E2" i="79"/>
  <c r="F35" i="79" l="1"/>
  <c r="H35" i="79" s="1"/>
  <c r="H36" i="79"/>
  <c r="I25" i="79"/>
  <c r="I7" i="78"/>
  <c r="C7" i="78"/>
  <c r="F57" i="78"/>
  <c r="F56" i="78"/>
  <c r="G48" i="78"/>
  <c r="G47" i="78"/>
  <c r="G46" i="78"/>
  <c r="G36" i="78"/>
  <c r="E36" i="78"/>
  <c r="F36" i="78" s="1"/>
  <c r="E35" i="78"/>
  <c r="D35" i="78"/>
  <c r="B35" i="78"/>
  <c r="H28" i="78"/>
  <c r="I32" i="78" s="1"/>
  <c r="H23" i="78"/>
  <c r="H22" i="78"/>
  <c r="H21" i="78"/>
  <c r="H20" i="78"/>
  <c r="H19" i="78"/>
  <c r="H18" i="78"/>
  <c r="C6" i="78"/>
  <c r="E2" i="78"/>
  <c r="I7" i="77"/>
  <c r="C7" i="77"/>
  <c r="F57" i="77"/>
  <c r="F56" i="77"/>
  <c r="G48" i="77"/>
  <c r="G47" i="77"/>
  <c r="G46" i="77"/>
  <c r="G36" i="77"/>
  <c r="E36" i="77"/>
  <c r="F36" i="77" s="1"/>
  <c r="E35" i="77"/>
  <c r="D35" i="77"/>
  <c r="B35" i="77"/>
  <c r="H28" i="77"/>
  <c r="I32" i="77" s="1"/>
  <c r="H23" i="77"/>
  <c r="H22" i="77"/>
  <c r="H21" i="77"/>
  <c r="H20" i="77"/>
  <c r="H19" i="77"/>
  <c r="H18" i="77"/>
  <c r="C6" i="77"/>
  <c r="E2" i="77"/>
  <c r="I41" i="79" l="1"/>
  <c r="H13" i="79" s="1"/>
  <c r="I15" i="79" s="1"/>
  <c r="I43" i="79" s="1"/>
  <c r="H47" i="79" s="1"/>
  <c r="H36" i="77"/>
  <c r="H36" i="78"/>
  <c r="I25" i="78"/>
  <c r="I25" i="77"/>
  <c r="F35" i="77"/>
  <c r="H35" i="77" s="1"/>
  <c r="I41" i="77" s="1"/>
  <c r="H13" i="77" s="1"/>
  <c r="I15" i="77" s="1"/>
  <c r="I43" i="77" s="1"/>
  <c r="F35" i="78"/>
  <c r="H35" i="78" s="1"/>
  <c r="I7" i="76"/>
  <c r="C7" i="76"/>
  <c r="F57" i="76"/>
  <c r="F56" i="76"/>
  <c r="G48" i="76"/>
  <c r="G47" i="76"/>
  <c r="G46" i="76"/>
  <c r="G36" i="76"/>
  <c r="E36" i="76"/>
  <c r="F36" i="76" s="1"/>
  <c r="E35" i="76"/>
  <c r="D35" i="76"/>
  <c r="B35" i="76"/>
  <c r="H28" i="76"/>
  <c r="I32" i="76" s="1"/>
  <c r="H23" i="76"/>
  <c r="H22" i="76"/>
  <c r="H21" i="76"/>
  <c r="H20" i="76"/>
  <c r="H19" i="76"/>
  <c r="F18" i="76"/>
  <c r="H18" i="76" s="1"/>
  <c r="C6" i="76"/>
  <c r="E2" i="76"/>
  <c r="I7" i="75"/>
  <c r="C7" i="75"/>
  <c r="F57" i="75"/>
  <c r="F56" i="75"/>
  <c r="G48" i="75"/>
  <c r="G47" i="75"/>
  <c r="G46" i="75"/>
  <c r="G36" i="75"/>
  <c r="E36" i="75"/>
  <c r="F36" i="75" s="1"/>
  <c r="E35" i="75"/>
  <c r="D35" i="75"/>
  <c r="B35" i="75"/>
  <c r="H28" i="75"/>
  <c r="I32" i="75" s="1"/>
  <c r="H23" i="75"/>
  <c r="H22" i="75"/>
  <c r="H21" i="75"/>
  <c r="H20" i="75"/>
  <c r="H19" i="75"/>
  <c r="H18" i="75"/>
  <c r="C6" i="75"/>
  <c r="E2" i="75"/>
  <c r="I7" i="74"/>
  <c r="C7" i="74"/>
  <c r="F57" i="74"/>
  <c r="F56" i="74"/>
  <c r="G48" i="74"/>
  <c r="G47" i="74"/>
  <c r="G46" i="74"/>
  <c r="G36" i="74"/>
  <c r="E36" i="74"/>
  <c r="F36" i="74" s="1"/>
  <c r="E35" i="74"/>
  <c r="D35" i="74"/>
  <c r="B35" i="74"/>
  <c r="H28" i="74"/>
  <c r="I32" i="74" s="1"/>
  <c r="H23" i="74"/>
  <c r="H22" i="74"/>
  <c r="H21" i="74"/>
  <c r="H20" i="74"/>
  <c r="H19" i="74"/>
  <c r="H18" i="74"/>
  <c r="C6" i="74"/>
  <c r="E2" i="74"/>
  <c r="H36" i="74" l="1"/>
  <c r="H48" i="79"/>
  <c r="H46" i="79"/>
  <c r="I49" i="79" s="1"/>
  <c r="I51" i="79" s="1"/>
  <c r="E23" i="57" s="1"/>
  <c r="I41" i="78"/>
  <c r="H13" i="78" s="1"/>
  <c r="I15" i="78" s="1"/>
  <c r="I43" i="78" s="1"/>
  <c r="H36" i="75"/>
  <c r="F35" i="74"/>
  <c r="H35" i="74" s="1"/>
  <c r="I41" i="74" s="1"/>
  <c r="H13" i="74" s="1"/>
  <c r="I15" i="74" s="1"/>
  <c r="I25" i="76"/>
  <c r="F35" i="76"/>
  <c r="H35" i="76" s="1"/>
  <c r="H36" i="76"/>
  <c r="H47" i="77"/>
  <c r="H46" i="77"/>
  <c r="H48" i="77"/>
  <c r="F35" i="75"/>
  <c r="H35" i="75" s="1"/>
  <c r="I41" i="75" s="1"/>
  <c r="H13" i="75" s="1"/>
  <c r="I15" i="75" s="1"/>
  <c r="I25" i="75"/>
  <c r="I25" i="74"/>
  <c r="F18" i="73"/>
  <c r="H18" i="73" s="1"/>
  <c r="I7" i="73"/>
  <c r="C7" i="73"/>
  <c r="F57" i="73"/>
  <c r="F56" i="73"/>
  <c r="G48" i="73"/>
  <c r="G47" i="73"/>
  <c r="G46" i="73"/>
  <c r="G36" i="73"/>
  <c r="E36" i="73"/>
  <c r="F36" i="73" s="1"/>
  <c r="E35" i="73"/>
  <c r="D35" i="73"/>
  <c r="B35" i="73"/>
  <c r="H28" i="73"/>
  <c r="I32" i="73" s="1"/>
  <c r="H23" i="73"/>
  <c r="H22" i="73"/>
  <c r="H21" i="73"/>
  <c r="H20" i="73"/>
  <c r="H19" i="73"/>
  <c r="C6" i="73"/>
  <c r="E2" i="73"/>
  <c r="I7" i="72"/>
  <c r="C7" i="72"/>
  <c r="F57" i="72"/>
  <c r="F56" i="72"/>
  <c r="G48" i="72"/>
  <c r="G47" i="72"/>
  <c r="G46" i="72"/>
  <c r="G36" i="72"/>
  <c r="E36" i="72"/>
  <c r="F36" i="72" s="1"/>
  <c r="E35" i="72"/>
  <c r="D35" i="72"/>
  <c r="B35" i="72"/>
  <c r="H28" i="72"/>
  <c r="I32" i="72" s="1"/>
  <c r="H23" i="72"/>
  <c r="H22" i="72"/>
  <c r="H21" i="72"/>
  <c r="H20" i="72"/>
  <c r="H19" i="72"/>
  <c r="F18" i="72"/>
  <c r="H18" i="72" s="1"/>
  <c r="C6" i="72"/>
  <c r="E2" i="72"/>
  <c r="I7" i="71"/>
  <c r="I7" i="70"/>
  <c r="C7" i="71"/>
  <c r="F57" i="71"/>
  <c r="F56" i="71"/>
  <c r="G48" i="71"/>
  <c r="G47" i="71"/>
  <c r="G46" i="71"/>
  <c r="G36" i="71"/>
  <c r="E36" i="71"/>
  <c r="F36" i="71" s="1"/>
  <c r="E35" i="71"/>
  <c r="D35" i="71"/>
  <c r="B35" i="71"/>
  <c r="H28" i="71"/>
  <c r="I32" i="71" s="1"/>
  <c r="H23" i="71"/>
  <c r="H22" i="71"/>
  <c r="H21" i="71"/>
  <c r="H20" i="71"/>
  <c r="H19" i="71"/>
  <c r="F18" i="71"/>
  <c r="H18" i="71" s="1"/>
  <c r="C6" i="71"/>
  <c r="E2" i="71"/>
  <c r="F18" i="70"/>
  <c r="H18" i="70" s="1"/>
  <c r="C7" i="70"/>
  <c r="F57" i="70"/>
  <c r="F56" i="70"/>
  <c r="G48" i="70"/>
  <c r="G47" i="70"/>
  <c r="G46" i="70"/>
  <c r="G36" i="70"/>
  <c r="E36" i="70"/>
  <c r="F36" i="70" s="1"/>
  <c r="E35" i="70"/>
  <c r="D35" i="70"/>
  <c r="B35" i="70"/>
  <c r="H28" i="70"/>
  <c r="I32" i="70" s="1"/>
  <c r="H23" i="70"/>
  <c r="H22" i="70"/>
  <c r="H21" i="70"/>
  <c r="H20" i="70"/>
  <c r="H19" i="70"/>
  <c r="C6" i="70"/>
  <c r="E2" i="70"/>
  <c r="I7" i="56"/>
  <c r="C7" i="56"/>
  <c r="H47" i="78" l="1"/>
  <c r="H48" i="78"/>
  <c r="H36" i="73"/>
  <c r="H46" i="78"/>
  <c r="I49" i="78" s="1"/>
  <c r="I51" i="78" s="1"/>
  <c r="E22" i="57" s="1"/>
  <c r="I43" i="74"/>
  <c r="H47" i="74" s="1"/>
  <c r="F35" i="73"/>
  <c r="H35" i="73" s="1"/>
  <c r="I41" i="73" s="1"/>
  <c r="H13" i="73" s="1"/>
  <c r="I15" i="73" s="1"/>
  <c r="F35" i="71"/>
  <c r="H35" i="71" s="1"/>
  <c r="F35" i="70"/>
  <c r="H35" i="70" s="1"/>
  <c r="I41" i="76"/>
  <c r="H13" i="76" s="1"/>
  <c r="I15" i="76" s="1"/>
  <c r="I43" i="76" s="1"/>
  <c r="H46" i="76" s="1"/>
  <c r="H36" i="70"/>
  <c r="F35" i="72"/>
  <c r="H35" i="72" s="1"/>
  <c r="I25" i="70"/>
  <c r="I25" i="71"/>
  <c r="I25" i="72"/>
  <c r="I25" i="73"/>
  <c r="H36" i="71"/>
  <c r="H36" i="72"/>
  <c r="I43" i="75"/>
  <c r="H47" i="75" s="1"/>
  <c r="I49" i="77"/>
  <c r="I51" i="77" s="1"/>
  <c r="E21" i="57" s="1"/>
  <c r="I41" i="70" l="1"/>
  <c r="H13" i="70" s="1"/>
  <c r="I15" i="70" s="1"/>
  <c r="I43" i="70" s="1"/>
  <c r="H47" i="70" s="1"/>
  <c r="I43" i="73"/>
  <c r="H46" i="73" s="1"/>
  <c r="I41" i="72"/>
  <c r="H13" i="72" s="1"/>
  <c r="I15" i="72" s="1"/>
  <c r="I43" i="72" s="1"/>
  <c r="H47" i="72" s="1"/>
  <c r="H46" i="74"/>
  <c r="I41" i="71"/>
  <c r="H13" i="71" s="1"/>
  <c r="I15" i="71" s="1"/>
  <c r="I43" i="71" s="1"/>
  <c r="H48" i="71" s="1"/>
  <c r="H46" i="75"/>
  <c r="H48" i="74"/>
  <c r="H48" i="75"/>
  <c r="H48" i="76"/>
  <c r="H47" i="76"/>
  <c r="H47" i="73"/>
  <c r="H46" i="70"/>
  <c r="H48" i="73" l="1"/>
  <c r="H48" i="70"/>
  <c r="I49" i="70" s="1"/>
  <c r="I51" i="70" s="1"/>
  <c r="E14" i="57" s="1"/>
  <c r="I49" i="75"/>
  <c r="I51" i="75" s="1"/>
  <c r="E19" i="57" s="1"/>
  <c r="I49" i="74"/>
  <c r="I51" i="74" s="1"/>
  <c r="E18" i="57" s="1"/>
  <c r="I49" i="76"/>
  <c r="I51" i="76" s="1"/>
  <c r="E20" i="57" s="1"/>
  <c r="H47" i="71"/>
  <c r="H46" i="71"/>
  <c r="H48" i="72"/>
  <c r="H46" i="72"/>
  <c r="I49" i="73"/>
  <c r="I51" i="73" s="1"/>
  <c r="E17" i="57" s="1"/>
  <c r="I49" i="71" l="1"/>
  <c r="I51" i="71" s="1"/>
  <c r="E15" i="57" s="1"/>
  <c r="I49" i="72"/>
  <c r="I51" i="72" s="1"/>
  <c r="E16" i="57" s="1"/>
  <c r="L102" i="69" l="1"/>
  <c r="P1021" i="68" l="1"/>
  <c r="F1007" i="68" l="1"/>
  <c r="A54" i="58" l="1"/>
  <c r="I107" i="69"/>
  <c r="I108" i="69" s="1"/>
  <c r="B22" i="69"/>
  <c r="B21" i="69"/>
  <c r="B19" i="69"/>
  <c r="B18" i="69"/>
  <c r="B17" i="69"/>
  <c r="B16" i="69"/>
  <c r="B15" i="69"/>
  <c r="B14" i="69"/>
  <c r="B13" i="69"/>
  <c r="E1079" i="68"/>
  <c r="E1078" i="68"/>
  <c r="F1046" i="68"/>
  <c r="J1046" i="68" s="1"/>
  <c r="F1045" i="68"/>
  <c r="J1045" i="68" s="1"/>
  <c r="J1010" i="68"/>
  <c r="J1009" i="68"/>
  <c r="F1008" i="68"/>
  <c r="J1008" i="68" s="1"/>
  <c r="J1007" i="68"/>
  <c r="F1006" i="68"/>
  <c r="J1006" i="68" s="1"/>
  <c r="N1005" i="68"/>
  <c r="N1006" i="68" s="1"/>
  <c r="N1007" i="68" s="1"/>
  <c r="D1005" i="68"/>
  <c r="D986" i="68"/>
  <c r="D985" i="68"/>
  <c r="E579" i="68"/>
  <c r="J579" i="68" s="1"/>
  <c r="D993" i="68"/>
  <c r="D992" i="68"/>
  <c r="D991" i="68"/>
  <c r="D990" i="68"/>
  <c r="J202" i="68"/>
  <c r="G20" i="69" s="1"/>
  <c r="D989" i="68"/>
  <c r="D988" i="68"/>
  <c r="G985" i="68"/>
  <c r="J985" i="68" s="1"/>
  <c r="D987" i="68"/>
  <c r="B5" i="68"/>
  <c r="B3" i="68"/>
  <c r="G56" i="65" l="1"/>
  <c r="G57" i="65"/>
  <c r="G15" i="65"/>
  <c r="G20" i="3"/>
  <c r="G58" i="65"/>
  <c r="G55" i="65"/>
  <c r="G63" i="65"/>
  <c r="J31" i="68"/>
  <c r="G13" i="69" s="1"/>
  <c r="G45" i="69"/>
  <c r="D153" i="68"/>
  <c r="D175" i="68"/>
  <c r="J1071" i="68"/>
  <c r="D13" i="57" s="1"/>
  <c r="J1011" i="68"/>
  <c r="K49" i="62"/>
  <c r="L49" i="62"/>
  <c r="Q49" i="62"/>
  <c r="R49" i="62"/>
  <c r="S49" i="62"/>
  <c r="T49" i="62"/>
  <c r="AD49" i="62"/>
  <c r="AE49" i="62"/>
  <c r="AF49" i="62"/>
  <c r="J49" i="62"/>
  <c r="I49" i="62"/>
  <c r="G59" i="65" l="1"/>
  <c r="G67" i="65"/>
  <c r="G8" i="65"/>
  <c r="G13" i="3"/>
  <c r="G9" i="65"/>
  <c r="G14" i="3"/>
  <c r="G33" i="65"/>
  <c r="G45" i="3"/>
  <c r="G52" i="65"/>
  <c r="J135" i="68"/>
  <c r="J147" i="68" s="1"/>
  <c r="I504" i="68"/>
  <c r="J504" i="68" s="1"/>
  <c r="G987" i="68"/>
  <c r="G15" i="69"/>
  <c r="J117" i="68"/>
  <c r="J128" i="68" s="1"/>
  <c r="J987" i="68" l="1"/>
  <c r="G10" i="65"/>
  <c r="G15" i="3"/>
  <c r="H208" i="68"/>
  <c r="J207" i="68" s="1"/>
  <c r="J217" i="68" s="1"/>
  <c r="G21" i="69" s="1"/>
  <c r="E520" i="68"/>
  <c r="E606" i="68" s="1"/>
  <c r="J606" i="68" s="1"/>
  <c r="J666" i="68" s="1"/>
  <c r="J514" i="68"/>
  <c r="G46" i="69" s="1"/>
  <c r="H399" i="68"/>
  <c r="G16" i="69"/>
  <c r="G986" i="68"/>
  <c r="J986" i="68" s="1"/>
  <c r="J222" i="68"/>
  <c r="J239" i="68" s="1"/>
  <c r="G22" i="69" s="1"/>
  <c r="E246" i="68"/>
  <c r="E261" i="68" l="1"/>
  <c r="I246" i="68"/>
  <c r="J246" i="68" s="1"/>
  <c r="J256" i="68" s="1"/>
  <c r="G27" i="69" s="1"/>
  <c r="G16" i="65"/>
  <c r="G21" i="3"/>
  <c r="G11" i="65"/>
  <c r="G16" i="3"/>
  <c r="G17" i="65"/>
  <c r="G22" i="3"/>
  <c r="G34" i="65"/>
  <c r="G46" i="3"/>
  <c r="G51" i="69"/>
  <c r="J520" i="68"/>
  <c r="E521" i="68"/>
  <c r="J521" i="68" s="1"/>
  <c r="H413" i="68"/>
  <c r="J399" i="68"/>
  <c r="G17" i="69"/>
  <c r="E175" i="68"/>
  <c r="E153" i="68"/>
  <c r="T7" i="9"/>
  <c r="S9" i="9" s="1"/>
  <c r="R6" i="9"/>
  <c r="R7" i="9" s="1"/>
  <c r="G20" i="65" l="1"/>
  <c r="G27" i="3"/>
  <c r="E276" i="68"/>
  <c r="I261" i="68"/>
  <c r="J261" i="68" s="1"/>
  <c r="J270" i="68" s="1"/>
  <c r="G28" i="69" s="1"/>
  <c r="G89" i="69" s="1"/>
  <c r="G85" i="3" s="1"/>
  <c r="G38" i="65"/>
  <c r="G51" i="3"/>
  <c r="G12" i="65"/>
  <c r="G17" i="3"/>
  <c r="E672" i="68"/>
  <c r="J672" i="68" s="1"/>
  <c r="J738" i="68" s="1"/>
  <c r="G52" i="69" s="1"/>
  <c r="J174" i="68"/>
  <c r="J187" i="68" s="1"/>
  <c r="J152" i="68"/>
  <c r="J169" i="68" s="1"/>
  <c r="H426" i="68"/>
  <c r="J426" i="68" s="1"/>
  <c r="J413" i="68"/>
  <c r="P6" i="9"/>
  <c r="F32" i="40"/>
  <c r="L105" i="69"/>
  <c r="L103" i="69"/>
  <c r="K100" i="69"/>
  <c r="B4" i="9"/>
  <c r="B4" i="90" s="1"/>
  <c r="A4" i="57"/>
  <c r="A4" i="58"/>
  <c r="A1" i="89" s="1"/>
  <c r="O89" i="69" l="1"/>
  <c r="O95" i="69" s="1"/>
  <c r="U89" i="69"/>
  <c r="U95" i="69" s="1"/>
  <c r="M89" i="69"/>
  <c r="M95" i="69" s="1"/>
  <c r="K89" i="69"/>
  <c r="K95" i="69" s="1"/>
  <c r="Q89" i="69"/>
  <c r="Q95" i="69" s="1"/>
  <c r="S89" i="69"/>
  <c r="S95" i="69" s="1"/>
  <c r="W89" i="69"/>
  <c r="W95" i="69" s="1"/>
  <c r="E744" i="68"/>
  <c r="F934" i="68" s="1"/>
  <c r="G934" i="68" s="1"/>
  <c r="J934" i="68" s="1"/>
  <c r="J938" i="68" s="1"/>
  <c r="G21" i="65"/>
  <c r="G28" i="3"/>
  <c r="E387" i="68"/>
  <c r="I276" i="68"/>
  <c r="J276" i="68" s="1"/>
  <c r="J284" i="68" s="1"/>
  <c r="G33" i="69" s="1"/>
  <c r="G39" i="65"/>
  <c r="G52" i="3"/>
  <c r="G18" i="69"/>
  <c r="G988" i="68"/>
  <c r="J988" i="68" s="1"/>
  <c r="G989" i="68"/>
  <c r="G19" i="69"/>
  <c r="N7" i="9"/>
  <c r="N8" i="9" s="1"/>
  <c r="J744" i="68"/>
  <c r="J753" i="68" s="1"/>
  <c r="G53" i="69" s="1"/>
  <c r="I588" i="68"/>
  <c r="J588" i="68" s="1"/>
  <c r="J599" i="68" s="1"/>
  <c r="G48" i="69" s="1"/>
  <c r="G47" i="69"/>
  <c r="B4" i="79"/>
  <c r="B4" i="77"/>
  <c r="B4" i="78"/>
  <c r="B4" i="75"/>
  <c r="B4" i="76"/>
  <c r="B4" i="74"/>
  <c r="B4" i="72"/>
  <c r="B4" i="70"/>
  <c r="B4" i="73"/>
  <c r="B4" i="71"/>
  <c r="K103" i="69"/>
  <c r="L106" i="69"/>
  <c r="E775" i="68"/>
  <c r="J775" i="68" s="1"/>
  <c r="J769" i="68"/>
  <c r="G56" i="69" s="1"/>
  <c r="J989" i="68" l="1"/>
  <c r="H1020" i="68"/>
  <c r="G24" i="65"/>
  <c r="G33" i="3"/>
  <c r="E388" i="68"/>
  <c r="J388" i="68" s="1"/>
  <c r="H401" i="68" s="1"/>
  <c r="J387" i="68"/>
  <c r="G40" i="65"/>
  <c r="G53" i="3"/>
  <c r="G13" i="65"/>
  <c r="G18" i="3"/>
  <c r="G42" i="65"/>
  <c r="G56" i="3"/>
  <c r="G35" i="65"/>
  <c r="G47" i="3"/>
  <c r="G14" i="65"/>
  <c r="G19" i="3"/>
  <c r="G36" i="65"/>
  <c r="G48" i="3"/>
  <c r="F32" i="14"/>
  <c r="E796" i="68"/>
  <c r="J788" i="68"/>
  <c r="G57" i="69" s="1"/>
  <c r="J1021" i="68" l="1"/>
  <c r="I1020" i="68"/>
  <c r="E1022" i="68" s="1"/>
  <c r="I1022" i="68" s="1"/>
  <c r="J1022" i="68" s="1"/>
  <c r="J392" i="68"/>
  <c r="H400" i="68"/>
  <c r="H415" i="68"/>
  <c r="J401" i="68"/>
  <c r="G43" i="65"/>
  <c r="G57" i="3"/>
  <c r="F32" i="9"/>
  <c r="E32" i="15"/>
  <c r="E32" i="24" s="1"/>
  <c r="E861" i="68"/>
  <c r="E862" i="68" s="1"/>
  <c r="J862" i="68" s="1"/>
  <c r="J796" i="68"/>
  <c r="D32" i="24" l="1"/>
  <c r="H32" i="24" s="1"/>
  <c r="E32" i="25"/>
  <c r="G990" i="68"/>
  <c r="J990" i="68" s="1"/>
  <c r="G39" i="69"/>
  <c r="J415" i="68"/>
  <c r="H428" i="68"/>
  <c r="J428" i="68" s="1"/>
  <c r="J400" i="68"/>
  <c r="J405" i="68" s="1"/>
  <c r="H414" i="68"/>
  <c r="J854" i="68"/>
  <c r="G60" i="69" s="1"/>
  <c r="J861" i="68"/>
  <c r="J875" i="68" s="1"/>
  <c r="G61" i="69" s="1"/>
  <c r="N946" i="68"/>
  <c r="M946" i="68" s="1"/>
  <c r="N881" i="68"/>
  <c r="M881" i="68" s="1"/>
  <c r="G62" i="69" s="1"/>
  <c r="E32" i="26" l="1"/>
  <c r="D32" i="25"/>
  <c r="H32" i="25" s="1"/>
  <c r="G28" i="65"/>
  <c r="G39" i="3"/>
  <c r="J414" i="68"/>
  <c r="J419" i="68" s="1"/>
  <c r="H427" i="68"/>
  <c r="J427" i="68" s="1"/>
  <c r="J432" i="68" s="1"/>
  <c r="G991" i="68"/>
  <c r="J991" i="68" s="1"/>
  <c r="G40" i="69"/>
  <c r="G46" i="65"/>
  <c r="G61" i="3"/>
  <c r="G47" i="65"/>
  <c r="G62" i="3"/>
  <c r="G45" i="65"/>
  <c r="G60" i="3"/>
  <c r="J945" i="68"/>
  <c r="J953" i="68" l="1"/>
  <c r="G66" i="69" s="1"/>
  <c r="G92" i="69"/>
  <c r="E32" i="27"/>
  <c r="D32" i="27" s="1"/>
  <c r="H32" i="27" s="1"/>
  <c r="D32" i="26"/>
  <c r="H32" i="26" s="1"/>
  <c r="G993" i="68"/>
  <c r="J993" i="68" s="1"/>
  <c r="G42" i="69"/>
  <c r="G41" i="69"/>
  <c r="G992" i="68"/>
  <c r="J992" i="68" s="1"/>
  <c r="G29" i="65"/>
  <c r="G40" i="3"/>
  <c r="G53" i="65"/>
  <c r="G49" i="65"/>
  <c r="G66" i="3"/>
  <c r="P1022" i="68"/>
  <c r="G88" i="3" l="1"/>
  <c r="O92" i="69"/>
  <c r="Q92" i="69"/>
  <c r="U92" i="69"/>
  <c r="G90" i="69"/>
  <c r="J1000" i="68"/>
  <c r="G79" i="69" s="1"/>
  <c r="G76" i="3" s="1"/>
  <c r="G30" i="65"/>
  <c r="G41" i="3"/>
  <c r="G31" i="65"/>
  <c r="G42" i="3"/>
  <c r="G54" i="65"/>
  <c r="G62" i="65"/>
  <c r="O1022" i="68"/>
  <c r="G86" i="3" l="1"/>
  <c r="G66" i="65"/>
  <c r="J1036" i="68"/>
  <c r="G84" i="69" s="1"/>
  <c r="H91" i="69" s="1"/>
  <c r="H87" i="3" l="1"/>
  <c r="G70" i="65"/>
  <c r="G81" i="3"/>
  <c r="AC87" i="65"/>
  <c r="AC82" i="65"/>
  <c r="AC79" i="65"/>
  <c r="AC76" i="65"/>
  <c r="B1" i="65"/>
  <c r="B17" i="65"/>
  <c r="B16" i="65"/>
  <c r="B14" i="65"/>
  <c r="B13" i="65"/>
  <c r="B12" i="65"/>
  <c r="B11" i="65"/>
  <c r="B10" i="65"/>
  <c r="B9" i="65"/>
  <c r="B8" i="65"/>
  <c r="E2" i="13" l="1"/>
  <c r="E2" i="14"/>
  <c r="E2" i="15"/>
  <c r="E2" i="16"/>
  <c r="E2" i="17"/>
  <c r="E2" i="18"/>
  <c r="E2" i="63"/>
  <c r="E2" i="19"/>
  <c r="E2" i="20"/>
  <c r="E2" i="21"/>
  <c r="E2" i="22"/>
  <c r="E2" i="23"/>
  <c r="E2" i="24"/>
  <c r="E2" i="25"/>
  <c r="E2" i="26"/>
  <c r="E2" i="27"/>
  <c r="E2" i="28"/>
  <c r="E2" i="29"/>
  <c r="E2" i="30"/>
  <c r="E2" i="31"/>
  <c r="E2" i="33"/>
  <c r="E2" i="34"/>
  <c r="E2" i="32"/>
  <c r="E2" i="35"/>
  <c r="E2" i="36"/>
  <c r="E2" i="37"/>
  <c r="E2" i="38"/>
  <c r="E2" i="39"/>
  <c r="E2" i="40"/>
  <c r="E2" i="51"/>
  <c r="E2" i="53"/>
  <c r="E2" i="56"/>
  <c r="E2" i="9"/>
  <c r="N2" i="9" s="1"/>
  <c r="A5" i="7" l="1"/>
  <c r="A5" i="6"/>
  <c r="A6" i="57"/>
  <c r="D8" i="57" s="1"/>
  <c r="A6" i="58"/>
  <c r="A2" i="89" l="1"/>
  <c r="D9" i="58"/>
  <c r="B32" i="19" l="1"/>
  <c r="B23" i="19"/>
  <c r="N67" i="65" l="1"/>
  <c r="O67" i="65" s="1"/>
  <c r="H11" i="63"/>
  <c r="D32" i="63"/>
  <c r="B32" i="63"/>
  <c r="H22" i="63"/>
  <c r="I29" i="63" s="1"/>
  <c r="B22" i="63"/>
  <c r="B11" i="63"/>
  <c r="F61" i="63"/>
  <c r="F60" i="63"/>
  <c r="G52" i="63"/>
  <c r="G51" i="63"/>
  <c r="G50" i="63"/>
  <c r="E39" i="63"/>
  <c r="D39" i="63"/>
  <c r="B39" i="63"/>
  <c r="H13" i="63"/>
  <c r="B13" i="63"/>
  <c r="H12" i="63"/>
  <c r="B12" i="63"/>
  <c r="M10" i="63"/>
  <c r="C6" i="63"/>
  <c r="B4" i="63"/>
  <c r="L20" i="69" l="1"/>
  <c r="M20" i="69" s="1"/>
  <c r="L15" i="65"/>
  <c r="L67" i="65"/>
  <c r="M67" i="65" s="1"/>
  <c r="F39" i="63"/>
  <c r="H39" i="63" s="1"/>
  <c r="I45" i="63" s="1"/>
  <c r="F32" i="63"/>
  <c r="H32" i="63" s="1"/>
  <c r="I36" i="63" s="1"/>
  <c r="I19" i="63"/>
  <c r="I66" i="62"/>
  <c r="I65" i="62"/>
  <c r="E18" i="62"/>
  <c r="A5" i="62"/>
  <c r="A3" i="62"/>
  <c r="A2" i="62"/>
  <c r="A1" i="62"/>
  <c r="Q65" i="62" l="1"/>
  <c r="Y65" i="62"/>
  <c r="U65" i="62"/>
  <c r="M65" i="62"/>
  <c r="Q66" i="62"/>
  <c r="M66" i="62"/>
  <c r="Y66" i="62"/>
  <c r="U66" i="62"/>
  <c r="J20" i="69"/>
  <c r="J15" i="65"/>
  <c r="N20" i="69"/>
  <c r="O20" i="69" s="1"/>
  <c r="P20" i="69"/>
  <c r="Q20" i="69" s="1"/>
  <c r="P15" i="65"/>
  <c r="N15" i="65"/>
  <c r="AH67" i="65"/>
  <c r="I47" i="63"/>
  <c r="H52" i="63" s="1"/>
  <c r="N203" i="60"/>
  <c r="N204" i="60"/>
  <c r="N170" i="60"/>
  <c r="N136" i="60"/>
  <c r="J224" i="60"/>
  <c r="J188" i="60"/>
  <c r="J155" i="60"/>
  <c r="J121" i="60"/>
  <c r="J103" i="60"/>
  <c r="J85" i="60"/>
  <c r="J57" i="60"/>
  <c r="J39" i="60"/>
  <c r="J21" i="60"/>
  <c r="J1" i="60"/>
  <c r="N202" i="60"/>
  <c r="N201" i="60"/>
  <c r="N200" i="60"/>
  <c r="N199" i="60"/>
  <c r="N198" i="60"/>
  <c r="N197" i="60"/>
  <c r="N196" i="60"/>
  <c r="N195" i="60"/>
  <c r="N194" i="60"/>
  <c r="N193" i="60"/>
  <c r="N192" i="60"/>
  <c r="N191" i="60"/>
  <c r="N190" i="60"/>
  <c r="N189" i="60"/>
  <c r="N169" i="60"/>
  <c r="N168" i="60"/>
  <c r="N167" i="60"/>
  <c r="N166" i="60"/>
  <c r="N165" i="60"/>
  <c r="N164" i="60"/>
  <c r="N163" i="60"/>
  <c r="N162" i="60"/>
  <c r="N161" i="60"/>
  <c r="N160" i="60"/>
  <c r="N159" i="60"/>
  <c r="N158" i="60"/>
  <c r="N157" i="60"/>
  <c r="N156" i="60"/>
  <c r="AD65" i="62" l="1"/>
  <c r="AC65" i="62"/>
  <c r="AD66" i="62"/>
  <c r="AC66" i="62"/>
  <c r="R20" i="69"/>
  <c r="S20" i="69" s="1"/>
  <c r="K20" i="69"/>
  <c r="H50" i="63"/>
  <c r="H51" i="63"/>
  <c r="R15" i="65"/>
  <c r="N135" i="60"/>
  <c r="N134" i="60"/>
  <c r="N133" i="60"/>
  <c r="N132" i="60"/>
  <c r="N131" i="60"/>
  <c r="N130" i="60"/>
  <c r="N129" i="60"/>
  <c r="N128" i="60"/>
  <c r="N127" i="60"/>
  <c r="N126" i="60"/>
  <c r="N125" i="60"/>
  <c r="N124" i="60"/>
  <c r="N123" i="60"/>
  <c r="N122" i="60"/>
  <c r="I53" i="63" l="1"/>
  <c r="T20" i="69" s="1"/>
  <c r="N111" i="60"/>
  <c r="N110" i="60"/>
  <c r="N109" i="60"/>
  <c r="N108" i="60"/>
  <c r="N107" i="60"/>
  <c r="N106" i="60"/>
  <c r="N105" i="60"/>
  <c r="N104" i="60"/>
  <c r="N69" i="60"/>
  <c r="N68" i="60"/>
  <c r="N67" i="60"/>
  <c r="N66" i="60"/>
  <c r="N65" i="60"/>
  <c r="N64" i="60"/>
  <c r="N63" i="60"/>
  <c r="N62" i="60"/>
  <c r="N61" i="60"/>
  <c r="N60" i="60"/>
  <c r="N59" i="60"/>
  <c r="N58" i="60"/>
  <c r="N50" i="60"/>
  <c r="N49" i="60"/>
  <c r="N48" i="60"/>
  <c r="N47" i="60"/>
  <c r="N46" i="60"/>
  <c r="N45" i="60"/>
  <c r="N44" i="60"/>
  <c r="N43" i="60"/>
  <c r="N42" i="60"/>
  <c r="N41" i="60"/>
  <c r="N40" i="60"/>
  <c r="T15" i="65" l="1"/>
  <c r="V15" i="65" s="1"/>
  <c r="I55" i="63"/>
  <c r="H20" i="69" s="1"/>
  <c r="U20" i="69"/>
  <c r="V20" i="69"/>
  <c r="W20" i="69" s="1"/>
  <c r="N3" i="60"/>
  <c r="N4" i="60"/>
  <c r="N5" i="60"/>
  <c r="N6" i="60"/>
  <c r="N7" i="60"/>
  <c r="N8" i="60"/>
  <c r="N9" i="60"/>
  <c r="N10" i="60"/>
  <c r="N11" i="60"/>
  <c r="N12" i="60"/>
  <c r="N13" i="60"/>
  <c r="N14" i="60"/>
  <c r="N15" i="60"/>
  <c r="N2" i="60"/>
  <c r="N23" i="60"/>
  <c r="N24" i="60"/>
  <c r="N25" i="60"/>
  <c r="N26" i="60"/>
  <c r="N27" i="60"/>
  <c r="N28" i="60"/>
  <c r="N29" i="60"/>
  <c r="N30" i="60"/>
  <c r="N31" i="60"/>
  <c r="N32" i="60"/>
  <c r="N22" i="60"/>
  <c r="I20" i="69" l="1"/>
  <c r="H20" i="3"/>
  <c r="H15" i="65"/>
  <c r="C6" i="13"/>
  <c r="C6" i="14"/>
  <c r="C6" i="15"/>
  <c r="C6" i="16"/>
  <c r="C6" i="17"/>
  <c r="C6" i="18"/>
  <c r="C6" i="19"/>
  <c r="C6" i="20"/>
  <c r="C6" i="21"/>
  <c r="C6" i="22"/>
  <c r="C6" i="23"/>
  <c r="C6" i="24"/>
  <c r="C6" i="25"/>
  <c r="C6" i="26"/>
  <c r="C6" i="27"/>
  <c r="C6" i="28"/>
  <c r="C6" i="29"/>
  <c r="C6" i="30"/>
  <c r="C6" i="31"/>
  <c r="C6" i="33"/>
  <c r="C6" i="34"/>
  <c r="C6" i="32"/>
  <c r="C6" i="35"/>
  <c r="C6" i="36"/>
  <c r="C6" i="37"/>
  <c r="C6" i="38"/>
  <c r="C6" i="39"/>
  <c r="C6" i="40"/>
  <c r="C6" i="51"/>
  <c r="C6" i="53"/>
  <c r="C6" i="56"/>
  <c r="C6" i="9"/>
  <c r="F61" i="9" l="1"/>
  <c r="F61" i="14"/>
  <c r="F61" i="15"/>
  <c r="F61" i="16"/>
  <c r="F61" i="17"/>
  <c r="F61" i="18"/>
  <c r="F61" i="19"/>
  <c r="F61" i="20"/>
  <c r="F61" i="21"/>
  <c r="F61" i="22"/>
  <c r="F61" i="23"/>
  <c r="F61" i="24"/>
  <c r="F61" i="25"/>
  <c r="F61" i="26"/>
  <c r="F61" i="27"/>
  <c r="F61" i="28"/>
  <c r="F61" i="29"/>
  <c r="F61" i="30"/>
  <c r="F61" i="31"/>
  <c r="F61" i="33"/>
  <c r="F61" i="34"/>
  <c r="F61" i="32"/>
  <c r="F61" i="35"/>
  <c r="F61" i="36"/>
  <c r="F61" i="37"/>
  <c r="F61" i="38"/>
  <c r="F61" i="39"/>
  <c r="F61" i="40"/>
  <c r="F61" i="51"/>
  <c r="F61" i="53"/>
  <c r="F57" i="56"/>
  <c r="F61" i="13"/>
  <c r="F60" i="9"/>
  <c r="F60" i="14"/>
  <c r="F60" i="15"/>
  <c r="F60" i="16"/>
  <c r="F60" i="17"/>
  <c r="F60" i="18"/>
  <c r="F60" i="19"/>
  <c r="F60" i="20"/>
  <c r="F60" i="21"/>
  <c r="F60" i="22"/>
  <c r="F60" i="23"/>
  <c r="F60" i="24"/>
  <c r="F60" i="25"/>
  <c r="F60" i="26"/>
  <c r="F60" i="27"/>
  <c r="F60" i="28"/>
  <c r="F60" i="29"/>
  <c r="F60" i="30"/>
  <c r="F60" i="31"/>
  <c r="F60" i="33"/>
  <c r="F60" i="34"/>
  <c r="F60" i="32"/>
  <c r="F60" i="35"/>
  <c r="F60" i="36"/>
  <c r="F60" i="37"/>
  <c r="F60" i="38"/>
  <c r="F60" i="39"/>
  <c r="F60" i="40"/>
  <c r="F60" i="51"/>
  <c r="F60" i="53"/>
  <c r="F56" i="56"/>
  <c r="F60" i="13"/>
  <c r="B193" i="7"/>
  <c r="B192" i="7"/>
  <c r="E35" i="57"/>
  <c r="E34" i="57"/>
  <c r="B24" i="36" l="1"/>
  <c r="L27" i="9"/>
  <c r="L28" i="9" l="1"/>
  <c r="M10" i="19" l="1"/>
  <c r="N14" i="28"/>
  <c r="N15" i="28" s="1"/>
  <c r="G14" i="57"/>
  <c r="H23" i="19" l="1"/>
  <c r="H22" i="19"/>
  <c r="E22" i="19"/>
  <c r="B22" i="19"/>
  <c r="D32" i="20"/>
  <c r="E39" i="58" l="1"/>
  <c r="E40" i="58" s="1"/>
  <c r="E41" i="58" s="1"/>
  <c r="E42" i="58" s="1"/>
  <c r="E43" i="58" s="1"/>
  <c r="E44" i="58" s="1"/>
  <c r="E45" i="58" s="1"/>
  <c r="E46" i="58" s="1"/>
  <c r="D21" i="57"/>
  <c r="I45" i="53" l="1"/>
  <c r="I36" i="19"/>
  <c r="I36" i="18"/>
  <c r="I36" i="17"/>
  <c r="I36" i="16"/>
  <c r="I36" i="13"/>
  <c r="I29" i="9"/>
  <c r="I29" i="14"/>
  <c r="I29" i="15"/>
  <c r="I29" i="16"/>
  <c r="I29" i="18"/>
  <c r="I29" i="19"/>
  <c r="I29" i="51"/>
  <c r="I19" i="37"/>
  <c r="G31" i="58"/>
  <c r="G32" i="58"/>
  <c r="G33" i="58"/>
  <c r="G34" i="58"/>
  <c r="G35" i="58"/>
  <c r="G30" i="58"/>
  <c r="G16" i="58"/>
  <c r="G17" i="58"/>
  <c r="G18" i="58"/>
  <c r="G19" i="58"/>
  <c r="G20" i="58"/>
  <c r="G21" i="58"/>
  <c r="G22" i="58"/>
  <c r="G23" i="58"/>
  <c r="G24" i="58"/>
  <c r="G25" i="58"/>
  <c r="G15" i="58"/>
  <c r="C35" i="58"/>
  <c r="E35" i="58" s="1"/>
  <c r="C34" i="58"/>
  <c r="E34" i="58" s="1"/>
  <c r="C31" i="58"/>
  <c r="E31" i="58" s="1"/>
  <c r="C30" i="58"/>
  <c r="E30" i="58" s="1"/>
  <c r="C25" i="58"/>
  <c r="E25" i="58" s="1"/>
  <c r="C24" i="58"/>
  <c r="E24" i="58" s="1"/>
  <c r="C23" i="58"/>
  <c r="E23" i="58" s="1"/>
  <c r="C22" i="58"/>
  <c r="E22" i="58" s="1"/>
  <c r="C21" i="58"/>
  <c r="E21" i="58" s="1"/>
  <c r="C20" i="58"/>
  <c r="E20" i="58" s="1"/>
  <c r="C19" i="58"/>
  <c r="E19" i="58" s="1"/>
  <c r="C18" i="58"/>
  <c r="E18" i="58" s="1"/>
  <c r="C17" i="58"/>
  <c r="E17" i="58" s="1"/>
  <c r="C16" i="58"/>
  <c r="E16" i="58" s="1"/>
  <c r="C15" i="58"/>
  <c r="E15" i="58" s="1"/>
  <c r="I6" i="58"/>
  <c r="K6" i="58" s="1"/>
  <c r="I4" i="58"/>
  <c r="K4" i="58" s="1"/>
  <c r="H46" i="58"/>
  <c r="H41" i="58"/>
  <c r="H40" i="58"/>
  <c r="H39" i="58"/>
  <c r="A35" i="58"/>
  <c r="A34" i="58"/>
  <c r="A33" i="58"/>
  <c r="A32" i="58"/>
  <c r="A30" i="58"/>
  <c r="A25" i="58"/>
  <c r="A24" i="58"/>
  <c r="A23" i="58"/>
  <c r="A22" i="58"/>
  <c r="A21" i="58"/>
  <c r="A20" i="58"/>
  <c r="A18" i="58"/>
  <c r="A17" i="58"/>
  <c r="A16" i="58"/>
  <c r="A15" i="58"/>
  <c r="L21" i="69" l="1"/>
  <c r="M21" i="69" s="1"/>
  <c r="L16" i="65"/>
  <c r="L15" i="69"/>
  <c r="M15" i="69" s="1"/>
  <c r="L10" i="65"/>
  <c r="N18" i="69"/>
  <c r="O18" i="69" s="1"/>
  <c r="N13" i="65"/>
  <c r="P84" i="69"/>
  <c r="J60" i="69"/>
  <c r="J45" i="65"/>
  <c r="L19" i="69"/>
  <c r="M19" i="69" s="1"/>
  <c r="L14" i="65"/>
  <c r="L13" i="69"/>
  <c r="M13" i="69" s="1"/>
  <c r="L8" i="65"/>
  <c r="N19" i="69"/>
  <c r="O19" i="69" s="1"/>
  <c r="N14" i="65"/>
  <c r="L17" i="69"/>
  <c r="M17" i="69" s="1"/>
  <c r="L12" i="65"/>
  <c r="N14" i="69"/>
  <c r="O14" i="69" s="1"/>
  <c r="N9" i="65"/>
  <c r="N16" i="65"/>
  <c r="N21" i="69"/>
  <c r="O21" i="69" s="1"/>
  <c r="L79" i="69"/>
  <c r="M79" i="69" s="1"/>
  <c r="M81" i="69" s="1"/>
  <c r="L66" i="65"/>
  <c r="L16" i="69"/>
  <c r="M16" i="69" s="1"/>
  <c r="L11" i="65"/>
  <c r="N17" i="69"/>
  <c r="O17" i="69" s="1"/>
  <c r="N12" i="65"/>
  <c r="H43" i="58"/>
  <c r="H45" i="58"/>
  <c r="H42" i="58"/>
  <c r="H44" i="58"/>
  <c r="Q84" i="69" l="1"/>
  <c r="P70" i="65"/>
  <c r="H47" i="58"/>
  <c r="G14" i="83"/>
  <c r="H14" i="83" s="1"/>
  <c r="K60" i="69"/>
  <c r="F15" i="58"/>
  <c r="D26" i="57" l="1"/>
  <c r="G23" i="57"/>
  <c r="G22" i="57"/>
  <c r="G21" i="57"/>
  <c r="G20" i="57"/>
  <c r="G19" i="57"/>
  <c r="G18" i="57"/>
  <c r="G17" i="57"/>
  <c r="G16" i="57"/>
  <c r="G15" i="57"/>
  <c r="F34" i="58" l="1"/>
  <c r="H34" i="58" s="1"/>
  <c r="F23" i="58"/>
  <c r="H23" i="58" s="1"/>
  <c r="F21" i="58"/>
  <c r="H21" i="58" s="1"/>
  <c r="F19" i="58"/>
  <c r="H19" i="58" s="1"/>
  <c r="F16" i="58"/>
  <c r="H16" i="58" s="1"/>
  <c r="F25" i="58"/>
  <c r="H25" i="58" s="1"/>
  <c r="F24" i="58"/>
  <c r="H24" i="58" s="1"/>
  <c r="F22" i="58"/>
  <c r="H22" i="58" s="1"/>
  <c r="F20" i="58"/>
  <c r="H20" i="58" s="1"/>
  <c r="F17" i="58"/>
  <c r="H17" i="58" s="1"/>
  <c r="F30" i="58"/>
  <c r="H30" i="58" s="1"/>
  <c r="F18" i="58"/>
  <c r="H18" i="58" s="1"/>
  <c r="F35" i="58"/>
  <c r="H35" i="58" s="1"/>
  <c r="F31" i="58"/>
  <c r="H31" i="58" s="1"/>
  <c r="H15" i="58"/>
  <c r="H26" i="58" l="1"/>
  <c r="F32" i="20" l="1"/>
  <c r="D35" i="56" l="1"/>
  <c r="B35" i="56"/>
  <c r="F20" i="56"/>
  <c r="E20" i="56"/>
  <c r="B20" i="56"/>
  <c r="F19" i="56"/>
  <c r="E19" i="56"/>
  <c r="B19" i="56"/>
  <c r="E18" i="56"/>
  <c r="F18" i="56"/>
  <c r="B18" i="56"/>
  <c r="L13" i="28" l="1"/>
  <c r="L14" i="28" s="1"/>
  <c r="F33" i="30" l="1"/>
  <c r="F33" i="32"/>
  <c r="F33" i="28"/>
  <c r="F32" i="28"/>
  <c r="F33" i="29" l="1"/>
  <c r="B11" i="53" l="1"/>
  <c r="D39" i="51"/>
  <c r="B39" i="51"/>
  <c r="B11" i="51"/>
  <c r="D39" i="40"/>
  <c r="B40" i="40"/>
  <c r="B39" i="40"/>
  <c r="B32" i="40"/>
  <c r="B25" i="40"/>
  <c r="B24" i="40"/>
  <c r="B23" i="40"/>
  <c r="B22" i="40"/>
  <c r="D39" i="39"/>
  <c r="B40" i="39"/>
  <c r="B39" i="39"/>
  <c r="B25" i="39"/>
  <c r="B24" i="39"/>
  <c r="B23" i="39"/>
  <c r="B22" i="39"/>
  <c r="B11" i="39"/>
  <c r="D39" i="38"/>
  <c r="B40" i="38"/>
  <c r="B39" i="38"/>
  <c r="B32" i="38"/>
  <c r="B22" i="38"/>
  <c r="D39" i="37"/>
  <c r="B39" i="37"/>
  <c r="B22" i="37"/>
  <c r="D39" i="36"/>
  <c r="B40" i="36"/>
  <c r="B39" i="36"/>
  <c r="B23" i="36"/>
  <c r="D39" i="35"/>
  <c r="B40" i="35"/>
  <c r="B39" i="35"/>
  <c r="B32" i="35"/>
  <c r="B25" i="35"/>
  <c r="B24" i="35"/>
  <c r="B23" i="35"/>
  <c r="D39" i="32"/>
  <c r="B40" i="32"/>
  <c r="B39" i="32"/>
  <c r="H33" i="32"/>
  <c r="B33" i="32"/>
  <c r="B32" i="32"/>
  <c r="B24" i="32"/>
  <c r="B23" i="32"/>
  <c r="B22" i="32"/>
  <c r="B11" i="32"/>
  <c r="D39" i="34"/>
  <c r="B40" i="34"/>
  <c r="B39" i="34"/>
  <c r="B32" i="34"/>
  <c r="B23" i="34"/>
  <c r="B22" i="34"/>
  <c r="B11" i="34"/>
  <c r="D39" i="33"/>
  <c r="B40" i="33"/>
  <c r="B39" i="33"/>
  <c r="B23" i="33"/>
  <c r="B22" i="33"/>
  <c r="B11" i="33"/>
  <c r="D39" i="31"/>
  <c r="B40" i="31"/>
  <c r="B39" i="31"/>
  <c r="B32" i="31"/>
  <c r="B24" i="31"/>
  <c r="B23" i="31"/>
  <c r="B40" i="30"/>
  <c r="D39" i="30"/>
  <c r="B39" i="30"/>
  <c r="H33" i="30"/>
  <c r="B33" i="30"/>
  <c r="B32" i="30"/>
  <c r="B26" i="30"/>
  <c r="B25" i="30"/>
  <c r="B24" i="30"/>
  <c r="B23" i="30"/>
  <c r="B22" i="30"/>
  <c r="B11" i="30"/>
  <c r="D39" i="29"/>
  <c r="B40" i="29"/>
  <c r="B39" i="29"/>
  <c r="H33" i="29"/>
  <c r="B33" i="29"/>
  <c r="B32" i="29"/>
  <c r="B26" i="29"/>
  <c r="B25" i="29"/>
  <c r="B24" i="29"/>
  <c r="B23" i="29"/>
  <c r="B22" i="29"/>
  <c r="B12" i="29"/>
  <c r="B11" i="29"/>
  <c r="D39" i="28"/>
  <c r="B40" i="28"/>
  <c r="B39" i="28"/>
  <c r="G33" i="28"/>
  <c r="H33" i="28" s="1"/>
  <c r="B33" i="28"/>
  <c r="B32" i="28"/>
  <c r="B26" i="28"/>
  <c r="B25" i="28"/>
  <c r="B24" i="28"/>
  <c r="B23" i="28"/>
  <c r="B22" i="28"/>
  <c r="B12" i="28"/>
  <c r="B11" i="28"/>
  <c r="D39" i="27"/>
  <c r="B40" i="27"/>
  <c r="B39" i="27"/>
  <c r="B12" i="27"/>
  <c r="B11" i="27"/>
  <c r="G40" i="26"/>
  <c r="D41" i="26"/>
  <c r="D39" i="26"/>
  <c r="B41" i="26"/>
  <c r="B40" i="26"/>
  <c r="B39" i="26"/>
  <c r="B25" i="26"/>
  <c r="B24" i="26"/>
  <c r="B23" i="26"/>
  <c r="B22" i="26"/>
  <c r="B13" i="26"/>
  <c r="B12" i="26"/>
  <c r="B11" i="26"/>
  <c r="D39" i="25"/>
  <c r="D41" i="25"/>
  <c r="B41" i="25"/>
  <c r="B40" i="25"/>
  <c r="B39" i="25"/>
  <c r="B25" i="25"/>
  <c r="B24" i="25"/>
  <c r="B23" i="25"/>
  <c r="B22" i="25"/>
  <c r="B12" i="25"/>
  <c r="B11" i="25"/>
  <c r="D39" i="24"/>
  <c r="B40" i="24"/>
  <c r="B39" i="24"/>
  <c r="B12" i="24"/>
  <c r="B11" i="24"/>
  <c r="D39" i="23" l="1"/>
  <c r="B40" i="23"/>
  <c r="B39" i="23"/>
  <c r="B27" i="23"/>
  <c r="B26" i="23"/>
  <c r="B25" i="23"/>
  <c r="B24" i="23"/>
  <c r="B23" i="23"/>
  <c r="B22" i="23"/>
  <c r="B16" i="23"/>
  <c r="B15" i="23"/>
  <c r="B14" i="23"/>
  <c r="B13" i="23"/>
  <c r="B12" i="23"/>
  <c r="B11" i="23"/>
  <c r="D39" i="22"/>
  <c r="B39" i="22"/>
  <c r="B22" i="22"/>
  <c r="B13" i="22"/>
  <c r="B12" i="22"/>
  <c r="B11" i="22"/>
  <c r="D39" i="21"/>
  <c r="B39" i="21"/>
  <c r="B22" i="21"/>
  <c r="B13" i="21"/>
  <c r="B12" i="21"/>
  <c r="B11" i="21"/>
  <c r="D39" i="20"/>
  <c r="B39" i="20"/>
  <c r="E22" i="20"/>
  <c r="B22" i="20"/>
  <c r="B13" i="20"/>
  <c r="B13" i="19"/>
  <c r="B12" i="20"/>
  <c r="B11" i="20"/>
  <c r="D39" i="19"/>
  <c r="B39" i="19"/>
  <c r="B12" i="19"/>
  <c r="B11" i="19"/>
  <c r="D39" i="18"/>
  <c r="B39" i="18"/>
  <c r="B11" i="18"/>
  <c r="D39" i="17"/>
  <c r="D41" i="17"/>
  <c r="B41" i="17"/>
  <c r="B40" i="17"/>
  <c r="B39" i="17"/>
  <c r="B25" i="17"/>
  <c r="B24" i="17"/>
  <c r="B23" i="17"/>
  <c r="B22" i="17"/>
  <c r="B13" i="17"/>
  <c r="B12" i="17"/>
  <c r="B11" i="17"/>
  <c r="E36" i="56"/>
  <c r="E35" i="56"/>
  <c r="E40" i="53"/>
  <c r="E39" i="53"/>
  <c r="E40" i="51"/>
  <c r="E39" i="51"/>
  <c r="E40" i="40"/>
  <c r="E39" i="40"/>
  <c r="E40" i="39"/>
  <c r="E39" i="39"/>
  <c r="E42" i="38"/>
  <c r="E41" i="38"/>
  <c r="E40" i="38"/>
  <c r="E39" i="38"/>
  <c r="E39" i="37"/>
  <c r="E40" i="36"/>
  <c r="E39" i="36"/>
  <c r="E40" i="35"/>
  <c r="E39" i="35"/>
  <c r="E40" i="32"/>
  <c r="E39" i="32"/>
  <c r="E40" i="34"/>
  <c r="E39" i="34"/>
  <c r="E40" i="33"/>
  <c r="E39" i="33"/>
  <c r="E40" i="31"/>
  <c r="E39" i="31"/>
  <c r="E40" i="30"/>
  <c r="E39" i="30"/>
  <c r="E40" i="29"/>
  <c r="E39" i="29"/>
  <c r="E40" i="28"/>
  <c r="E39" i="28"/>
  <c r="E42" i="27"/>
  <c r="E41" i="27"/>
  <c r="E40" i="27"/>
  <c r="E39" i="27"/>
  <c r="E41" i="26"/>
  <c r="F41" i="26" s="1"/>
  <c r="E40" i="26"/>
  <c r="E39" i="26"/>
  <c r="E42" i="25"/>
  <c r="E41" i="25"/>
  <c r="F41" i="25" s="1"/>
  <c r="E40" i="25"/>
  <c r="E39" i="25"/>
  <c r="E40" i="24"/>
  <c r="E39" i="24"/>
  <c r="E40" i="23"/>
  <c r="E39" i="23"/>
  <c r="E39" i="22"/>
  <c r="E39" i="21"/>
  <c r="E39" i="20"/>
  <c r="E39" i="19"/>
  <c r="E42" i="18"/>
  <c r="E41" i="18"/>
  <c r="E40" i="18"/>
  <c r="E39" i="18"/>
  <c r="E42" i="17"/>
  <c r="E41" i="17"/>
  <c r="E40" i="17"/>
  <c r="E39" i="17"/>
  <c r="E40" i="16"/>
  <c r="E39" i="16"/>
  <c r="D39" i="16"/>
  <c r="B40" i="16"/>
  <c r="B39" i="16"/>
  <c r="B11" i="16"/>
  <c r="D39" i="15"/>
  <c r="B40" i="15"/>
  <c r="B39" i="15"/>
  <c r="B11" i="15"/>
  <c r="G48" i="56"/>
  <c r="G47" i="56"/>
  <c r="G46" i="56"/>
  <c r="G52" i="53"/>
  <c r="G51" i="53"/>
  <c r="G50" i="53"/>
  <c r="G52" i="51"/>
  <c r="G51" i="51"/>
  <c r="G50" i="51"/>
  <c r="G52" i="40"/>
  <c r="G51" i="40"/>
  <c r="G50" i="40"/>
  <c r="G52" i="39"/>
  <c r="G51" i="39"/>
  <c r="G50" i="39"/>
  <c r="G52" i="38"/>
  <c r="G51" i="38"/>
  <c r="G50" i="38"/>
  <c r="G52" i="37"/>
  <c r="G51" i="37"/>
  <c r="G50" i="37"/>
  <c r="G52" i="36"/>
  <c r="G51" i="36"/>
  <c r="G50" i="36"/>
  <c r="G52" i="35"/>
  <c r="G51" i="35"/>
  <c r="G50" i="35"/>
  <c r="G52" i="32"/>
  <c r="G51" i="32"/>
  <c r="G50" i="32"/>
  <c r="G52" i="34"/>
  <c r="G51" i="34"/>
  <c r="G50" i="34"/>
  <c r="G52" i="33"/>
  <c r="G51" i="33"/>
  <c r="G50" i="33"/>
  <c r="G52" i="31"/>
  <c r="G51" i="31"/>
  <c r="G50" i="31"/>
  <c r="G52" i="30"/>
  <c r="G51" i="30"/>
  <c r="G50" i="30"/>
  <c r="G52" i="29"/>
  <c r="G51" i="29"/>
  <c r="G50" i="29"/>
  <c r="G52" i="28"/>
  <c r="G51" i="28"/>
  <c r="G50" i="28"/>
  <c r="G52" i="27"/>
  <c r="G51" i="27"/>
  <c r="G50" i="27"/>
  <c r="G52" i="26"/>
  <c r="G51" i="26"/>
  <c r="G50" i="26"/>
  <c r="G52" i="25"/>
  <c r="G51" i="25"/>
  <c r="G50" i="25"/>
  <c r="G52" i="24"/>
  <c r="G51" i="24"/>
  <c r="G50" i="24"/>
  <c r="G52" i="23"/>
  <c r="G51" i="23"/>
  <c r="G50" i="23"/>
  <c r="G52" i="22"/>
  <c r="G51" i="22"/>
  <c r="G50" i="22"/>
  <c r="G52" i="21"/>
  <c r="G51" i="21"/>
  <c r="G50" i="21"/>
  <c r="G52" i="20"/>
  <c r="G51" i="20"/>
  <c r="G50" i="20"/>
  <c r="G52" i="19"/>
  <c r="G51" i="19"/>
  <c r="G50" i="19"/>
  <c r="G52" i="18"/>
  <c r="G51" i="18"/>
  <c r="G50" i="18"/>
  <c r="G52" i="17"/>
  <c r="G51" i="17"/>
  <c r="G50" i="17"/>
  <c r="G52" i="16"/>
  <c r="G51" i="16"/>
  <c r="G50" i="16"/>
  <c r="G52" i="15"/>
  <c r="G51" i="15"/>
  <c r="G50" i="15"/>
  <c r="G52" i="14"/>
  <c r="G51" i="14"/>
  <c r="G50" i="14"/>
  <c r="E40" i="14"/>
  <c r="E39" i="14"/>
  <c r="B40" i="14"/>
  <c r="B39" i="14"/>
  <c r="B13" i="14"/>
  <c r="B12" i="14"/>
  <c r="B11" i="14"/>
  <c r="D41" i="13"/>
  <c r="B41" i="13"/>
  <c r="B40" i="13"/>
  <c r="B39" i="13"/>
  <c r="D39" i="9"/>
  <c r="B39" i="9"/>
  <c r="E26" i="57"/>
  <c r="G26" i="57" s="1"/>
  <c r="D40" i="23"/>
  <c r="C15" i="8"/>
  <c r="C16" i="8" s="1"/>
  <c r="E41" i="13"/>
  <c r="E40" i="13"/>
  <c r="E39" i="13"/>
  <c r="H22" i="13"/>
  <c r="I29" i="13" s="1"/>
  <c r="E22" i="13"/>
  <c r="B22" i="13"/>
  <c r="B11" i="13"/>
  <c r="D40" i="13" l="1"/>
  <c r="D40" i="16"/>
  <c r="L14" i="69"/>
  <c r="M14" i="69" s="1"/>
  <c r="L9" i="65"/>
  <c r="D40" i="39"/>
  <c r="D40" i="35"/>
  <c r="D40" i="32"/>
  <c r="D40" i="30"/>
  <c r="D40" i="27"/>
  <c r="D40" i="31"/>
  <c r="D40" i="24"/>
  <c r="D40" i="25"/>
  <c r="D40" i="40"/>
  <c r="D40" i="38"/>
  <c r="D40" i="36"/>
  <c r="D40" i="28"/>
  <c r="D40" i="33"/>
  <c r="D40" i="34"/>
  <c r="D40" i="26"/>
  <c r="D40" i="14"/>
  <c r="D40" i="15"/>
  <c r="D40" i="17"/>
  <c r="D39" i="13" l="1"/>
  <c r="D39" i="8"/>
  <c r="F39" i="8" s="1"/>
  <c r="Q87" i="69"/>
  <c r="P67" i="65"/>
  <c r="Q67" i="65" s="1"/>
  <c r="G52" i="13"/>
  <c r="G51" i="13"/>
  <c r="G50" i="13"/>
  <c r="A3" i="7"/>
  <c r="B12" i="9"/>
  <c r="B11" i="9"/>
  <c r="I7" i="51"/>
  <c r="I6" i="51"/>
  <c r="I7" i="40"/>
  <c r="I6" i="40"/>
  <c r="I7" i="39"/>
  <c r="I6" i="39"/>
  <c r="I7" i="38"/>
  <c r="I6" i="38"/>
  <c r="I7" i="37"/>
  <c r="I6" i="37"/>
  <c r="I7" i="36"/>
  <c r="I6" i="36"/>
  <c r="I7" i="35"/>
  <c r="I6" i="35"/>
  <c r="I7" i="32"/>
  <c r="I6" i="32"/>
  <c r="I7" i="34"/>
  <c r="I6" i="34"/>
  <c r="I7" i="33"/>
  <c r="I6" i="33"/>
  <c r="I7" i="31"/>
  <c r="I6" i="31"/>
  <c r="I7" i="30"/>
  <c r="I6" i="30"/>
  <c r="I7" i="29"/>
  <c r="I6" i="29"/>
  <c r="I7" i="28"/>
  <c r="I6" i="28"/>
  <c r="I7" i="27"/>
  <c r="I6" i="27"/>
  <c r="I6" i="26"/>
  <c r="I6" i="25"/>
  <c r="I6" i="24"/>
  <c r="C39" i="8" l="1"/>
  <c r="P17" i="8"/>
  <c r="E34" i="87"/>
  <c r="D15" i="83"/>
  <c r="E15" i="83" s="1"/>
  <c r="G15" i="83" s="1"/>
  <c r="H15" i="83" s="1"/>
  <c r="C32" i="58"/>
  <c r="E32" i="58" s="1"/>
  <c r="F36" i="56"/>
  <c r="G36" i="56"/>
  <c r="F35" i="56"/>
  <c r="H28" i="56"/>
  <c r="I32" i="56" s="1"/>
  <c r="H23" i="56"/>
  <c r="H22" i="56"/>
  <c r="H21" i="56"/>
  <c r="H20" i="56"/>
  <c r="H19" i="56"/>
  <c r="H18" i="56"/>
  <c r="B4" i="56"/>
  <c r="H27" i="53"/>
  <c r="H26" i="53"/>
  <c r="H25" i="53"/>
  <c r="H24" i="53"/>
  <c r="H23" i="53"/>
  <c r="H22" i="53"/>
  <c r="B4" i="53"/>
  <c r="F40" i="51"/>
  <c r="G40" i="51"/>
  <c r="F39" i="51"/>
  <c r="H39" i="51" s="1"/>
  <c r="H32" i="51"/>
  <c r="I36" i="51" s="1"/>
  <c r="H11" i="51"/>
  <c r="B4" i="51"/>
  <c r="F40" i="40"/>
  <c r="G40" i="40"/>
  <c r="F39" i="40"/>
  <c r="H32" i="40"/>
  <c r="I36" i="40" s="1"/>
  <c r="H27" i="40"/>
  <c r="H26" i="40"/>
  <c r="H25" i="40"/>
  <c r="H24" i="40"/>
  <c r="H23" i="40"/>
  <c r="H22" i="40"/>
  <c r="B4" i="40"/>
  <c r="F40" i="39"/>
  <c r="G40" i="39"/>
  <c r="F39" i="39"/>
  <c r="H32" i="39"/>
  <c r="I36" i="39" s="1"/>
  <c r="H25" i="39"/>
  <c r="H24" i="39"/>
  <c r="H23" i="39"/>
  <c r="H22" i="39"/>
  <c r="H11" i="39"/>
  <c r="B4" i="39"/>
  <c r="F40" i="38"/>
  <c r="G40" i="38"/>
  <c r="F39" i="38"/>
  <c r="D32" i="38"/>
  <c r="F32" i="38" s="1"/>
  <c r="H32" i="38" s="1"/>
  <c r="H22" i="38"/>
  <c r="I29" i="38" s="1"/>
  <c r="B4" i="38"/>
  <c r="F39" i="37"/>
  <c r="H32" i="37"/>
  <c r="I36" i="37" s="1"/>
  <c r="H22" i="37"/>
  <c r="I29" i="37" s="1"/>
  <c r="B4" i="37"/>
  <c r="F40" i="36"/>
  <c r="G40" i="36"/>
  <c r="F39" i="36"/>
  <c r="H32" i="36"/>
  <c r="I36" i="36" s="1"/>
  <c r="H27" i="36"/>
  <c r="H26" i="36"/>
  <c r="H25" i="36"/>
  <c r="H24" i="36"/>
  <c r="H23" i="36"/>
  <c r="B4" i="36"/>
  <c r="F40" i="35"/>
  <c r="G40" i="35"/>
  <c r="F39" i="35"/>
  <c r="D32" i="35"/>
  <c r="F32" i="35" s="1"/>
  <c r="H32" i="35" s="1"/>
  <c r="H25" i="35"/>
  <c r="H24" i="35"/>
  <c r="H23" i="35"/>
  <c r="B4" i="35"/>
  <c r="F40" i="34"/>
  <c r="G40" i="34"/>
  <c r="F39" i="34"/>
  <c r="D32" i="34"/>
  <c r="F32" i="34" s="1"/>
  <c r="H32" i="34" s="1"/>
  <c r="H23" i="34"/>
  <c r="H22" i="34"/>
  <c r="B4" i="34"/>
  <c r="F40" i="33"/>
  <c r="G40" i="33"/>
  <c r="F39" i="33"/>
  <c r="H32" i="33"/>
  <c r="I36" i="33" s="1"/>
  <c r="H27" i="33"/>
  <c r="H26" i="33"/>
  <c r="H25" i="33"/>
  <c r="H23" i="33"/>
  <c r="H22" i="33"/>
  <c r="B4" i="33"/>
  <c r="F40" i="32"/>
  <c r="G40" i="32"/>
  <c r="F39" i="32"/>
  <c r="F32" i="32"/>
  <c r="H32" i="32" s="1"/>
  <c r="H27" i="32"/>
  <c r="H26" i="32"/>
  <c r="H25" i="32"/>
  <c r="H24" i="32"/>
  <c r="H23" i="32"/>
  <c r="H22" i="32"/>
  <c r="B4" i="32"/>
  <c r="F40" i="31"/>
  <c r="F39" i="31"/>
  <c r="F32" i="31"/>
  <c r="H32" i="31" s="1"/>
  <c r="H24" i="31"/>
  <c r="H23" i="31"/>
  <c r="H25" i="31" s="1"/>
  <c r="B4" i="31"/>
  <c r="F40" i="30"/>
  <c r="F39" i="30"/>
  <c r="F32" i="30"/>
  <c r="H32" i="30" s="1"/>
  <c r="H26" i="30"/>
  <c r="H25" i="30"/>
  <c r="H24" i="30"/>
  <c r="H23" i="30"/>
  <c r="H22" i="30"/>
  <c r="B4" i="30"/>
  <c r="F40" i="29"/>
  <c r="G40" i="29"/>
  <c r="F39" i="29"/>
  <c r="F32" i="29"/>
  <c r="H32" i="29" s="1"/>
  <c r="H26" i="29"/>
  <c r="H25" i="29"/>
  <c r="H24" i="29"/>
  <c r="H23" i="29"/>
  <c r="H22" i="29"/>
  <c r="B4" i="29"/>
  <c r="F40" i="28"/>
  <c r="F39" i="28"/>
  <c r="H32" i="28"/>
  <c r="H26" i="28"/>
  <c r="H25" i="28"/>
  <c r="H24" i="28"/>
  <c r="H23" i="28"/>
  <c r="H22" i="28"/>
  <c r="B4" i="28"/>
  <c r="F40" i="27"/>
  <c r="G40" i="27"/>
  <c r="F39" i="27"/>
  <c r="H27" i="27"/>
  <c r="H26" i="27"/>
  <c r="H25" i="27"/>
  <c r="H24" i="27"/>
  <c r="H23" i="27"/>
  <c r="H22" i="27"/>
  <c r="B4" i="27"/>
  <c r="F40" i="26"/>
  <c r="G41" i="26"/>
  <c r="H41" i="26" s="1"/>
  <c r="F39" i="26"/>
  <c r="H25" i="26"/>
  <c r="H24" i="26"/>
  <c r="H23" i="26"/>
  <c r="H22" i="26"/>
  <c r="H13" i="26"/>
  <c r="B4" i="26"/>
  <c r="F40" i="25"/>
  <c r="G40" i="25"/>
  <c r="F39" i="25"/>
  <c r="H25" i="25"/>
  <c r="H24" i="25"/>
  <c r="H23" i="25"/>
  <c r="H22" i="25"/>
  <c r="B4" i="25"/>
  <c r="B4" i="24"/>
  <c r="F40" i="24"/>
  <c r="G40" i="24"/>
  <c r="F39" i="24"/>
  <c r="H27" i="24"/>
  <c r="H26" i="24"/>
  <c r="H25" i="24"/>
  <c r="H24" i="24"/>
  <c r="H23" i="24"/>
  <c r="H22" i="24"/>
  <c r="B4" i="23"/>
  <c r="F40" i="23"/>
  <c r="G40" i="23"/>
  <c r="F39" i="23"/>
  <c r="D32" i="23"/>
  <c r="F32" i="23" s="1"/>
  <c r="H32" i="23" s="1"/>
  <c r="B32" i="23"/>
  <c r="H27" i="23"/>
  <c r="H26" i="23"/>
  <c r="H25" i="23"/>
  <c r="H24" i="23"/>
  <c r="H23" i="23"/>
  <c r="H22" i="23"/>
  <c r="B4" i="22"/>
  <c r="B4" i="21"/>
  <c r="B4" i="20"/>
  <c r="B4" i="19"/>
  <c r="B4" i="18"/>
  <c r="B4" i="17"/>
  <c r="G39" i="22"/>
  <c r="F32" i="22"/>
  <c r="H22" i="22"/>
  <c r="I29" i="22" s="1"/>
  <c r="G12" i="22"/>
  <c r="G13" i="22" s="1"/>
  <c r="H11" i="22"/>
  <c r="G39" i="21"/>
  <c r="F39" i="21"/>
  <c r="F32" i="21"/>
  <c r="H22" i="21"/>
  <c r="I29" i="21" s="1"/>
  <c r="G12" i="21"/>
  <c r="G13" i="21" s="1"/>
  <c r="H11" i="21"/>
  <c r="G39" i="20"/>
  <c r="H23" i="20"/>
  <c r="H22" i="20"/>
  <c r="G12" i="20"/>
  <c r="G13" i="20" s="1"/>
  <c r="F39" i="19"/>
  <c r="H39" i="19" s="1"/>
  <c r="I45" i="19" s="1"/>
  <c r="H13" i="19"/>
  <c r="H12" i="19"/>
  <c r="F39" i="18"/>
  <c r="H39" i="18" s="1"/>
  <c r="H11" i="18"/>
  <c r="G41" i="17"/>
  <c r="G40" i="17"/>
  <c r="G39" i="17"/>
  <c r="H25" i="17"/>
  <c r="H24" i="17"/>
  <c r="H23" i="17"/>
  <c r="H22" i="17"/>
  <c r="H13" i="17"/>
  <c r="B4" i="16"/>
  <c r="F39" i="16"/>
  <c r="B4" i="15"/>
  <c r="F40" i="15"/>
  <c r="H40" i="15" s="1"/>
  <c r="F39" i="15"/>
  <c r="H39" i="15" s="1"/>
  <c r="F32" i="15"/>
  <c r="B4" i="14"/>
  <c r="H13" i="14"/>
  <c r="F32" i="58" l="1"/>
  <c r="H32" i="58" s="1"/>
  <c r="F34" i="87"/>
  <c r="N34" i="87" s="1"/>
  <c r="N42" i="87" s="1"/>
  <c r="N55" i="87" s="1"/>
  <c r="H40" i="28"/>
  <c r="L28" i="69"/>
  <c r="M28" i="69" s="1"/>
  <c r="L21" i="65"/>
  <c r="N66" i="69"/>
  <c r="O66" i="69" s="1"/>
  <c r="L58" i="65"/>
  <c r="P21" i="69"/>
  <c r="Q21" i="69" s="1"/>
  <c r="P16" i="65"/>
  <c r="N57" i="69"/>
  <c r="O57" i="69" s="1"/>
  <c r="N43" i="65"/>
  <c r="N62" i="69"/>
  <c r="O62" i="69" s="1"/>
  <c r="N47" i="65"/>
  <c r="N58" i="65"/>
  <c r="N79" i="69"/>
  <c r="O79" i="69" s="1"/>
  <c r="O81" i="69" s="1"/>
  <c r="N66" i="65"/>
  <c r="L27" i="69"/>
  <c r="M27" i="69" s="1"/>
  <c r="L20" i="65"/>
  <c r="L60" i="69"/>
  <c r="L45" i="65"/>
  <c r="L61" i="69"/>
  <c r="M61" i="69" s="1"/>
  <c r="L46" i="65"/>
  <c r="N52" i="65"/>
  <c r="N53" i="65"/>
  <c r="L59" i="65"/>
  <c r="N51" i="69"/>
  <c r="O51" i="69" s="1"/>
  <c r="N38" i="65"/>
  <c r="N60" i="69"/>
  <c r="O60" i="69" s="1"/>
  <c r="N45" i="65"/>
  <c r="N54" i="65"/>
  <c r="N55" i="65"/>
  <c r="N56" i="65"/>
  <c r="N57" i="65"/>
  <c r="N59" i="65"/>
  <c r="N62" i="65"/>
  <c r="N63" i="65"/>
  <c r="N49" i="65"/>
  <c r="H40" i="29"/>
  <c r="H40" i="39"/>
  <c r="I45" i="15"/>
  <c r="H39" i="23"/>
  <c r="I29" i="34"/>
  <c r="H39" i="16"/>
  <c r="I29" i="17"/>
  <c r="I45" i="18"/>
  <c r="I29" i="20"/>
  <c r="H12" i="22"/>
  <c r="I29" i="23"/>
  <c r="I29" i="24"/>
  <c r="I29" i="25"/>
  <c r="I29" i="40"/>
  <c r="I25" i="56"/>
  <c r="H36" i="56"/>
  <c r="H12" i="21"/>
  <c r="H39" i="21"/>
  <c r="I45" i="21" s="1"/>
  <c r="I29" i="27"/>
  <c r="H40" i="38"/>
  <c r="I29" i="53"/>
  <c r="I29" i="26"/>
  <c r="I29" i="32"/>
  <c r="I29" i="39"/>
  <c r="I29" i="33"/>
  <c r="I36" i="28"/>
  <c r="I36" i="31"/>
  <c r="I36" i="29"/>
  <c r="I36" i="34"/>
  <c r="I36" i="32"/>
  <c r="I36" i="30"/>
  <c r="I36" i="23"/>
  <c r="I36" i="35"/>
  <c r="I36" i="38"/>
  <c r="I36" i="27"/>
  <c r="I36" i="53"/>
  <c r="I36" i="25"/>
  <c r="I36" i="26"/>
  <c r="H40" i="32"/>
  <c r="H40" i="34"/>
  <c r="H27" i="30"/>
  <c r="F22" i="31" s="1"/>
  <c r="H27" i="29"/>
  <c r="I29" i="29" s="1"/>
  <c r="H27" i="28"/>
  <c r="I29" i="28" s="1"/>
  <c r="H40" i="25"/>
  <c r="G41" i="25"/>
  <c r="H41" i="25" s="1"/>
  <c r="H39" i="24"/>
  <c r="H40" i="24"/>
  <c r="H40" i="51"/>
  <c r="I45" i="51" s="1"/>
  <c r="H40" i="40"/>
  <c r="H40" i="36"/>
  <c r="H40" i="35"/>
  <c r="H40" i="33"/>
  <c r="H40" i="31"/>
  <c r="H40" i="30"/>
  <c r="H40" i="27"/>
  <c r="H40" i="26"/>
  <c r="H35" i="56"/>
  <c r="H17" i="53"/>
  <c r="H39" i="40"/>
  <c r="H39" i="39"/>
  <c r="H39" i="38"/>
  <c r="H39" i="37"/>
  <c r="I45" i="37" s="1"/>
  <c r="H39" i="36"/>
  <c r="H39" i="35"/>
  <c r="H39" i="34"/>
  <c r="H39" i="33"/>
  <c r="H39" i="32"/>
  <c r="H39" i="31"/>
  <c r="H39" i="30"/>
  <c r="H39" i="29"/>
  <c r="H39" i="28"/>
  <c r="H39" i="27"/>
  <c r="H39" i="26"/>
  <c r="H39" i="25"/>
  <c r="H40" i="23"/>
  <c r="F39" i="14"/>
  <c r="H39" i="14" s="1"/>
  <c r="F40" i="14"/>
  <c r="H40" i="14" s="1"/>
  <c r="F40" i="16"/>
  <c r="H40" i="16" s="1"/>
  <c r="F39" i="17"/>
  <c r="H39" i="17" s="1"/>
  <c r="F40" i="17"/>
  <c r="H40" i="17" s="1"/>
  <c r="F41" i="17"/>
  <c r="H41" i="17" s="1"/>
  <c r="F39" i="20"/>
  <c r="H39" i="20" s="1"/>
  <c r="I45" i="20" s="1"/>
  <c r="H13" i="20"/>
  <c r="H12" i="20"/>
  <c r="F39" i="22"/>
  <c r="H39" i="22" s="1"/>
  <c r="H32" i="22"/>
  <c r="H32" i="21"/>
  <c r="G34" i="87" l="1"/>
  <c r="G41" i="87" s="1"/>
  <c r="G42" i="87" s="1"/>
  <c r="I41" i="56"/>
  <c r="H13" i="56" s="1"/>
  <c r="I15" i="56" s="1"/>
  <c r="I45" i="26"/>
  <c r="P41" i="69" s="1"/>
  <c r="Q41" i="69" s="1"/>
  <c r="I45" i="34"/>
  <c r="I45" i="27"/>
  <c r="I45" i="35"/>
  <c r="H17" i="35" s="1"/>
  <c r="I45" i="39"/>
  <c r="M30" i="69"/>
  <c r="P79" i="69"/>
  <c r="Q79" i="69" s="1"/>
  <c r="Q81" i="69" s="1"/>
  <c r="P66" i="65"/>
  <c r="N40" i="69"/>
  <c r="O40" i="69" s="1"/>
  <c r="N56" i="69"/>
  <c r="O56" i="69" s="1"/>
  <c r="N52" i="69"/>
  <c r="O52" i="69" s="1"/>
  <c r="L62" i="65"/>
  <c r="L62" i="69"/>
  <c r="M62" i="69" s="1"/>
  <c r="L47" i="65"/>
  <c r="P27" i="69"/>
  <c r="Q27" i="69" s="1"/>
  <c r="P20" i="65"/>
  <c r="L33" i="69"/>
  <c r="M33" i="69" s="1"/>
  <c r="M35" i="69" s="1"/>
  <c r="L24" i="65"/>
  <c r="L18" i="69"/>
  <c r="M18" i="69" s="1"/>
  <c r="L13" i="65"/>
  <c r="I45" i="23"/>
  <c r="H17" i="23" s="1"/>
  <c r="L54" i="65"/>
  <c r="P22" i="69"/>
  <c r="Q22" i="69" s="1"/>
  <c r="P17" i="65"/>
  <c r="P60" i="69"/>
  <c r="Q60" i="69" s="1"/>
  <c r="P45" i="65"/>
  <c r="R45" i="65" s="1"/>
  <c r="L45" i="69"/>
  <c r="M45" i="69" s="1"/>
  <c r="L33" i="65"/>
  <c r="N84" i="69"/>
  <c r="N33" i="69"/>
  <c r="O33" i="69" s="1"/>
  <c r="O35" i="69" s="1"/>
  <c r="N46" i="69"/>
  <c r="O46" i="69" s="1"/>
  <c r="L53" i="65"/>
  <c r="L53" i="69"/>
  <c r="M53" i="69" s="1"/>
  <c r="L40" i="65"/>
  <c r="L63" i="65"/>
  <c r="L66" i="69"/>
  <c r="M66" i="69" s="1"/>
  <c r="L49" i="65"/>
  <c r="I45" i="16"/>
  <c r="H12" i="16" s="1"/>
  <c r="L46" i="69"/>
  <c r="M46" i="69" s="1"/>
  <c r="L34" i="65"/>
  <c r="N42" i="69"/>
  <c r="O42" i="69" s="1"/>
  <c r="N47" i="69"/>
  <c r="O47" i="69" s="1"/>
  <c r="N48" i="69"/>
  <c r="O48" i="69" s="1"/>
  <c r="L51" i="69"/>
  <c r="M51" i="69" s="1"/>
  <c r="L38" i="65"/>
  <c r="L41" i="69"/>
  <c r="M41" i="69" s="1"/>
  <c r="L30" i="65"/>
  <c r="L40" i="69"/>
  <c r="M40" i="69" s="1"/>
  <c r="L29" i="65"/>
  <c r="L22" i="69"/>
  <c r="M22" i="69" s="1"/>
  <c r="L17" i="65"/>
  <c r="L47" i="69"/>
  <c r="M47" i="69" s="1"/>
  <c r="L35" i="65"/>
  <c r="N41" i="69"/>
  <c r="O41" i="69" s="1"/>
  <c r="N61" i="69"/>
  <c r="O61" i="69" s="1"/>
  <c r="N53" i="69"/>
  <c r="O53" i="69" s="1"/>
  <c r="N45" i="69"/>
  <c r="O45" i="69" s="1"/>
  <c r="L52" i="65"/>
  <c r="L84" i="69"/>
  <c r="L42" i="69"/>
  <c r="M42" i="69" s="1"/>
  <c r="L31" i="65"/>
  <c r="L57" i="65"/>
  <c r="L39" i="69"/>
  <c r="M39" i="69" s="1"/>
  <c r="L28" i="65"/>
  <c r="P19" i="69"/>
  <c r="Q19" i="69" s="1"/>
  <c r="P14" i="65"/>
  <c r="L52" i="69"/>
  <c r="M52" i="69" s="1"/>
  <c r="L39" i="65"/>
  <c r="M60" i="69"/>
  <c r="P11" i="65"/>
  <c r="P16" i="69"/>
  <c r="Q16" i="69" s="1"/>
  <c r="N35" i="65"/>
  <c r="N36" i="65"/>
  <c r="N33" i="65"/>
  <c r="N34" i="65"/>
  <c r="N24" i="65"/>
  <c r="N46" i="65"/>
  <c r="N40" i="65"/>
  <c r="N42" i="65"/>
  <c r="N39" i="65"/>
  <c r="N30" i="65"/>
  <c r="N29" i="65"/>
  <c r="N31" i="65"/>
  <c r="I45" i="30"/>
  <c r="I45" i="24"/>
  <c r="H17" i="24" s="1"/>
  <c r="I45" i="22"/>
  <c r="I45" i="17"/>
  <c r="I45" i="31"/>
  <c r="H17" i="31" s="1"/>
  <c r="I19" i="31" s="1"/>
  <c r="I45" i="28"/>
  <c r="I45" i="32"/>
  <c r="I45" i="36"/>
  <c r="H17" i="36" s="1"/>
  <c r="I19" i="36" s="1"/>
  <c r="I45" i="40"/>
  <c r="I45" i="38"/>
  <c r="I45" i="14"/>
  <c r="H14" i="14" s="1"/>
  <c r="I45" i="25"/>
  <c r="I45" i="29"/>
  <c r="I45" i="33"/>
  <c r="H17" i="33" s="1"/>
  <c r="H12" i="18"/>
  <c r="I19" i="18" s="1"/>
  <c r="I36" i="22"/>
  <c r="I36" i="21"/>
  <c r="H12" i="15"/>
  <c r="H17" i="51"/>
  <c r="I47" i="37"/>
  <c r="H50" i="37" s="1"/>
  <c r="H17" i="40" l="1"/>
  <c r="J92" i="69"/>
  <c r="M84" i="69"/>
  <c r="M87" i="69" s="1"/>
  <c r="L70" i="65"/>
  <c r="O84" i="69"/>
  <c r="O87" i="69" s="1"/>
  <c r="N70" i="65"/>
  <c r="P57" i="65"/>
  <c r="H17" i="26"/>
  <c r="P39" i="65"/>
  <c r="P42" i="69"/>
  <c r="Q42" i="69" s="1"/>
  <c r="P30" i="65"/>
  <c r="P53" i="65"/>
  <c r="H17" i="34"/>
  <c r="P52" i="69"/>
  <c r="Q52" i="69" s="1"/>
  <c r="P62" i="65"/>
  <c r="H17" i="39"/>
  <c r="I19" i="39" s="1"/>
  <c r="J47" i="65" s="1"/>
  <c r="P62" i="69"/>
  <c r="Q62" i="69" s="1"/>
  <c r="P31" i="65"/>
  <c r="H17" i="27"/>
  <c r="P47" i="65"/>
  <c r="P56" i="69"/>
  <c r="Q56" i="69" s="1"/>
  <c r="I19" i="35"/>
  <c r="P42" i="65"/>
  <c r="R60" i="69"/>
  <c r="S60" i="69" s="1"/>
  <c r="P15" i="69"/>
  <c r="Q15" i="69" s="1"/>
  <c r="P10" i="65"/>
  <c r="P47" i="69"/>
  <c r="Q47" i="69" s="1"/>
  <c r="P35" i="65"/>
  <c r="M24" i="69"/>
  <c r="P46" i="69"/>
  <c r="Q46" i="69" s="1"/>
  <c r="P34" i="65"/>
  <c r="P61" i="69"/>
  <c r="Q61" i="69" s="1"/>
  <c r="P46" i="65"/>
  <c r="P57" i="69"/>
  <c r="Q57" i="69" s="1"/>
  <c r="P43" i="65"/>
  <c r="P63" i="65"/>
  <c r="P58" i="65"/>
  <c r="P33" i="69"/>
  <c r="Q33" i="69" s="1"/>
  <c r="Q35" i="69" s="1"/>
  <c r="P24" i="65"/>
  <c r="J62" i="65"/>
  <c r="P66" i="69"/>
  <c r="Q66" i="69" s="1"/>
  <c r="P49" i="65"/>
  <c r="P28" i="69"/>
  <c r="Q28" i="69" s="1"/>
  <c r="Q30" i="69" s="1"/>
  <c r="P21" i="65"/>
  <c r="H17" i="30"/>
  <c r="N27" i="69"/>
  <c r="O27" i="69" s="1"/>
  <c r="P56" i="65"/>
  <c r="P59" i="65"/>
  <c r="P53" i="69"/>
  <c r="Q53" i="69" s="1"/>
  <c r="P40" i="65"/>
  <c r="P39" i="69"/>
  <c r="Q39" i="69" s="1"/>
  <c r="P28" i="65"/>
  <c r="P17" i="69"/>
  <c r="Q17" i="69" s="1"/>
  <c r="P12" i="65"/>
  <c r="J56" i="65"/>
  <c r="P51" i="69"/>
  <c r="Q51" i="69" s="1"/>
  <c r="P38" i="65"/>
  <c r="P18" i="69"/>
  <c r="Q18" i="69" s="1"/>
  <c r="P13" i="65"/>
  <c r="N28" i="69"/>
  <c r="O28" i="69" s="1"/>
  <c r="P40" i="69"/>
  <c r="Q40" i="69" s="1"/>
  <c r="P29" i="65"/>
  <c r="J48" i="69"/>
  <c r="J36" i="65"/>
  <c r="J57" i="69"/>
  <c r="J43" i="65"/>
  <c r="J19" i="69"/>
  <c r="J14" i="65"/>
  <c r="P52" i="65"/>
  <c r="P54" i="65"/>
  <c r="P55" i="65"/>
  <c r="P45" i="69"/>
  <c r="Q45" i="69" s="1"/>
  <c r="P33" i="65"/>
  <c r="P48" i="69"/>
  <c r="Q48" i="69" s="1"/>
  <c r="P36" i="65"/>
  <c r="N20" i="65"/>
  <c r="N21" i="65"/>
  <c r="H17" i="25"/>
  <c r="H17" i="28"/>
  <c r="H17" i="29"/>
  <c r="I47" i="18"/>
  <c r="H17" i="38"/>
  <c r="I19" i="38" s="1"/>
  <c r="I47" i="38" s="1"/>
  <c r="H17" i="32"/>
  <c r="H14" i="17"/>
  <c r="H14" i="22"/>
  <c r="I19" i="51"/>
  <c r="I19" i="40"/>
  <c r="I43" i="56"/>
  <c r="H48" i="56" s="1"/>
  <c r="H51" i="37"/>
  <c r="H52" i="37"/>
  <c r="K92" i="69" l="1"/>
  <c r="J62" i="69"/>
  <c r="R62" i="69" s="1"/>
  <c r="S62" i="69" s="1"/>
  <c r="I47" i="39"/>
  <c r="H52" i="39" s="1"/>
  <c r="J42" i="65"/>
  <c r="J56" i="69"/>
  <c r="K56" i="69" s="1"/>
  <c r="O30" i="69"/>
  <c r="J53" i="65"/>
  <c r="J55" i="65"/>
  <c r="Q69" i="69"/>
  <c r="J52" i="65"/>
  <c r="R14" i="65"/>
  <c r="R62" i="65"/>
  <c r="J63" i="65"/>
  <c r="R19" i="69"/>
  <c r="S19" i="69" s="1"/>
  <c r="K19" i="69"/>
  <c r="J66" i="69"/>
  <c r="J49" i="65"/>
  <c r="R49" i="65" s="1"/>
  <c r="J58" i="65"/>
  <c r="J79" i="69"/>
  <c r="J66" i="65"/>
  <c r="J61" i="69"/>
  <c r="J46" i="65"/>
  <c r="R46" i="65" s="1"/>
  <c r="J54" i="65"/>
  <c r="K57" i="69"/>
  <c r="K48" i="69"/>
  <c r="R47" i="65"/>
  <c r="I53" i="37"/>
  <c r="H51" i="18"/>
  <c r="H52" i="18"/>
  <c r="H50" i="18"/>
  <c r="H50" i="38"/>
  <c r="H51" i="38"/>
  <c r="H52" i="38"/>
  <c r="I47" i="51"/>
  <c r="T73" i="69" s="1"/>
  <c r="I47" i="40"/>
  <c r="H46" i="56"/>
  <c r="H47" i="56"/>
  <c r="U73" i="69" l="1"/>
  <c r="U75" i="69" s="1"/>
  <c r="V73" i="69"/>
  <c r="W73" i="69" s="1"/>
  <c r="W75" i="69" s="1"/>
  <c r="H50" i="39"/>
  <c r="K62" i="69"/>
  <c r="H51" i="39"/>
  <c r="T62" i="65"/>
  <c r="V62" i="65" s="1"/>
  <c r="R79" i="69"/>
  <c r="S79" i="69" s="1"/>
  <c r="K79" i="69"/>
  <c r="R53" i="65"/>
  <c r="I55" i="37"/>
  <c r="T60" i="69"/>
  <c r="T45" i="65"/>
  <c r="V45" i="65" s="1"/>
  <c r="R54" i="65"/>
  <c r="R66" i="69"/>
  <c r="S66" i="69" s="1"/>
  <c r="K66" i="69"/>
  <c r="R63" i="65"/>
  <c r="R52" i="65"/>
  <c r="J59" i="65"/>
  <c r="R61" i="69"/>
  <c r="S61" i="69" s="1"/>
  <c r="K61" i="69"/>
  <c r="R66" i="65"/>
  <c r="R58" i="65"/>
  <c r="I53" i="18"/>
  <c r="I49" i="56"/>
  <c r="I51" i="56" s="1"/>
  <c r="E13" i="57" s="1"/>
  <c r="I53" i="38"/>
  <c r="H51" i="40"/>
  <c r="H52" i="40"/>
  <c r="H50" i="40"/>
  <c r="H51" i="51"/>
  <c r="H52" i="51"/>
  <c r="H50" i="51"/>
  <c r="B4" i="13"/>
  <c r="G39" i="13"/>
  <c r="G40" i="13" s="1"/>
  <c r="H11" i="24"/>
  <c r="H11" i="27"/>
  <c r="H12" i="23"/>
  <c r="H13" i="23"/>
  <c r="H11" i="13"/>
  <c r="I19" i="13" s="1"/>
  <c r="D20" i="83"/>
  <c r="F20" i="83" s="1"/>
  <c r="G20" i="83" s="1"/>
  <c r="H12" i="14"/>
  <c r="H11" i="32"/>
  <c r="I19" i="32" s="1"/>
  <c r="H11" i="23"/>
  <c r="H15" i="23"/>
  <c r="H11" i="34"/>
  <c r="I19" i="34" s="1"/>
  <c r="H11" i="33"/>
  <c r="I19" i="33" s="1"/>
  <c r="H16" i="23"/>
  <c r="I53" i="39" l="1"/>
  <c r="H32" i="9"/>
  <c r="H11" i="26"/>
  <c r="H12" i="24"/>
  <c r="I19" i="24" s="1"/>
  <c r="H11" i="25"/>
  <c r="H12" i="17"/>
  <c r="H11" i="14"/>
  <c r="I19" i="14" s="1"/>
  <c r="H12" i="25"/>
  <c r="H12" i="26"/>
  <c r="H11" i="16"/>
  <c r="I19" i="16" s="1"/>
  <c r="H11" i="15"/>
  <c r="H11" i="17"/>
  <c r="T61" i="69"/>
  <c r="I55" i="39"/>
  <c r="J57" i="65"/>
  <c r="H11" i="20"/>
  <c r="I19" i="20" s="1"/>
  <c r="H13" i="22"/>
  <c r="I19" i="22" s="1"/>
  <c r="H13" i="21"/>
  <c r="I19" i="21" s="1"/>
  <c r="H11" i="19"/>
  <c r="H11" i="53"/>
  <c r="J51" i="69"/>
  <c r="J38" i="65"/>
  <c r="I47" i="33"/>
  <c r="J52" i="69"/>
  <c r="J39" i="65"/>
  <c r="R39" i="65" s="1"/>
  <c r="I47" i="34"/>
  <c r="T19" i="69"/>
  <c r="T14" i="65"/>
  <c r="V14" i="65" s="1"/>
  <c r="U60" i="69"/>
  <c r="V60" i="69"/>
  <c r="W60" i="69" s="1"/>
  <c r="J53" i="69"/>
  <c r="J40" i="65"/>
  <c r="R40" i="65" s="1"/>
  <c r="I47" i="32"/>
  <c r="H11" i="30"/>
  <c r="I19" i="30" s="1"/>
  <c r="H11" i="28"/>
  <c r="H12" i="27"/>
  <c r="I19" i="27" s="1"/>
  <c r="H11" i="29"/>
  <c r="I36" i="24"/>
  <c r="H32" i="20"/>
  <c r="I36" i="20" s="1"/>
  <c r="I36" i="14"/>
  <c r="J14" i="69"/>
  <c r="J9" i="65"/>
  <c r="J67" i="65"/>
  <c r="H12" i="29"/>
  <c r="H12" i="28"/>
  <c r="H14" i="23"/>
  <c r="I19" i="23" s="1"/>
  <c r="R59" i="65"/>
  <c r="H60" i="69"/>
  <c r="H45" i="65"/>
  <c r="I55" i="38"/>
  <c r="T46" i="65"/>
  <c r="V46" i="65" s="1"/>
  <c r="I53" i="40"/>
  <c r="I53" i="51"/>
  <c r="I55" i="18"/>
  <c r="G13" i="57"/>
  <c r="G28" i="57" s="1"/>
  <c r="I103" i="69" s="1"/>
  <c r="I80" i="65" s="1"/>
  <c r="F41" i="13"/>
  <c r="F39" i="13"/>
  <c r="H39" i="13" s="1"/>
  <c r="F40" i="13"/>
  <c r="H40" i="13" s="1"/>
  <c r="G41" i="13"/>
  <c r="I19" i="53" l="1"/>
  <c r="G91" i="69"/>
  <c r="I19" i="19"/>
  <c r="H89" i="69"/>
  <c r="I19" i="15"/>
  <c r="H90" i="69"/>
  <c r="I60" i="69"/>
  <c r="H60" i="3"/>
  <c r="T47" i="65"/>
  <c r="V47" i="65" s="1"/>
  <c r="T62" i="69"/>
  <c r="U62" i="69" s="1"/>
  <c r="H62" i="65"/>
  <c r="H32" i="15"/>
  <c r="I36" i="15" s="1"/>
  <c r="I19" i="25"/>
  <c r="J29" i="65" s="1"/>
  <c r="R29" i="65" s="1"/>
  <c r="I19" i="29"/>
  <c r="J33" i="69"/>
  <c r="J24" i="65"/>
  <c r="R24" i="65" s="1"/>
  <c r="I47" i="23"/>
  <c r="J39" i="69"/>
  <c r="J28" i="65"/>
  <c r="I47" i="24"/>
  <c r="J42" i="69"/>
  <c r="J31" i="65"/>
  <c r="R31" i="65" s="1"/>
  <c r="I47" i="27"/>
  <c r="I55" i="51"/>
  <c r="T79" i="69"/>
  <c r="T66" i="65"/>
  <c r="V66" i="65" s="1"/>
  <c r="T66" i="69"/>
  <c r="N28" i="65"/>
  <c r="N39" i="69"/>
  <c r="O39" i="69" s="1"/>
  <c r="O69" i="69" s="1"/>
  <c r="J47" i="69"/>
  <c r="J35" i="65"/>
  <c r="R35" i="65" s="1"/>
  <c r="I47" i="30"/>
  <c r="R53" i="69"/>
  <c r="S53" i="69" s="1"/>
  <c r="K53" i="69"/>
  <c r="H52" i="33"/>
  <c r="H51" i="33"/>
  <c r="H50" i="33"/>
  <c r="J28" i="69"/>
  <c r="J21" i="65"/>
  <c r="I47" i="22"/>
  <c r="J17" i="69"/>
  <c r="J12" i="65"/>
  <c r="I47" i="16"/>
  <c r="T52" i="65"/>
  <c r="V52" i="65" s="1"/>
  <c r="R67" i="65"/>
  <c r="S67" i="65" s="1"/>
  <c r="K67" i="65"/>
  <c r="N15" i="69"/>
  <c r="O15" i="69" s="1"/>
  <c r="N10" i="65"/>
  <c r="H50" i="32"/>
  <c r="H52" i="32"/>
  <c r="H51" i="32"/>
  <c r="R38" i="65"/>
  <c r="J22" i="69"/>
  <c r="J17" i="65"/>
  <c r="I47" i="20"/>
  <c r="U61" i="69"/>
  <c r="V61" i="69"/>
  <c r="W61" i="69" s="1"/>
  <c r="T54" i="65"/>
  <c r="V54" i="65" s="1"/>
  <c r="T53" i="65"/>
  <c r="V53" i="65" s="1"/>
  <c r="T58" i="65"/>
  <c r="V58" i="65" s="1"/>
  <c r="T63" i="65"/>
  <c r="V63" i="65" s="1"/>
  <c r="H46" i="65"/>
  <c r="H61" i="69"/>
  <c r="K14" i="69"/>
  <c r="N22" i="69"/>
  <c r="O22" i="69" s="1"/>
  <c r="N17" i="65"/>
  <c r="U19" i="69"/>
  <c r="V19" i="69"/>
  <c r="W19" i="69" s="1"/>
  <c r="R52" i="69"/>
  <c r="S52" i="69" s="1"/>
  <c r="K52" i="69"/>
  <c r="J21" i="69"/>
  <c r="J16" i="65"/>
  <c r="R16" i="65" s="1"/>
  <c r="I47" i="19"/>
  <c r="I19" i="17"/>
  <c r="H19" i="69"/>
  <c r="H14" i="65"/>
  <c r="K81" i="69"/>
  <c r="S81" i="69"/>
  <c r="I19" i="28"/>
  <c r="H51" i="34"/>
  <c r="H50" i="34"/>
  <c r="H52" i="34"/>
  <c r="R51" i="69"/>
  <c r="S51" i="69" s="1"/>
  <c r="K51" i="69"/>
  <c r="J84" i="69"/>
  <c r="J70" i="65" s="1"/>
  <c r="I47" i="53"/>
  <c r="J27" i="69"/>
  <c r="J20" i="65"/>
  <c r="R20" i="65" s="1"/>
  <c r="I47" i="21"/>
  <c r="R57" i="65"/>
  <c r="H62" i="69"/>
  <c r="H47" i="65"/>
  <c r="J11" i="65"/>
  <c r="J16" i="69"/>
  <c r="J15" i="69"/>
  <c r="J10" i="65"/>
  <c r="I47" i="14"/>
  <c r="I19" i="26"/>
  <c r="K105" i="69"/>
  <c r="K106" i="69" s="1"/>
  <c r="I55" i="40"/>
  <c r="L92" i="69" s="1"/>
  <c r="T49" i="65"/>
  <c r="V49" i="65" s="1"/>
  <c r="H41" i="13"/>
  <c r="I45" i="13" s="1"/>
  <c r="H86" i="3" l="1"/>
  <c r="I86" i="3" s="1"/>
  <c r="I90" i="69"/>
  <c r="H85" i="3"/>
  <c r="I85" i="3" s="1"/>
  <c r="I89" i="69"/>
  <c r="G87" i="3"/>
  <c r="I87" i="3" s="1"/>
  <c r="I91" i="69"/>
  <c r="M92" i="69"/>
  <c r="R92" i="69"/>
  <c r="S92" i="69" s="1"/>
  <c r="V92" i="69"/>
  <c r="W92" i="69" s="1"/>
  <c r="F22" i="35"/>
  <c r="I62" i="69"/>
  <c r="H62" i="3"/>
  <c r="I61" i="69"/>
  <c r="H61" i="3"/>
  <c r="I19" i="69"/>
  <c r="H19" i="3"/>
  <c r="V62" i="69"/>
  <c r="W62" i="69" s="1"/>
  <c r="I104" i="69"/>
  <c r="I105" i="69" s="1"/>
  <c r="I81" i="65"/>
  <c r="I82" i="65" s="1"/>
  <c r="AH82" i="65" s="1"/>
  <c r="N16" i="69"/>
  <c r="O16" i="69" s="1"/>
  <c r="N11" i="65"/>
  <c r="R11" i="65" s="1"/>
  <c r="I47" i="15"/>
  <c r="H51" i="15" s="1"/>
  <c r="I47" i="25"/>
  <c r="H51" i="25" s="1"/>
  <c r="J46" i="69"/>
  <c r="K46" i="69" s="1"/>
  <c r="J40" i="69"/>
  <c r="R40" i="69" s="1"/>
  <c r="S40" i="69" s="1"/>
  <c r="R10" i="65"/>
  <c r="J34" i="65"/>
  <c r="R34" i="65" s="1"/>
  <c r="I47" i="29"/>
  <c r="R17" i="65"/>
  <c r="I53" i="33"/>
  <c r="I53" i="34"/>
  <c r="T52" i="69" s="1"/>
  <c r="W67" i="65"/>
  <c r="AB67" i="65" s="1"/>
  <c r="R27" i="69"/>
  <c r="S27" i="69" s="1"/>
  <c r="K27" i="69"/>
  <c r="H50" i="16"/>
  <c r="H51" i="16"/>
  <c r="H52" i="16"/>
  <c r="H51" i="27"/>
  <c r="H50" i="27"/>
  <c r="H52" i="27"/>
  <c r="R39" i="69"/>
  <c r="S39" i="69" s="1"/>
  <c r="K39" i="69"/>
  <c r="P14" i="69"/>
  <c r="P9" i="65"/>
  <c r="T59" i="65"/>
  <c r="V59" i="65" s="1"/>
  <c r="J41" i="69"/>
  <c r="J30" i="65"/>
  <c r="R30" i="65" s="1"/>
  <c r="I47" i="26"/>
  <c r="R15" i="69"/>
  <c r="S15" i="69" s="1"/>
  <c r="K15" i="69"/>
  <c r="K16" i="69"/>
  <c r="J45" i="69"/>
  <c r="J33" i="65"/>
  <c r="R33" i="65" s="1"/>
  <c r="I47" i="28"/>
  <c r="R21" i="69"/>
  <c r="S21" i="69" s="1"/>
  <c r="K21" i="69"/>
  <c r="I53" i="32"/>
  <c r="R12" i="65"/>
  <c r="R47" i="69"/>
  <c r="S47" i="69" s="1"/>
  <c r="K47" i="69"/>
  <c r="U79" i="69"/>
  <c r="V79" i="69"/>
  <c r="W79" i="69" s="1"/>
  <c r="H52" i="24"/>
  <c r="H51" i="24"/>
  <c r="H50" i="24"/>
  <c r="K33" i="69"/>
  <c r="K35" i="69" s="1"/>
  <c r="R33" i="69"/>
  <c r="S33" i="69" s="1"/>
  <c r="S35" i="69" s="1"/>
  <c r="H49" i="65"/>
  <c r="H66" i="69"/>
  <c r="H92" i="69" s="1"/>
  <c r="H51" i="14"/>
  <c r="H52" i="14"/>
  <c r="H50" i="14"/>
  <c r="H52" i="21"/>
  <c r="H50" i="21"/>
  <c r="H51" i="21"/>
  <c r="R84" i="69"/>
  <c r="K84" i="69"/>
  <c r="H52" i="19"/>
  <c r="H50" i="19"/>
  <c r="H51" i="19"/>
  <c r="H58" i="65"/>
  <c r="H53" i="65"/>
  <c r="H54" i="65"/>
  <c r="R22" i="69"/>
  <c r="S22" i="69" s="1"/>
  <c r="K22" i="69"/>
  <c r="X67" i="65"/>
  <c r="Y67" i="65"/>
  <c r="Z67" i="65"/>
  <c r="AA67" i="65"/>
  <c r="H52" i="22"/>
  <c r="H50" i="22"/>
  <c r="H51" i="22"/>
  <c r="R28" i="69"/>
  <c r="S28" i="69" s="1"/>
  <c r="K28" i="69"/>
  <c r="H52" i="30"/>
  <c r="H51" i="30"/>
  <c r="H50" i="30"/>
  <c r="R28" i="65"/>
  <c r="H52" i="23"/>
  <c r="H51" i="23"/>
  <c r="H50" i="23"/>
  <c r="H63" i="65"/>
  <c r="H52" i="53"/>
  <c r="H50" i="53"/>
  <c r="H51" i="53"/>
  <c r="H51" i="20"/>
  <c r="H50" i="20"/>
  <c r="H52" i="20"/>
  <c r="H52" i="65"/>
  <c r="R17" i="69"/>
  <c r="S17" i="69" s="1"/>
  <c r="K17" i="69"/>
  <c r="U66" i="69"/>
  <c r="V66" i="69"/>
  <c r="W66" i="69" s="1"/>
  <c r="H79" i="69"/>
  <c r="H66" i="65"/>
  <c r="R42" i="69"/>
  <c r="S42" i="69" s="1"/>
  <c r="K42" i="69"/>
  <c r="J18" i="69"/>
  <c r="J13" i="65"/>
  <c r="I47" i="17"/>
  <c r="R21" i="65"/>
  <c r="I47" i="13"/>
  <c r="H51" i="13" s="1"/>
  <c r="I92" i="69" l="1"/>
  <c r="H88" i="3"/>
  <c r="I88" i="3" s="1"/>
  <c r="I79" i="69"/>
  <c r="H76" i="3"/>
  <c r="H52" i="29"/>
  <c r="F22" i="36"/>
  <c r="S84" i="69"/>
  <c r="S87" i="69" s="1"/>
  <c r="R70" i="65"/>
  <c r="I66" i="69"/>
  <c r="H66" i="3"/>
  <c r="R16" i="69"/>
  <c r="S16" i="69" s="1"/>
  <c r="H50" i="15"/>
  <c r="H52" i="15"/>
  <c r="H50" i="25"/>
  <c r="R46" i="69"/>
  <c r="S46" i="69" s="1"/>
  <c r="I55" i="33"/>
  <c r="H51" i="69" s="1"/>
  <c r="H94" i="69" s="1"/>
  <c r="H52" i="25"/>
  <c r="K40" i="69"/>
  <c r="T38" i="65"/>
  <c r="V38" i="65" s="1"/>
  <c r="H51" i="29"/>
  <c r="H50" i="29"/>
  <c r="T51" i="69"/>
  <c r="U51" i="69" s="1"/>
  <c r="T39" i="65"/>
  <c r="V39" i="65" s="1"/>
  <c r="I53" i="20"/>
  <c r="T22" i="69" s="1"/>
  <c r="T67" i="65"/>
  <c r="U67" i="65" s="1"/>
  <c r="W81" i="69"/>
  <c r="I55" i="34"/>
  <c r="H52" i="69" s="1"/>
  <c r="I53" i="14"/>
  <c r="I53" i="16"/>
  <c r="I53" i="53"/>
  <c r="I55" i="53" s="1"/>
  <c r="K87" i="69"/>
  <c r="Z21" i="65"/>
  <c r="AA21" i="65"/>
  <c r="Y21" i="65"/>
  <c r="X21" i="65"/>
  <c r="R18" i="69"/>
  <c r="S18" i="69" s="1"/>
  <c r="K18" i="69"/>
  <c r="H50" i="17"/>
  <c r="H52" i="17"/>
  <c r="H51" i="17"/>
  <c r="R41" i="69"/>
  <c r="S41" i="69" s="1"/>
  <c r="K41" i="69"/>
  <c r="I53" i="21"/>
  <c r="Q14" i="69"/>
  <c r="R14" i="69"/>
  <c r="S14" i="69" s="1"/>
  <c r="I53" i="27"/>
  <c r="R13" i="65"/>
  <c r="I53" i="30"/>
  <c r="I53" i="19"/>
  <c r="I53" i="24"/>
  <c r="T53" i="69"/>
  <c r="T40" i="65"/>
  <c r="V40" i="65" s="1"/>
  <c r="I55" i="32"/>
  <c r="H52" i="28"/>
  <c r="H50" i="28"/>
  <c r="H51" i="28"/>
  <c r="H52" i="26"/>
  <c r="H50" i="26"/>
  <c r="H51" i="26"/>
  <c r="H59" i="65"/>
  <c r="U52" i="69"/>
  <c r="V52" i="69"/>
  <c r="W52" i="69" s="1"/>
  <c r="K30" i="69"/>
  <c r="T57" i="65"/>
  <c r="V57" i="65" s="1"/>
  <c r="I53" i="22"/>
  <c r="K45" i="69"/>
  <c r="R45" i="69"/>
  <c r="S45" i="69" s="1"/>
  <c r="W21" i="65"/>
  <c r="I53" i="23"/>
  <c r="R9" i="65"/>
  <c r="S30" i="69"/>
  <c r="H52" i="13"/>
  <c r="H50" i="13"/>
  <c r="G52" i="9"/>
  <c r="G51" i="9"/>
  <c r="G50" i="9"/>
  <c r="E39" i="9"/>
  <c r="I94" i="69" l="1"/>
  <c r="H90" i="3"/>
  <c r="I90" i="3" s="1"/>
  <c r="I81" i="69"/>
  <c r="I52" i="69"/>
  <c r="H52" i="3"/>
  <c r="I51" i="69"/>
  <c r="H51" i="3"/>
  <c r="I53" i="15"/>
  <c r="I55" i="15" s="1"/>
  <c r="H16" i="69" s="1"/>
  <c r="H81" i="3"/>
  <c r="I53" i="25"/>
  <c r="I55" i="25" s="1"/>
  <c r="T84" i="69"/>
  <c r="H38" i="65"/>
  <c r="I55" i="14"/>
  <c r="H15" i="69" s="1"/>
  <c r="U81" i="69"/>
  <c r="V51" i="69"/>
  <c r="W51" i="69" s="1"/>
  <c r="I53" i="29"/>
  <c r="T17" i="65"/>
  <c r="V17" i="65" s="1"/>
  <c r="I55" i="20"/>
  <c r="T10" i="65"/>
  <c r="V10" i="65" s="1"/>
  <c r="V67" i="65"/>
  <c r="H67" i="65"/>
  <c r="I67" i="65" s="1"/>
  <c r="H39" i="65"/>
  <c r="T12" i="65"/>
  <c r="V12" i="65" s="1"/>
  <c r="K69" i="69"/>
  <c r="I55" i="16"/>
  <c r="T15" i="69"/>
  <c r="U15" i="69" s="1"/>
  <c r="T17" i="69"/>
  <c r="V17" i="69" s="1"/>
  <c r="W17" i="69" s="1"/>
  <c r="I53" i="26"/>
  <c r="T30" i="65" s="1"/>
  <c r="V30" i="65" s="1"/>
  <c r="H84" i="69"/>
  <c r="I53" i="13"/>
  <c r="T9" i="65" s="1"/>
  <c r="V9" i="65" s="1"/>
  <c r="T33" i="69"/>
  <c r="T24" i="65"/>
  <c r="V24" i="65" s="1"/>
  <c r="I55" i="23"/>
  <c r="H33" i="69" s="1"/>
  <c r="AB21" i="65"/>
  <c r="I53" i="28"/>
  <c r="T35" i="65"/>
  <c r="V35" i="65" s="1"/>
  <c r="T47" i="69"/>
  <c r="I55" i="30"/>
  <c r="T39" i="69"/>
  <c r="T28" i="65"/>
  <c r="V28" i="65" s="1"/>
  <c r="I55" i="24"/>
  <c r="H57" i="65"/>
  <c r="H53" i="69"/>
  <c r="H40" i="65"/>
  <c r="U22" i="69"/>
  <c r="V22" i="69"/>
  <c r="W22" i="69" s="1"/>
  <c r="T27" i="69"/>
  <c r="T20" i="65"/>
  <c r="V20" i="65" s="1"/>
  <c r="I55" i="21"/>
  <c r="I53" i="17"/>
  <c r="T21" i="65"/>
  <c r="V21" i="65" s="1"/>
  <c r="T28" i="69"/>
  <c r="I55" i="22"/>
  <c r="U53" i="69"/>
  <c r="V53" i="69"/>
  <c r="W53" i="69" s="1"/>
  <c r="T21" i="69"/>
  <c r="T16" i="65"/>
  <c r="V16" i="65" s="1"/>
  <c r="I55" i="19"/>
  <c r="T42" i="69"/>
  <c r="T31" i="65"/>
  <c r="V31" i="65" s="1"/>
  <c r="I55" i="27"/>
  <c r="F39" i="9"/>
  <c r="H12" i="9"/>
  <c r="H11" i="9"/>
  <c r="I84" i="69" l="1"/>
  <c r="I87" i="69" s="1"/>
  <c r="H70" i="65"/>
  <c r="I70" i="65" s="1"/>
  <c r="V84" i="69"/>
  <c r="W84" i="69" s="1"/>
  <c r="W87" i="69" s="1"/>
  <c r="T70" i="65"/>
  <c r="V70" i="65" s="1"/>
  <c r="I53" i="69"/>
  <c r="H53" i="3"/>
  <c r="I16" i="69"/>
  <c r="H16" i="3"/>
  <c r="I15" i="69"/>
  <c r="H15" i="3"/>
  <c r="T40" i="69"/>
  <c r="U40" i="69" s="1"/>
  <c r="U84" i="69"/>
  <c r="U87" i="69" s="1"/>
  <c r="T29" i="65"/>
  <c r="V29" i="65" s="1"/>
  <c r="T11" i="65"/>
  <c r="V11" i="65" s="1"/>
  <c r="H11" i="65"/>
  <c r="T16" i="69"/>
  <c r="U16" i="69" s="1"/>
  <c r="U17" i="69"/>
  <c r="T46" i="69"/>
  <c r="V46" i="69" s="1"/>
  <c r="W46" i="69" s="1"/>
  <c r="H10" i="65"/>
  <c r="T34" i="65"/>
  <c r="V34" i="65" s="1"/>
  <c r="V15" i="69"/>
  <c r="W15" i="69" s="1"/>
  <c r="I55" i="29"/>
  <c r="H22" i="69"/>
  <c r="H12" i="65"/>
  <c r="H17" i="69"/>
  <c r="H17" i="65"/>
  <c r="T14" i="69"/>
  <c r="U14" i="69" s="1"/>
  <c r="T41" i="69"/>
  <c r="V41" i="69" s="1"/>
  <c r="W41" i="69" s="1"/>
  <c r="I55" i="13"/>
  <c r="I55" i="26"/>
  <c r="H30" i="65" s="1"/>
  <c r="U42" i="69"/>
  <c r="V42" i="69"/>
  <c r="W42" i="69" s="1"/>
  <c r="I55" i="17"/>
  <c r="T18" i="69"/>
  <c r="T13" i="65"/>
  <c r="V13" i="65" s="1"/>
  <c r="H24" i="65"/>
  <c r="H31" i="65"/>
  <c r="H42" i="69"/>
  <c r="H35" i="65"/>
  <c r="H47" i="69"/>
  <c r="H29" i="65"/>
  <c r="H40" i="69"/>
  <c r="U33" i="69"/>
  <c r="U35" i="69" s="1"/>
  <c r="V33" i="69"/>
  <c r="W33" i="69" s="1"/>
  <c r="W35" i="69" s="1"/>
  <c r="H28" i="69"/>
  <c r="H21" i="65"/>
  <c r="U47" i="69"/>
  <c r="V47" i="69"/>
  <c r="W47" i="69" s="1"/>
  <c r="H21" i="69"/>
  <c r="H16" i="65"/>
  <c r="U21" i="69"/>
  <c r="V21" i="69"/>
  <c r="W21" i="69" s="1"/>
  <c r="U28" i="69"/>
  <c r="V28" i="69"/>
  <c r="W28" i="69" s="1"/>
  <c r="H27" i="69"/>
  <c r="H20" i="65"/>
  <c r="U27" i="69"/>
  <c r="V27" i="69"/>
  <c r="W27" i="69" s="1"/>
  <c r="H39" i="69"/>
  <c r="H28" i="65"/>
  <c r="U39" i="69"/>
  <c r="V39" i="69"/>
  <c r="W39" i="69" s="1"/>
  <c r="T33" i="65"/>
  <c r="V33" i="65" s="1"/>
  <c r="T45" i="69"/>
  <c r="I55" i="28"/>
  <c r="H39" i="9"/>
  <c r="I45" i="9" s="1"/>
  <c r="I39" i="69" l="1"/>
  <c r="H39" i="3"/>
  <c r="I27" i="69"/>
  <c r="H27" i="3"/>
  <c r="I22" i="69"/>
  <c r="H22" i="3"/>
  <c r="I47" i="69"/>
  <c r="H47" i="3"/>
  <c r="I42" i="69"/>
  <c r="H42" i="3"/>
  <c r="I40" i="69"/>
  <c r="H40" i="3"/>
  <c r="I33" i="69"/>
  <c r="I35" i="69" s="1"/>
  <c r="H33" i="3"/>
  <c r="I28" i="69"/>
  <c r="H28" i="3"/>
  <c r="I21" i="69"/>
  <c r="H21" i="3"/>
  <c r="I17" i="69"/>
  <c r="H17" i="3"/>
  <c r="V40" i="69"/>
  <c r="W40" i="69" s="1"/>
  <c r="V16" i="69"/>
  <c r="W16" i="69" s="1"/>
  <c r="U46" i="69"/>
  <c r="H34" i="65"/>
  <c r="H22" i="36"/>
  <c r="I29" i="36" s="1"/>
  <c r="L43" i="65" s="1"/>
  <c r="R43" i="65" s="1"/>
  <c r="H46" i="69"/>
  <c r="U41" i="69"/>
  <c r="H22" i="35"/>
  <c r="I29" i="35" s="1"/>
  <c r="V14" i="69"/>
  <c r="W14" i="69" s="1"/>
  <c r="U30" i="69"/>
  <c r="H14" i="69"/>
  <c r="H41" i="69"/>
  <c r="W30" i="69"/>
  <c r="H9" i="65"/>
  <c r="H18" i="69"/>
  <c r="H13" i="65"/>
  <c r="U45" i="69"/>
  <c r="V45" i="69"/>
  <c r="W45" i="69" s="1"/>
  <c r="L56" i="65"/>
  <c r="R56" i="65" s="1"/>
  <c r="P13" i="69"/>
  <c r="Q13" i="69" s="1"/>
  <c r="P8" i="65"/>
  <c r="H45" i="69"/>
  <c r="H93" i="69" s="1"/>
  <c r="H33" i="65"/>
  <c r="L55" i="65"/>
  <c r="R55" i="65" s="1"/>
  <c r="U18" i="69"/>
  <c r="V18" i="69"/>
  <c r="W18" i="69" s="1"/>
  <c r="I36" i="9"/>
  <c r="H13" i="9"/>
  <c r="I93" i="69" l="1"/>
  <c r="I95" i="69" s="1"/>
  <c r="H89" i="3"/>
  <c r="I89" i="3" s="1"/>
  <c r="I91" i="3" s="1"/>
  <c r="I14" i="69"/>
  <c r="H14" i="3"/>
  <c r="I30" i="69"/>
  <c r="I46" i="69"/>
  <c r="H46" i="3"/>
  <c r="I45" i="69"/>
  <c r="H45" i="3"/>
  <c r="I41" i="69"/>
  <c r="H41" i="3"/>
  <c r="I18" i="69"/>
  <c r="H18" i="3"/>
  <c r="L57" i="69"/>
  <c r="M57" i="69" s="1"/>
  <c r="L42" i="65"/>
  <c r="R42" i="65" s="1"/>
  <c r="I47" i="36"/>
  <c r="H52" i="36" s="1"/>
  <c r="I47" i="35"/>
  <c r="H52" i="35" s="1"/>
  <c r="L56" i="69"/>
  <c r="R56" i="69" s="1"/>
  <c r="S56" i="69" s="1"/>
  <c r="N13" i="69"/>
  <c r="O13" i="69" s="1"/>
  <c r="O24" i="69" s="1"/>
  <c r="Q24" i="69"/>
  <c r="Q96" i="69" s="1"/>
  <c r="D68" i="87" s="1"/>
  <c r="N8" i="65"/>
  <c r="I19" i="9"/>
  <c r="R57" i="69" l="1"/>
  <c r="S57" i="69" s="1"/>
  <c r="H50" i="36"/>
  <c r="H51" i="36"/>
  <c r="M56" i="69"/>
  <c r="H50" i="35"/>
  <c r="H51" i="35"/>
  <c r="J13" i="69"/>
  <c r="J8" i="65"/>
  <c r="R8" i="65" s="1"/>
  <c r="I47" i="9"/>
  <c r="H52" i="9" l="1"/>
  <c r="I53" i="36"/>
  <c r="T57" i="69" s="1"/>
  <c r="I53" i="35"/>
  <c r="T56" i="65"/>
  <c r="V56" i="65" s="1"/>
  <c r="R13" i="69"/>
  <c r="S13" i="69" s="1"/>
  <c r="K13" i="69"/>
  <c r="K24" i="69" s="1"/>
  <c r="T55" i="65"/>
  <c r="V55" i="65" s="1"/>
  <c r="H50" i="9"/>
  <c r="H51" i="9"/>
  <c r="S24" i="69" l="1"/>
  <c r="I55" i="36"/>
  <c r="H57" i="69" s="1"/>
  <c r="T43" i="65"/>
  <c r="V43" i="65" s="1"/>
  <c r="H56" i="65"/>
  <c r="T56" i="69"/>
  <c r="V56" i="69" s="1"/>
  <c r="W56" i="69" s="1"/>
  <c r="T42" i="65"/>
  <c r="V42" i="65" s="1"/>
  <c r="I55" i="35"/>
  <c r="H56" i="69" s="1"/>
  <c r="U57" i="69"/>
  <c r="V57" i="69"/>
  <c r="W57" i="69" s="1"/>
  <c r="I53" i="9"/>
  <c r="I55" i="9" s="1"/>
  <c r="H55" i="65"/>
  <c r="I56" i="69" l="1"/>
  <c r="H56" i="3"/>
  <c r="I57" i="69"/>
  <c r="H57" i="3"/>
  <c r="H43" i="65"/>
  <c r="U56" i="69"/>
  <c r="H42" i="65"/>
  <c r="H8" i="65"/>
  <c r="H13" i="69"/>
  <c r="T13" i="69"/>
  <c r="T8" i="65"/>
  <c r="V8" i="65" s="1"/>
  <c r="I13" i="69" l="1"/>
  <c r="I24" i="69" s="1"/>
  <c r="H13" i="3"/>
  <c r="U13" i="69"/>
  <c r="U24" i="69" s="1"/>
  <c r="V13" i="69"/>
  <c r="W13" i="69" s="1"/>
  <c r="W24" i="69" s="1"/>
  <c r="I81" i="3" l="1"/>
  <c r="I83" i="3" s="1"/>
  <c r="E35" i="88" s="1"/>
  <c r="M70" i="65" l="1"/>
  <c r="K70" i="65"/>
  <c r="Q70" i="65"/>
  <c r="U70" i="65"/>
  <c r="U73" i="65" s="1"/>
  <c r="O70" i="65"/>
  <c r="I73" i="65"/>
  <c r="S70" i="65"/>
  <c r="S73" i="65" s="1"/>
  <c r="E31" i="62" l="1"/>
  <c r="W70" i="65"/>
  <c r="AC70" i="65" s="1"/>
  <c r="K73" i="65"/>
  <c r="W73" i="65" s="1"/>
  <c r="Z70" i="65"/>
  <c r="AA70" i="65"/>
  <c r="Q73" i="65"/>
  <c r="O73" i="65"/>
  <c r="Y73" i="65" s="1"/>
  <c r="Y70" i="65"/>
  <c r="X70" i="65"/>
  <c r="M73" i="65"/>
  <c r="X73" i="65" s="1"/>
  <c r="I63" i="65"/>
  <c r="K63" i="65"/>
  <c r="O63" i="65"/>
  <c r="U63" i="65"/>
  <c r="Q63" i="65"/>
  <c r="M63" i="65"/>
  <c r="S63" i="65"/>
  <c r="K62" i="65"/>
  <c r="M62" i="65"/>
  <c r="I62" i="65"/>
  <c r="U62" i="65"/>
  <c r="Q62" i="65"/>
  <c r="O62" i="65"/>
  <c r="S62" i="65"/>
  <c r="O54" i="65"/>
  <c r="I54" i="65"/>
  <c r="K54" i="65"/>
  <c r="M54" i="65"/>
  <c r="Q54" i="65"/>
  <c r="U54" i="65"/>
  <c r="S54" i="65"/>
  <c r="K59" i="65"/>
  <c r="I59" i="65"/>
  <c r="O59" i="65"/>
  <c r="Q59" i="65"/>
  <c r="U59" i="65"/>
  <c r="M59" i="65"/>
  <c r="S59" i="65"/>
  <c r="U56" i="65"/>
  <c r="Q56" i="65"/>
  <c r="K56" i="65"/>
  <c r="I56" i="65"/>
  <c r="O56" i="65"/>
  <c r="M56" i="65"/>
  <c r="S56" i="65"/>
  <c r="AE70" i="65" l="1"/>
  <c r="AE73" i="65" s="1"/>
  <c r="AF70" i="65"/>
  <c r="AF73" i="65" s="1"/>
  <c r="AD70" i="65"/>
  <c r="AG70" i="65"/>
  <c r="AG73" i="65" s="1"/>
  <c r="I64" i="65"/>
  <c r="X59" i="65"/>
  <c r="AD59" i="65" s="1"/>
  <c r="W56" i="65"/>
  <c r="AC56" i="65" s="1"/>
  <c r="X54" i="65"/>
  <c r="AD54" i="65" s="1"/>
  <c r="W54" i="65"/>
  <c r="AC54" i="65" s="1"/>
  <c r="AB73" i="65"/>
  <c r="AB70" i="65"/>
  <c r="S64" i="65"/>
  <c r="X63" i="65"/>
  <c r="AD63" i="65" s="1"/>
  <c r="W63" i="65"/>
  <c r="U64" i="65"/>
  <c r="Y63" i="65"/>
  <c r="AE63" i="65" s="1"/>
  <c r="AA63" i="65"/>
  <c r="AG63" i="65" s="1"/>
  <c r="Z63" i="65"/>
  <c r="AF63" i="65" s="1"/>
  <c r="Y62" i="65"/>
  <c r="O64" i="65"/>
  <c r="X62" i="65"/>
  <c r="AD62" i="65" s="1"/>
  <c r="AD64" i="65" s="1"/>
  <c r="M64" i="65"/>
  <c r="AA62" i="65"/>
  <c r="AG62" i="65" s="1"/>
  <c r="Z62" i="65"/>
  <c r="AF62" i="65" s="1"/>
  <c r="Q64" i="65"/>
  <c r="W62" i="65"/>
  <c r="K64" i="65"/>
  <c r="Z54" i="65"/>
  <c r="AF54" i="65" s="1"/>
  <c r="AA54" i="65"/>
  <c r="AG54" i="65" s="1"/>
  <c r="Y54" i="65"/>
  <c r="AE54" i="65" s="1"/>
  <c r="Z59" i="65"/>
  <c r="AF59" i="65" s="1"/>
  <c r="AA59" i="65"/>
  <c r="AG59" i="65" s="1"/>
  <c r="Y59" i="65"/>
  <c r="AE59" i="65" s="1"/>
  <c r="W59" i="65"/>
  <c r="AC59" i="65" s="1"/>
  <c r="X56" i="65"/>
  <c r="AD56" i="65" s="1"/>
  <c r="Z56" i="65"/>
  <c r="AF56" i="65" s="1"/>
  <c r="AA56" i="65"/>
  <c r="AG56" i="65" s="1"/>
  <c r="Y56" i="65"/>
  <c r="AE56" i="65" s="1"/>
  <c r="AH70" i="65" l="1"/>
  <c r="AH73" i="65" s="1"/>
  <c r="AD73" i="65"/>
  <c r="Y64" i="65"/>
  <c r="W64" i="65"/>
  <c r="X64" i="65"/>
  <c r="AG64" i="65"/>
  <c r="AB59" i="65"/>
  <c r="AH59" i="65"/>
  <c r="AH56" i="65"/>
  <c r="AC73" i="65"/>
  <c r="AC63" i="65"/>
  <c r="AH63" i="65" s="1"/>
  <c r="AB63" i="65"/>
  <c r="AF64" i="65"/>
  <c r="AC62" i="65"/>
  <c r="AB62" i="65"/>
  <c r="AA64" i="65"/>
  <c r="Z64" i="65"/>
  <c r="AE62" i="65"/>
  <c r="AE64" i="65" s="1"/>
  <c r="AB54" i="65"/>
  <c r="AH54" i="65"/>
  <c r="O58" i="65"/>
  <c r="I58" i="65"/>
  <c r="Q58" i="65"/>
  <c r="M58" i="65"/>
  <c r="K58" i="65"/>
  <c r="U58" i="65"/>
  <c r="S58" i="65"/>
  <c r="U57" i="65"/>
  <c r="O57" i="65"/>
  <c r="Q57" i="65"/>
  <c r="K57" i="65"/>
  <c r="M57" i="65"/>
  <c r="I57" i="65"/>
  <c r="S57" i="65"/>
  <c r="AB56" i="65"/>
  <c r="X58" i="65" l="1"/>
  <c r="AD58" i="65" s="1"/>
  <c r="W57" i="65"/>
  <c r="AC57" i="65" s="1"/>
  <c r="AB64" i="65"/>
  <c r="U52" i="65"/>
  <c r="K52" i="65"/>
  <c r="O52" i="65"/>
  <c r="I52" i="65"/>
  <c r="M52" i="65"/>
  <c r="Q52" i="65"/>
  <c r="S52" i="65"/>
  <c r="AH62" i="65"/>
  <c r="AH64" i="65" s="1"/>
  <c r="AC64" i="65"/>
  <c r="Z58" i="65"/>
  <c r="AF58" i="65" s="1"/>
  <c r="AA58" i="65"/>
  <c r="AG58" i="65" s="1"/>
  <c r="W58" i="65"/>
  <c r="Y58" i="65"/>
  <c r="AE58" i="65" s="1"/>
  <c r="AA57" i="65"/>
  <c r="AG57" i="65" s="1"/>
  <c r="Z57" i="65"/>
  <c r="Y57" i="65"/>
  <c r="AE57" i="65" s="1"/>
  <c r="X57" i="65"/>
  <c r="AD57" i="65" s="1"/>
  <c r="X52" i="65" l="1"/>
  <c r="AD52" i="65" s="1"/>
  <c r="Y52" i="65"/>
  <c r="AA52" i="65"/>
  <c r="AG52" i="65" s="1"/>
  <c r="Z52" i="65"/>
  <c r="AF52" i="65" s="1"/>
  <c r="W52" i="65"/>
  <c r="AC52" i="65" s="1"/>
  <c r="AC58" i="65"/>
  <c r="AH58" i="65" s="1"/>
  <c r="AB58" i="65"/>
  <c r="AB57" i="65"/>
  <c r="AF57" i="65"/>
  <c r="AH57" i="65" s="1"/>
  <c r="O55" i="65"/>
  <c r="I55" i="65"/>
  <c r="Q55" i="65"/>
  <c r="M55" i="65"/>
  <c r="U55" i="65"/>
  <c r="K55" i="65"/>
  <c r="S55" i="65"/>
  <c r="AH52" i="65" l="1"/>
  <c r="AB52" i="65"/>
  <c r="Y55" i="65"/>
  <c r="AE55" i="65" s="1"/>
  <c r="X55" i="65"/>
  <c r="AD55" i="65" s="1"/>
  <c r="W55" i="65"/>
  <c r="AC55" i="65" s="1"/>
  <c r="AA55" i="65"/>
  <c r="AG55" i="65" s="1"/>
  <c r="Z55" i="65"/>
  <c r="AF55" i="65" s="1"/>
  <c r="O49" i="65"/>
  <c r="M49" i="65"/>
  <c r="I49" i="65"/>
  <c r="Q49" i="65"/>
  <c r="K49" i="65"/>
  <c r="U49" i="65"/>
  <c r="S49" i="65"/>
  <c r="Q47" i="65"/>
  <c r="O47" i="65"/>
  <c r="I47" i="65"/>
  <c r="U47" i="65"/>
  <c r="M47" i="65"/>
  <c r="K47" i="65"/>
  <c r="S47" i="65"/>
  <c r="K15" i="65"/>
  <c r="U15" i="65"/>
  <c r="O15" i="65"/>
  <c r="I15" i="65"/>
  <c r="M15" i="65"/>
  <c r="Q15" i="65"/>
  <c r="S15" i="65"/>
  <c r="U40" i="65"/>
  <c r="O40" i="65"/>
  <c r="I40" i="65"/>
  <c r="Q40" i="65"/>
  <c r="M40" i="65"/>
  <c r="K40" i="65"/>
  <c r="S40" i="65"/>
  <c r="O43" i="65"/>
  <c r="I43" i="65"/>
  <c r="M43" i="65"/>
  <c r="K43" i="65"/>
  <c r="Q43" i="65"/>
  <c r="U43" i="65"/>
  <c r="S43" i="65"/>
  <c r="Q53" i="65"/>
  <c r="O53" i="65"/>
  <c r="I53" i="65"/>
  <c r="I60" i="65" s="1"/>
  <c r="U53" i="65"/>
  <c r="U60" i="65" s="1"/>
  <c r="M53" i="65"/>
  <c r="K53" i="65"/>
  <c r="S53" i="65"/>
  <c r="S60" i="65" s="1"/>
  <c r="O42" i="65"/>
  <c r="M42" i="65"/>
  <c r="I42" i="65"/>
  <c r="Q42" i="65"/>
  <c r="U42" i="65"/>
  <c r="K42" i="65"/>
  <c r="S42" i="65"/>
  <c r="I20" i="3"/>
  <c r="I62" i="3"/>
  <c r="I53" i="3"/>
  <c r="I57" i="3" l="1"/>
  <c r="I56" i="3"/>
  <c r="I66" i="3"/>
  <c r="M45" i="65"/>
  <c r="O45" i="65"/>
  <c r="U45" i="65"/>
  <c r="S45" i="65"/>
  <c r="K45" i="65"/>
  <c r="I45" i="65"/>
  <c r="Q45" i="65"/>
  <c r="I61" i="3"/>
  <c r="X47" i="65"/>
  <c r="AD47" i="65" s="1"/>
  <c r="W47" i="65"/>
  <c r="AC47" i="65" s="1"/>
  <c r="Y47" i="65"/>
  <c r="AE47" i="65" s="1"/>
  <c r="O20" i="65"/>
  <c r="M20" i="65"/>
  <c r="I20" i="65"/>
  <c r="K20" i="65"/>
  <c r="U20" i="65"/>
  <c r="Q20" i="65"/>
  <c r="S20" i="65"/>
  <c r="O21" i="65"/>
  <c r="M21" i="65"/>
  <c r="Q21" i="65"/>
  <c r="K21" i="65"/>
  <c r="U21" i="65"/>
  <c r="I21" i="65"/>
  <c r="S21" i="65"/>
  <c r="Q24" i="65"/>
  <c r="M24" i="65"/>
  <c r="U24" i="65"/>
  <c r="U25" i="65" s="1"/>
  <c r="I24" i="65"/>
  <c r="I25" i="65" s="1"/>
  <c r="O24" i="65"/>
  <c r="K24" i="65"/>
  <c r="S24" i="65"/>
  <c r="S25" i="65" s="1"/>
  <c r="W43" i="65"/>
  <c r="AC43" i="65" s="1"/>
  <c r="AB55" i="65"/>
  <c r="AH55" i="65"/>
  <c r="X49" i="65"/>
  <c r="AD49" i="65" s="1"/>
  <c r="AA49" i="65"/>
  <c r="AG49" i="65" s="1"/>
  <c r="Z49" i="65"/>
  <c r="AF49" i="65" s="1"/>
  <c r="W49" i="65"/>
  <c r="Y49" i="65"/>
  <c r="AE49" i="65" s="1"/>
  <c r="AA47" i="65"/>
  <c r="AG47" i="65" s="1"/>
  <c r="Z47" i="65"/>
  <c r="AF47" i="65" s="1"/>
  <c r="Z15" i="65"/>
  <c r="AF15" i="65" s="1"/>
  <c r="AA15" i="65"/>
  <c r="AG15" i="65" s="1"/>
  <c r="Y15" i="65"/>
  <c r="AE15" i="65" s="1"/>
  <c r="X15" i="65"/>
  <c r="AD15" i="65" s="1"/>
  <c r="W15" i="65"/>
  <c r="W40" i="65"/>
  <c r="Y40" i="65"/>
  <c r="AE40" i="65" s="1"/>
  <c r="AA40" i="65"/>
  <c r="AG40" i="65" s="1"/>
  <c r="Z40" i="65"/>
  <c r="AF40" i="65" s="1"/>
  <c r="X40" i="65"/>
  <c r="AD40" i="65" s="1"/>
  <c r="M17" i="65"/>
  <c r="Q17" i="65"/>
  <c r="K17" i="65"/>
  <c r="O17" i="65"/>
  <c r="I17" i="65"/>
  <c r="U17" i="65"/>
  <c r="S17" i="65"/>
  <c r="X53" i="65"/>
  <c r="AD53" i="65" s="1"/>
  <c r="AD60" i="65" s="1"/>
  <c r="M60" i="65"/>
  <c r="X60" i="65" s="1"/>
  <c r="AA53" i="65"/>
  <c r="AG53" i="65" s="1"/>
  <c r="AG60" i="65" s="1"/>
  <c r="Z53" i="65"/>
  <c r="AF53" i="65" s="1"/>
  <c r="AF60" i="65" s="1"/>
  <c r="Q60" i="65"/>
  <c r="W42" i="65"/>
  <c r="X42" i="65"/>
  <c r="AD42" i="65" s="1"/>
  <c r="X43" i="65"/>
  <c r="AD43" i="65" s="1"/>
  <c r="I46" i="65"/>
  <c r="O46" i="65"/>
  <c r="K46" i="65"/>
  <c r="Q46" i="65"/>
  <c r="M46" i="65"/>
  <c r="U46" i="65"/>
  <c r="S46" i="65"/>
  <c r="Y42" i="65"/>
  <c r="AE42" i="65" s="1"/>
  <c r="Z42" i="65"/>
  <c r="AF42" i="65" s="1"/>
  <c r="AA42" i="65"/>
  <c r="AG42" i="65" s="1"/>
  <c r="W53" i="65"/>
  <c r="K60" i="65"/>
  <c r="W60" i="65" s="1"/>
  <c r="Y53" i="65"/>
  <c r="AE53" i="65" s="1"/>
  <c r="AE60" i="65" s="1"/>
  <c r="O60" i="65"/>
  <c r="Y60" i="65" s="1"/>
  <c r="AA43" i="65"/>
  <c r="AG43" i="65" s="1"/>
  <c r="Z43" i="65"/>
  <c r="AF43" i="65" s="1"/>
  <c r="Y43" i="65"/>
  <c r="AE43" i="65" s="1"/>
  <c r="I60" i="3" l="1"/>
  <c r="W45" i="65"/>
  <c r="AC45" i="65" s="1"/>
  <c r="Z45" i="65"/>
  <c r="AF45" i="65" s="1"/>
  <c r="X45" i="65"/>
  <c r="AD45" i="65" s="1"/>
  <c r="AA45" i="65"/>
  <c r="AG45" i="65" s="1"/>
  <c r="Y45" i="65"/>
  <c r="AE45" i="65" s="1"/>
  <c r="Q22" i="65"/>
  <c r="X46" i="65"/>
  <c r="AD46" i="65" s="1"/>
  <c r="U22" i="65"/>
  <c r="O22" i="65"/>
  <c r="Y46" i="65"/>
  <c r="AE46" i="65" s="1"/>
  <c r="W20" i="65"/>
  <c r="AC20" i="65" s="1"/>
  <c r="S22" i="65"/>
  <c r="AA20" i="65"/>
  <c r="AG20" i="65" s="1"/>
  <c r="Z20" i="65"/>
  <c r="AF20" i="65" s="1"/>
  <c r="X20" i="65"/>
  <c r="AD20" i="65" s="1"/>
  <c r="K22" i="65"/>
  <c r="M22" i="65"/>
  <c r="Y20" i="65"/>
  <c r="AE20" i="65" s="1"/>
  <c r="AG21" i="65"/>
  <c r="AC21" i="65"/>
  <c r="AF21" i="65"/>
  <c r="AE21" i="65"/>
  <c r="AD21" i="65"/>
  <c r="I22" i="65"/>
  <c r="K25" i="65"/>
  <c r="W25" i="65" s="1"/>
  <c r="W24" i="65"/>
  <c r="M25" i="65"/>
  <c r="X25" i="65" s="1"/>
  <c r="X24" i="65"/>
  <c r="AD24" i="65" s="1"/>
  <c r="AD25" i="65" s="1"/>
  <c r="O25" i="65"/>
  <c r="Y25" i="65" s="1"/>
  <c r="Y24" i="65"/>
  <c r="AE24" i="65" s="1"/>
  <c r="AE25" i="65" s="1"/>
  <c r="Q25" i="65"/>
  <c r="Z24" i="65"/>
  <c r="AF24" i="65" s="1"/>
  <c r="AF25" i="65" s="1"/>
  <c r="AA24" i="65"/>
  <c r="AG24" i="65" s="1"/>
  <c r="AG25" i="65" s="1"/>
  <c r="AC49" i="65"/>
  <c r="AH49" i="65" s="1"/>
  <c r="AB49" i="65"/>
  <c r="AB47" i="65"/>
  <c r="AH47" i="65"/>
  <c r="AC15" i="65"/>
  <c r="AH15" i="65" s="1"/>
  <c r="AB15" i="65"/>
  <c r="U34" i="65"/>
  <c r="K34" i="65"/>
  <c r="I34" i="65"/>
  <c r="S34" i="65"/>
  <c r="Q34" i="65"/>
  <c r="O34" i="65"/>
  <c r="M34" i="65"/>
  <c r="M39" i="65"/>
  <c r="O39" i="65"/>
  <c r="U39" i="65"/>
  <c r="Q39" i="65"/>
  <c r="I39" i="65"/>
  <c r="K39" i="65"/>
  <c r="S39" i="65"/>
  <c r="O38" i="65"/>
  <c r="K38" i="65"/>
  <c r="Q38" i="65"/>
  <c r="M38" i="65"/>
  <c r="I38" i="65"/>
  <c r="U38" i="65"/>
  <c r="S38" i="65"/>
  <c r="AC40" i="65"/>
  <c r="AH40" i="65" s="1"/>
  <c r="AB40" i="65"/>
  <c r="W46" i="65"/>
  <c r="Z60" i="65"/>
  <c r="AA60" i="65"/>
  <c r="Y17" i="65"/>
  <c r="AE17" i="65" s="1"/>
  <c r="AC53" i="65"/>
  <c r="AB53" i="65"/>
  <c r="AC42" i="65"/>
  <c r="AH42" i="65" s="1"/>
  <c r="AB42" i="65"/>
  <c r="W17" i="65"/>
  <c r="AB43" i="65"/>
  <c r="Z17" i="65"/>
  <c r="AF17" i="65" s="1"/>
  <c r="AA17" i="65"/>
  <c r="AG17" i="65" s="1"/>
  <c r="AA46" i="65"/>
  <c r="AG46" i="65" s="1"/>
  <c r="Z46" i="65"/>
  <c r="AF46" i="65" s="1"/>
  <c r="AH43" i="65"/>
  <c r="X17" i="65"/>
  <c r="AD17" i="65" s="1"/>
  <c r="I52" i="3"/>
  <c r="I51" i="3"/>
  <c r="I47" i="3"/>
  <c r="I46" i="3"/>
  <c r="AE22" i="65" l="1"/>
  <c r="AH45" i="65"/>
  <c r="AB45" i="65"/>
  <c r="W22" i="65"/>
  <c r="AF22" i="65"/>
  <c r="Y22" i="65"/>
  <c r="AD22" i="65"/>
  <c r="X22" i="65"/>
  <c r="Z22" i="65"/>
  <c r="AB20" i="65"/>
  <c r="AG22" i="65"/>
  <c r="AA22" i="65"/>
  <c r="AH20" i="65"/>
  <c r="AC22" i="65"/>
  <c r="AH21" i="65"/>
  <c r="AC24" i="65"/>
  <c r="AB24" i="65"/>
  <c r="AA25" i="65"/>
  <c r="Z25" i="65"/>
  <c r="AB60" i="65"/>
  <c r="X39" i="65"/>
  <c r="AD39" i="65" s="1"/>
  <c r="W38" i="65"/>
  <c r="AC38" i="65" s="1"/>
  <c r="Y38" i="65"/>
  <c r="AE38" i="65" s="1"/>
  <c r="W39" i="65"/>
  <c r="AC39" i="65" s="1"/>
  <c r="Y39" i="65"/>
  <c r="AE39" i="65" s="1"/>
  <c r="Q36" i="65"/>
  <c r="O36" i="65"/>
  <c r="K36" i="65"/>
  <c r="X34" i="65"/>
  <c r="AD34" i="65" s="1"/>
  <c r="I35" i="65"/>
  <c r="U35" i="65"/>
  <c r="O35" i="65"/>
  <c r="K35" i="65"/>
  <c r="Q35" i="65"/>
  <c r="M35" i="65"/>
  <c r="S35" i="65"/>
  <c r="AA39" i="65"/>
  <c r="AG39" i="65" s="1"/>
  <c r="Z39" i="65"/>
  <c r="AF39" i="65" s="1"/>
  <c r="X38" i="65"/>
  <c r="AD38" i="65" s="1"/>
  <c r="Y34" i="65"/>
  <c r="AE34" i="65" s="1"/>
  <c r="W34" i="65"/>
  <c r="AA38" i="65"/>
  <c r="AG38" i="65" s="1"/>
  <c r="Z38" i="65"/>
  <c r="AF38" i="65" s="1"/>
  <c r="AA34" i="65"/>
  <c r="AG34" i="65" s="1"/>
  <c r="Z34" i="65"/>
  <c r="AF34" i="65" s="1"/>
  <c r="AC17" i="65"/>
  <c r="AH17" i="65" s="1"/>
  <c r="AB17" i="65"/>
  <c r="AC60" i="65"/>
  <c r="AH53" i="65"/>
  <c r="AH60" i="65" s="1"/>
  <c r="AC46" i="65"/>
  <c r="AH46" i="65" s="1"/>
  <c r="AB46" i="65"/>
  <c r="AB25" i="65" l="1"/>
  <c r="AB22" i="65"/>
  <c r="AH22" i="65"/>
  <c r="AC25" i="65"/>
  <c r="AH24" i="65"/>
  <c r="AH25" i="65" s="1"/>
  <c r="O33" i="65"/>
  <c r="Q33" i="65"/>
  <c r="M33" i="65"/>
  <c r="K33" i="65"/>
  <c r="I33" i="65"/>
  <c r="U33" i="65"/>
  <c r="S33" i="65"/>
  <c r="X35" i="65"/>
  <c r="AD35" i="65" s="1"/>
  <c r="W35" i="65"/>
  <c r="AC35" i="65" s="1"/>
  <c r="AA35" i="65"/>
  <c r="AG35" i="65" s="1"/>
  <c r="Z35" i="65"/>
  <c r="AF35" i="65" s="1"/>
  <c r="AB39" i="65"/>
  <c r="AC34" i="65"/>
  <c r="AH34" i="65" s="1"/>
  <c r="AB34" i="65"/>
  <c r="AH39" i="65"/>
  <c r="Y35" i="65"/>
  <c r="AE35" i="65" s="1"/>
  <c r="AH38" i="65"/>
  <c r="AB38" i="65"/>
  <c r="I45" i="3"/>
  <c r="W33" i="65" l="1"/>
  <c r="AC33" i="65" s="1"/>
  <c r="Y33" i="65"/>
  <c r="AE33" i="65" s="1"/>
  <c r="AA33" i="65"/>
  <c r="AG33" i="65" s="1"/>
  <c r="Z33" i="65"/>
  <c r="AF33" i="65" s="1"/>
  <c r="X33" i="65"/>
  <c r="AD33" i="65" s="1"/>
  <c r="AB35" i="65"/>
  <c r="AH35" i="65"/>
  <c r="AB33" i="65" l="1"/>
  <c r="AH33" i="65"/>
  <c r="I33" i="3"/>
  <c r="I35" i="3" s="1"/>
  <c r="I28" i="3"/>
  <c r="E20" i="88" l="1"/>
  <c r="I39" i="3"/>
  <c r="E20" i="62"/>
  <c r="O28" i="65"/>
  <c r="M28" i="65"/>
  <c r="U28" i="65"/>
  <c r="K28" i="65"/>
  <c r="I28" i="65"/>
  <c r="Q28" i="65"/>
  <c r="S28" i="65"/>
  <c r="I27" i="3"/>
  <c r="I30" i="3" s="1"/>
  <c r="E17" i="88" l="1"/>
  <c r="I42" i="3"/>
  <c r="I41" i="3"/>
  <c r="I40" i="3"/>
  <c r="E17" i="62"/>
  <c r="Z28" i="65"/>
  <c r="AF28" i="65" s="1"/>
  <c r="AA28" i="65"/>
  <c r="AG28" i="65" s="1"/>
  <c r="X28" i="65"/>
  <c r="AD28" i="65" s="1"/>
  <c r="U30" i="65"/>
  <c r="Q30" i="65"/>
  <c r="K30" i="65"/>
  <c r="O30" i="65"/>
  <c r="I30" i="65"/>
  <c r="M30" i="65"/>
  <c r="S30" i="65"/>
  <c r="M31" i="65"/>
  <c r="U31" i="65"/>
  <c r="O31" i="65"/>
  <c r="Q31" i="65"/>
  <c r="I31" i="65"/>
  <c r="K31" i="65"/>
  <c r="S31" i="65"/>
  <c r="Y28" i="65"/>
  <c r="AE28" i="65" s="1"/>
  <c r="W28" i="65"/>
  <c r="O29" i="65"/>
  <c r="M29" i="65"/>
  <c r="Q29" i="65"/>
  <c r="K29" i="65"/>
  <c r="U29" i="65"/>
  <c r="I29" i="65"/>
  <c r="S29" i="65"/>
  <c r="W29" i="65" l="1"/>
  <c r="AC29" i="65" s="1"/>
  <c r="K50" i="65"/>
  <c r="AA31" i="65"/>
  <c r="AG31" i="65" s="1"/>
  <c r="Z31" i="65"/>
  <c r="AF31" i="65" s="1"/>
  <c r="W30" i="65"/>
  <c r="AA29" i="65"/>
  <c r="AG29" i="65" s="1"/>
  <c r="Z29" i="65"/>
  <c r="AF29" i="65" s="1"/>
  <c r="AB28" i="65"/>
  <c r="AC28" i="65"/>
  <c r="Y31" i="65"/>
  <c r="AE31" i="65" s="1"/>
  <c r="X30" i="65"/>
  <c r="AD30" i="65" s="1"/>
  <c r="AA30" i="65"/>
  <c r="AG30" i="65" s="1"/>
  <c r="Z30" i="65"/>
  <c r="AF30" i="65" s="1"/>
  <c r="Q50" i="65"/>
  <c r="X29" i="65"/>
  <c r="AD29" i="65" s="1"/>
  <c r="O50" i="65"/>
  <c r="W31" i="65"/>
  <c r="Y29" i="65"/>
  <c r="AE29" i="65" s="1"/>
  <c r="X31" i="65"/>
  <c r="AD31" i="65" s="1"/>
  <c r="Y30" i="65"/>
  <c r="AE30" i="65" s="1"/>
  <c r="AC31" i="65" l="1"/>
  <c r="AH31" i="65" s="1"/>
  <c r="AB31" i="65"/>
  <c r="AH28" i="65"/>
  <c r="AC30" i="65"/>
  <c r="AH30" i="65" s="1"/>
  <c r="AB30" i="65"/>
  <c r="AB29" i="65"/>
  <c r="I16" i="65"/>
  <c r="Q16" i="65"/>
  <c r="K16" i="65"/>
  <c r="O16" i="65"/>
  <c r="M16" i="65"/>
  <c r="U16" i="65"/>
  <c r="S16" i="65"/>
  <c r="AH29" i="65"/>
  <c r="I22" i="3"/>
  <c r="I21" i="3" l="1"/>
  <c r="Y16" i="65"/>
  <c r="AE16" i="65" s="1"/>
  <c r="X16" i="65"/>
  <c r="AD16" i="65" s="1"/>
  <c r="Z16" i="65"/>
  <c r="AF16" i="65" s="1"/>
  <c r="AA16" i="65"/>
  <c r="AG16" i="65" s="1"/>
  <c r="W16" i="65"/>
  <c r="I17" i="3" l="1"/>
  <c r="K13" i="65"/>
  <c r="O14" i="65"/>
  <c r="U14" i="65"/>
  <c r="K14" i="65"/>
  <c r="M14" i="65"/>
  <c r="I14" i="65"/>
  <c r="Q14" i="65"/>
  <c r="S14" i="65"/>
  <c r="AC16" i="65"/>
  <c r="AH16" i="65" s="1"/>
  <c r="AB16" i="65"/>
  <c r="I12" i="65"/>
  <c r="O12" i="65"/>
  <c r="U12" i="65"/>
  <c r="M12" i="65"/>
  <c r="K12" i="65"/>
  <c r="Q12" i="65"/>
  <c r="S12" i="65"/>
  <c r="Q13" i="65" l="1"/>
  <c r="S13" i="65"/>
  <c r="W13" i="65" s="1"/>
  <c r="I18" i="3"/>
  <c r="M13" i="65"/>
  <c r="I19" i="3"/>
  <c r="O13" i="65"/>
  <c r="I13" i="65"/>
  <c r="U13" i="65"/>
  <c r="W12" i="65"/>
  <c r="AC12" i="65" s="1"/>
  <c r="X12" i="65"/>
  <c r="AD12" i="65" s="1"/>
  <c r="X14" i="65"/>
  <c r="AD14" i="65" s="1"/>
  <c r="Y14" i="65"/>
  <c r="AE14" i="65" s="1"/>
  <c r="M11" i="65"/>
  <c r="O11" i="65"/>
  <c r="Q11" i="65"/>
  <c r="K11" i="65"/>
  <c r="U11" i="65"/>
  <c r="S11" i="65"/>
  <c r="I11" i="65"/>
  <c r="W14" i="65"/>
  <c r="Z12" i="65"/>
  <c r="AF12" i="65" s="1"/>
  <c r="AA12" i="65"/>
  <c r="AG12" i="65" s="1"/>
  <c r="Y12" i="65"/>
  <c r="AE12" i="65" s="1"/>
  <c r="Z14" i="65"/>
  <c r="AF14" i="65" s="1"/>
  <c r="AA14" i="65"/>
  <c r="AG14" i="65" s="1"/>
  <c r="I16" i="3"/>
  <c r="I15" i="3"/>
  <c r="AC13" i="65" l="1"/>
  <c r="X13" i="65"/>
  <c r="AD13" i="65" s="1"/>
  <c r="Z13" i="65"/>
  <c r="AF13" i="65" s="1"/>
  <c r="AA13" i="65"/>
  <c r="AG13" i="65" s="1"/>
  <c r="Y13" i="65"/>
  <c r="AE13" i="65" s="1"/>
  <c r="M66" i="65"/>
  <c r="M68" i="65" s="1"/>
  <c r="Y11" i="65"/>
  <c r="AE11" i="65" s="1"/>
  <c r="X11" i="65"/>
  <c r="AD11" i="65" s="1"/>
  <c r="W11" i="65"/>
  <c r="Q10" i="65"/>
  <c r="U10" i="65"/>
  <c r="M10" i="65"/>
  <c r="I10" i="65"/>
  <c r="O10" i="65"/>
  <c r="K10" i="65"/>
  <c r="S10" i="65"/>
  <c r="AA11" i="65"/>
  <c r="AG11" i="65" s="1"/>
  <c r="Z11" i="65"/>
  <c r="AF11" i="65" s="1"/>
  <c r="AB14" i="65"/>
  <c r="AC14" i="65"/>
  <c r="AH14" i="65" s="1"/>
  <c r="AB12" i="65"/>
  <c r="AH12" i="65"/>
  <c r="Q66" i="65" l="1"/>
  <c r="Q68" i="65" s="1"/>
  <c r="O66" i="65"/>
  <c r="O68" i="65" s="1"/>
  <c r="AH13" i="65"/>
  <c r="U66" i="65"/>
  <c r="U68" i="65" s="1"/>
  <c r="I66" i="65"/>
  <c r="I68" i="65" s="1"/>
  <c r="AB13" i="65"/>
  <c r="I76" i="3"/>
  <c r="I78" i="3" s="1"/>
  <c r="S66" i="65"/>
  <c r="S68" i="65" s="1"/>
  <c r="X68" i="65" s="1"/>
  <c r="K66" i="65"/>
  <c r="K68" i="65" s="1"/>
  <c r="Y10" i="65"/>
  <c r="AE10" i="65" s="1"/>
  <c r="AA10" i="65"/>
  <c r="AG10" i="65" s="1"/>
  <c r="Z10" i="65"/>
  <c r="AF10" i="65" s="1"/>
  <c r="X10" i="65"/>
  <c r="AD10" i="65" s="1"/>
  <c r="AB11" i="65"/>
  <c r="AC11" i="65"/>
  <c r="AH11" i="65" s="1"/>
  <c r="W10" i="65"/>
  <c r="M9" i="65"/>
  <c r="K9" i="65"/>
  <c r="I9" i="65"/>
  <c r="O9" i="65"/>
  <c r="Q9" i="65"/>
  <c r="U9" i="65"/>
  <c r="S9" i="65"/>
  <c r="E32" i="88" l="1"/>
  <c r="I14" i="3"/>
  <c r="E28" i="62"/>
  <c r="W68" i="65"/>
  <c r="Y68" i="65"/>
  <c r="X66" i="65"/>
  <c r="AD66" i="65" s="1"/>
  <c r="AD68" i="65" s="1"/>
  <c r="I13" i="3"/>
  <c r="Z66" i="65"/>
  <c r="AF66" i="65" s="1"/>
  <c r="AF68" i="65" s="1"/>
  <c r="W66" i="65"/>
  <c r="AC66" i="65" s="1"/>
  <c r="AC68" i="65" s="1"/>
  <c r="Y66" i="65"/>
  <c r="AE66" i="65" s="1"/>
  <c r="AE68" i="65" s="1"/>
  <c r="AA66" i="65"/>
  <c r="AG66" i="65" s="1"/>
  <c r="AG68" i="65" s="1"/>
  <c r="AC10" i="65"/>
  <c r="AH10" i="65" s="1"/>
  <c r="AB10" i="65"/>
  <c r="W9" i="65"/>
  <c r="Z9" i="65"/>
  <c r="AF9" i="65" s="1"/>
  <c r="AA9" i="65"/>
  <c r="AG9" i="65" s="1"/>
  <c r="X9" i="65"/>
  <c r="AD9" i="65" s="1"/>
  <c r="Q8" i="65"/>
  <c r="M8" i="65"/>
  <c r="O8" i="65"/>
  <c r="I8" i="65"/>
  <c r="U8" i="65"/>
  <c r="U18" i="65" s="1"/>
  <c r="K8" i="65"/>
  <c r="S8" i="65"/>
  <c r="Y9" i="65"/>
  <c r="AE9" i="65" s="1"/>
  <c r="I24" i="3" l="1"/>
  <c r="AH66" i="65"/>
  <c r="AH68" i="65" s="1"/>
  <c r="AB66" i="65"/>
  <c r="Z68" i="65"/>
  <c r="AA68" i="65"/>
  <c r="Z8" i="65"/>
  <c r="AF8" i="65" s="1"/>
  <c r="AF18" i="65" s="1"/>
  <c r="AA8" i="65"/>
  <c r="AG8" i="65" s="1"/>
  <c r="AG18" i="65" s="1"/>
  <c r="Q18" i="65"/>
  <c r="I18" i="65"/>
  <c r="S18" i="65"/>
  <c r="Y8" i="65"/>
  <c r="AE8" i="65" s="1"/>
  <c r="AE18" i="65" s="1"/>
  <c r="O18" i="65"/>
  <c r="AC9" i="65"/>
  <c r="AH9" i="65" s="1"/>
  <c r="AB9" i="65"/>
  <c r="W8" i="65"/>
  <c r="K18" i="65"/>
  <c r="X8" i="65"/>
  <c r="AD8" i="65" s="1"/>
  <c r="AD18" i="65" s="1"/>
  <c r="M18" i="65"/>
  <c r="G68" i="87"/>
  <c r="E14" i="62" l="1"/>
  <c r="E14" i="88"/>
  <c r="X18" i="65"/>
  <c r="AB68" i="65"/>
  <c r="AC8" i="65"/>
  <c r="AH8" i="65" s="1"/>
  <c r="AH18" i="65" s="1"/>
  <c r="AB8" i="65"/>
  <c r="Q74" i="65"/>
  <c r="Z18" i="65"/>
  <c r="AA18" i="65"/>
  <c r="W18" i="65"/>
  <c r="Y18" i="65"/>
  <c r="H22" i="31"/>
  <c r="I29" i="31" s="1"/>
  <c r="L36" i="65" l="1"/>
  <c r="R36" i="65" s="1"/>
  <c r="S36" i="65" s="1"/>
  <c r="L48" i="69"/>
  <c r="AB18" i="65"/>
  <c r="AC18" i="65"/>
  <c r="I47" i="31"/>
  <c r="M36" i="65" l="1"/>
  <c r="M50" i="65" s="1"/>
  <c r="M48" i="69"/>
  <c r="M69" i="69" s="1"/>
  <c r="R48" i="69"/>
  <c r="S48" i="69" s="1"/>
  <c r="W36" i="65"/>
  <c r="AA36" i="65"/>
  <c r="Z36" i="65"/>
  <c r="Y36" i="65"/>
  <c r="S50" i="65"/>
  <c r="S74" i="65" s="1"/>
  <c r="H51" i="31"/>
  <c r="H52" i="31"/>
  <c r="H50" i="31"/>
  <c r="X36" i="65" l="1"/>
  <c r="AB36" i="65" s="1"/>
  <c r="S69" i="69"/>
  <c r="S96" i="69" s="1"/>
  <c r="S97" i="69" s="1"/>
  <c r="C13" i="87" s="1"/>
  <c r="X50" i="65"/>
  <c r="Z50" i="65"/>
  <c r="AA50" i="65"/>
  <c r="Y50" i="65"/>
  <c r="W50" i="65"/>
  <c r="I53" i="31"/>
  <c r="G13" i="87" l="1"/>
  <c r="T48" i="69"/>
  <c r="AB50" i="65"/>
  <c r="T36" i="65"/>
  <c r="I55" i="31"/>
  <c r="G15" i="87" l="1"/>
  <c r="H15" i="87" s="1"/>
  <c r="H25" i="87"/>
  <c r="O26" i="87"/>
  <c r="H39" i="87"/>
  <c r="H69" i="87"/>
  <c r="O30" i="87"/>
  <c r="O22" i="87"/>
  <c r="H46" i="87"/>
  <c r="G56" i="87"/>
  <c r="O29" i="87"/>
  <c r="O39" i="87"/>
  <c r="O47" i="87"/>
  <c r="O52" i="87"/>
  <c r="O34" i="87"/>
  <c r="N56" i="87"/>
  <c r="H23" i="87"/>
  <c r="H30" i="87"/>
  <c r="O23" i="87"/>
  <c r="H27" i="87"/>
  <c r="O27" i="87"/>
  <c r="O49" i="87"/>
  <c r="H22" i="87"/>
  <c r="H29" i="87"/>
  <c r="H51" i="87"/>
  <c r="G16" i="87"/>
  <c r="H16" i="87" s="1"/>
  <c r="O36" i="87"/>
  <c r="H68" i="87"/>
  <c r="H50" i="87"/>
  <c r="H49" i="87"/>
  <c r="O33" i="87"/>
  <c r="O46" i="87"/>
  <c r="H26" i="87"/>
  <c r="H52" i="87"/>
  <c r="H28" i="87"/>
  <c r="O50" i="87"/>
  <c r="O35" i="87"/>
  <c r="O38" i="87"/>
  <c r="H48" i="87"/>
  <c r="H24" i="87"/>
  <c r="H47" i="87"/>
  <c r="O37" i="87"/>
  <c r="O48" i="87"/>
  <c r="H35" i="87"/>
  <c r="H38" i="87"/>
  <c r="H34" i="87"/>
  <c r="H33" i="87"/>
  <c r="O28" i="87"/>
  <c r="O51" i="87"/>
  <c r="H48" i="69"/>
  <c r="U48" i="69"/>
  <c r="U69" i="69" s="1"/>
  <c r="V48" i="69"/>
  <c r="W48" i="69" s="1"/>
  <c r="W69" i="69" s="1"/>
  <c r="H36" i="65"/>
  <c r="I36" i="65" s="1"/>
  <c r="U36" i="65"/>
  <c r="U50" i="65" s="1"/>
  <c r="V36" i="65"/>
  <c r="U21" i="60"/>
  <c r="H40" i="87" l="1"/>
  <c r="I48" i="69"/>
  <c r="I69" i="69" s="1"/>
  <c r="I98" i="69" s="1"/>
  <c r="I99" i="69" s="1"/>
  <c r="C12" i="87" s="1"/>
  <c r="H48" i="3"/>
  <c r="I48" i="3" s="1"/>
  <c r="I68" i="3" s="1"/>
  <c r="I93" i="3" s="1"/>
  <c r="I96" i="3" s="1"/>
  <c r="H41" i="87"/>
  <c r="O42" i="87"/>
  <c r="H53" i="87"/>
  <c r="O53" i="87"/>
  <c r="I50" i="65"/>
  <c r="I76" i="65" s="1"/>
  <c r="AD36" i="65"/>
  <c r="AD50" i="65" s="1"/>
  <c r="AC36" i="65"/>
  <c r="AG36" i="65"/>
  <c r="AG50" i="65" s="1"/>
  <c r="AF36" i="65"/>
  <c r="AF50" i="65" s="1"/>
  <c r="AE36" i="65"/>
  <c r="AE50" i="65" s="1"/>
  <c r="U103" i="60"/>
  <c r="E23" i="88" l="1"/>
  <c r="H42" i="87"/>
  <c r="H55" i="87"/>
  <c r="H56" i="87" s="1"/>
  <c r="O55" i="87"/>
  <c r="O56" i="87" s="1"/>
  <c r="E23" i="62"/>
  <c r="AH36" i="65"/>
  <c r="AC50" i="65"/>
  <c r="D61" i="87" l="1"/>
  <c r="C74" i="87"/>
  <c r="AH50" i="65"/>
  <c r="AH76" i="65" s="1"/>
  <c r="G74" i="87" l="1"/>
  <c r="C76" i="87"/>
  <c r="C75" i="87"/>
  <c r="G75" i="87" s="1"/>
  <c r="H75" i="87" s="1"/>
  <c r="G61" i="87"/>
  <c r="D62" i="87"/>
  <c r="L111" i="60"/>
  <c r="M111" i="60" s="1"/>
  <c r="L110" i="60"/>
  <c r="H61" i="87" l="1"/>
  <c r="G76" i="87"/>
  <c r="H76" i="87" s="1"/>
  <c r="C77" i="87"/>
  <c r="G62" i="87"/>
  <c r="H62" i="87" s="1"/>
  <c r="D63" i="87"/>
  <c r="H74" i="87"/>
  <c r="U111" i="60"/>
  <c r="M110" i="60"/>
  <c r="U110" i="60" s="1"/>
  <c r="C78" i="87" l="1"/>
  <c r="G78" i="87" s="1"/>
  <c r="H78" i="87" s="1"/>
  <c r="G77" i="87"/>
  <c r="D64" i="87"/>
  <c r="G63" i="87"/>
  <c r="L49" i="60"/>
  <c r="M49" i="60" s="1"/>
  <c r="H77" i="87" l="1"/>
  <c r="H79" i="87" s="1"/>
  <c r="G79" i="87"/>
  <c r="G64" i="87"/>
  <c r="H64" i="87" s="1"/>
  <c r="D65" i="87"/>
  <c r="H63" i="87"/>
  <c r="L32" i="60"/>
  <c r="L31" i="60"/>
  <c r="M31" i="60" s="1"/>
  <c r="L50" i="60"/>
  <c r="G65" i="87" l="1"/>
  <c r="H65" i="87" s="1"/>
  <c r="D66" i="87"/>
  <c r="U31" i="60"/>
  <c r="M50" i="60"/>
  <c r="M32" i="60"/>
  <c r="U32" i="60" s="1"/>
  <c r="G66" i="87" l="1"/>
  <c r="D67" i="87"/>
  <c r="G67" i="87" s="1"/>
  <c r="H67" i="87" s="1"/>
  <c r="H66" i="87" l="1"/>
  <c r="H71" i="87" s="1"/>
  <c r="H81" i="87" s="1"/>
  <c r="H82" i="87" s="1"/>
  <c r="G71" i="87"/>
  <c r="G81" i="87" s="1"/>
  <c r="G82" i="87" s="1"/>
  <c r="G84" i="87" s="1"/>
  <c r="N14" i="87" s="1"/>
  <c r="G14" i="87" s="1"/>
  <c r="H14" i="87" l="1"/>
  <c r="H13" i="87" s="1"/>
  <c r="H84" i="87"/>
  <c r="H88" i="87" s="1"/>
  <c r="K88" i="87" s="1"/>
  <c r="G88" i="87"/>
  <c r="N17" i="87" l="1"/>
  <c r="H17" i="87" l="1"/>
  <c r="G17" i="87"/>
  <c r="I17" i="87" l="1"/>
  <c r="L9" i="87"/>
  <c r="L18" i="87"/>
  <c r="P20" i="87"/>
  <c r="I101" i="69" l="1"/>
  <c r="I78" i="65"/>
  <c r="I79" i="65" s="1"/>
  <c r="I102" i="69" l="1"/>
  <c r="I95" i="3"/>
  <c r="E38" i="88" l="1"/>
  <c r="AH79" i="65"/>
  <c r="E34" i="62"/>
  <c r="L14" i="60" l="1"/>
  <c r="M14" i="60" s="1"/>
  <c r="L15" i="60" l="1"/>
  <c r="M15" i="60" s="1"/>
  <c r="C18" i="8" l="1"/>
  <c r="D45" i="8" s="1"/>
  <c r="F45" i="8" s="1"/>
  <c r="C45" i="8" s="1"/>
  <c r="D16" i="83" s="1"/>
  <c r="E16" i="83" s="1"/>
  <c r="G16" i="83" s="1"/>
  <c r="H16" i="83" s="1"/>
  <c r="H26" i="83" s="1"/>
  <c r="H28" i="83" s="1"/>
  <c r="H34" i="83" s="1"/>
  <c r="C33" i="58" l="1"/>
  <c r="E33" i="58" s="1"/>
  <c r="F33" i="58"/>
  <c r="H33" i="58" s="1"/>
  <c r="H36" i="58" s="1"/>
  <c r="H49" i="58" s="1"/>
  <c r="E37" i="62"/>
  <c r="E41" i="88"/>
  <c r="I109" i="69" l="1"/>
  <c r="I106" i="3"/>
  <c r="H50" i="58"/>
  <c r="H52" i="58" s="1"/>
  <c r="H53" i="58" s="1"/>
  <c r="E49" i="88"/>
  <c r="E45" i="62"/>
  <c r="I83" i="65"/>
  <c r="I111" i="69" l="1"/>
  <c r="I110" i="3"/>
  <c r="O971" i="68" s="1"/>
  <c r="O973" i="68" s="1"/>
  <c r="I112" i="69"/>
  <c r="F44" i="88"/>
  <c r="F17" i="88"/>
  <c r="A22" i="60" s="1"/>
  <c r="F35" i="88"/>
  <c r="A156" i="60" s="1"/>
  <c r="A104" i="60"/>
  <c r="F38" i="88"/>
  <c r="A189" i="60" s="1"/>
  <c r="A86" i="60"/>
  <c r="F23" i="88"/>
  <c r="A58" i="60" s="1"/>
  <c r="F32" i="88"/>
  <c r="A122" i="60" s="1"/>
  <c r="F20" i="88"/>
  <c r="A40" i="60" s="1"/>
  <c r="F14" i="88"/>
  <c r="A2" i="60" s="1"/>
  <c r="F41" i="88"/>
  <c r="H66" i="58"/>
  <c r="I86" i="65"/>
  <c r="K86" i="65" s="1"/>
  <c r="AH83" i="65"/>
  <c r="F31" i="62"/>
  <c r="F17" i="62"/>
  <c r="F28" i="62"/>
  <c r="F34" i="62"/>
  <c r="F14" i="62"/>
  <c r="F23" i="62"/>
  <c r="F20" i="62"/>
  <c r="F37" i="62"/>
  <c r="E128" i="3" l="1"/>
  <c r="E129" i="3" s="1"/>
  <c r="F45" i="62"/>
  <c r="F49" i="88"/>
  <c r="A225" i="60"/>
  <c r="K119" i="60"/>
  <c r="A110" i="60"/>
  <c r="E104" i="60" s="1"/>
  <c r="A106" i="60"/>
  <c r="K17" i="60"/>
  <c r="A8" i="60"/>
  <c r="E2" i="60" s="1"/>
  <c r="A4" i="60"/>
  <c r="A88" i="60"/>
  <c r="A94" i="60" s="1"/>
  <c r="C86" i="60" s="1"/>
  <c r="A92" i="60"/>
  <c r="E86" i="60" s="1"/>
  <c r="K186" i="60"/>
  <c r="A162" i="60"/>
  <c r="E156" i="60" s="1"/>
  <c r="A158" i="60"/>
  <c r="AH87" i="65"/>
  <c r="AH89" i="65" s="1"/>
  <c r="E53" i="88"/>
  <c r="E49" i="62"/>
  <c r="K55" i="60"/>
  <c r="A42" i="60"/>
  <c r="A46" i="60"/>
  <c r="E40" i="60" s="1"/>
  <c r="K37" i="60"/>
  <c r="A28" i="60"/>
  <c r="E22" i="60" s="1"/>
  <c r="A24" i="60"/>
  <c r="K83" i="60"/>
  <c r="A64" i="60"/>
  <c r="E58" i="60" s="1"/>
  <c r="U24" i="62" s="1"/>
  <c r="U25" i="62" s="1"/>
  <c r="A60" i="60"/>
  <c r="K153" i="60"/>
  <c r="A128" i="60"/>
  <c r="E122" i="60" s="1"/>
  <c r="A124" i="60"/>
  <c r="K222" i="60"/>
  <c r="A195" i="60"/>
  <c r="E189" i="60" s="1"/>
  <c r="A191" i="60"/>
  <c r="S46" i="88"/>
  <c r="S47" i="88" s="1"/>
  <c r="AJ46" i="88"/>
  <c r="AJ47" i="88" s="1"/>
  <c r="Y46" i="88"/>
  <c r="Y47" i="88" s="1"/>
  <c r="V46" i="88"/>
  <c r="V47" i="88" s="1"/>
  <c r="T46" i="88"/>
  <c r="T47" i="88" s="1"/>
  <c r="AD46" i="88"/>
  <c r="AD47" i="88" s="1"/>
  <c r="P46" i="88"/>
  <c r="P47" i="88" s="1"/>
  <c r="F40" i="62"/>
  <c r="N46" i="88"/>
  <c r="N47" i="88" s="1"/>
  <c r="AB46" i="88"/>
  <c r="AB47" i="88" s="1"/>
  <c r="AN46" i="88"/>
  <c r="AN47" i="88" s="1"/>
  <c r="J46" i="88"/>
  <c r="J47" i="88" s="1"/>
  <c r="AG46" i="88"/>
  <c r="AG47" i="88" s="1"/>
  <c r="X46" i="88"/>
  <c r="X47" i="88" s="1"/>
  <c r="AH46" i="88"/>
  <c r="AH47" i="88" s="1"/>
  <c r="AC46" i="88"/>
  <c r="AC47" i="88" s="1"/>
  <c r="AF46" i="88"/>
  <c r="AF47" i="88" s="1"/>
  <c r="I46" i="88"/>
  <c r="I47" i="88" s="1"/>
  <c r="AK46" i="88"/>
  <c r="AK47" i="88" s="1"/>
  <c r="R46" i="88"/>
  <c r="R47" i="88" s="1"/>
  <c r="W46" i="88"/>
  <c r="W47" i="88" s="1"/>
  <c r="Q46" i="88"/>
  <c r="Q47" i="88" s="1"/>
  <c r="L46" i="88"/>
  <c r="L47" i="88" s="1"/>
  <c r="AI46" i="88"/>
  <c r="AI47" i="88" s="1"/>
  <c r="K46" i="88"/>
  <c r="K47" i="88" s="1"/>
  <c r="AA46" i="88"/>
  <c r="AA47" i="88" s="1"/>
  <c r="U46" i="88"/>
  <c r="U47" i="88" s="1"/>
  <c r="M46" i="88"/>
  <c r="M47" i="88" s="1"/>
  <c r="O46" i="88"/>
  <c r="O47" i="88" s="1"/>
  <c r="Z46" i="88"/>
  <c r="Z47" i="88" s="1"/>
  <c r="AE46" i="88"/>
  <c r="AE47" i="88" s="1"/>
  <c r="AL46" i="88"/>
  <c r="AL47" i="88" s="1"/>
  <c r="AM46" i="88"/>
  <c r="AM47" i="88" s="1"/>
  <c r="E130" i="3" l="1"/>
  <c r="E131" i="3" s="1"/>
  <c r="E132" i="3" s="1"/>
  <c r="K18" i="60"/>
  <c r="A10" i="60"/>
  <c r="C2" i="60" s="1"/>
  <c r="K35" i="62"/>
  <c r="K36" i="62" s="1"/>
  <c r="K39" i="88"/>
  <c r="K40" i="88" s="1"/>
  <c r="E190" i="60"/>
  <c r="K84" i="60"/>
  <c r="A66" i="60"/>
  <c r="C58" i="60" s="1"/>
  <c r="K56" i="60"/>
  <c r="A48" i="60"/>
  <c r="C40" i="60" s="1"/>
  <c r="K15" i="62"/>
  <c r="K16" i="62" s="1"/>
  <c r="E3" i="60"/>
  <c r="K15" i="88"/>
  <c r="K16" i="88" s="1"/>
  <c r="U24" i="88"/>
  <c r="U25" i="88" s="1"/>
  <c r="E59" i="60"/>
  <c r="V24" i="62" s="1"/>
  <c r="V25" i="62" s="1"/>
  <c r="R18" i="88"/>
  <c r="R19" i="88" s="1"/>
  <c r="R18" i="62"/>
  <c r="R19" i="62" s="1"/>
  <c r="E23" i="60"/>
  <c r="AL27" i="88"/>
  <c r="AL28" i="88" s="1"/>
  <c r="E87" i="60"/>
  <c r="A231" i="60"/>
  <c r="E225" i="60" s="1"/>
  <c r="A227" i="60"/>
  <c r="A233" i="60" s="1"/>
  <c r="C225" i="60" s="1"/>
  <c r="K223" i="60"/>
  <c r="A197" i="60"/>
  <c r="C189" i="60" s="1"/>
  <c r="K29" i="62"/>
  <c r="K30" i="62" s="1"/>
  <c r="K33" i="88"/>
  <c r="K34" i="88" s="1"/>
  <c r="E123" i="60"/>
  <c r="Y21" i="62"/>
  <c r="Y22" i="62" s="1"/>
  <c r="Y21" i="88"/>
  <c r="Y22" i="88" s="1"/>
  <c r="E41" i="60"/>
  <c r="K32" i="62"/>
  <c r="K33" i="62" s="1"/>
  <c r="K36" i="88"/>
  <c r="K37" i="88" s="1"/>
  <c r="E157" i="60"/>
  <c r="AH30" i="88"/>
  <c r="AH31" i="88" s="1"/>
  <c r="E105" i="60"/>
  <c r="K38" i="60"/>
  <c r="A30" i="60"/>
  <c r="C22" i="60" s="1"/>
  <c r="I54" i="88"/>
  <c r="P54" i="88"/>
  <c r="J54" i="88"/>
  <c r="U54" i="88"/>
  <c r="Q54" i="88"/>
  <c r="X54" i="88"/>
  <c r="AE54" i="88"/>
  <c r="Z54" i="88"/>
  <c r="AB54" i="88"/>
  <c r="AF54" i="88"/>
  <c r="AG54" i="88"/>
  <c r="AJ54" i="88"/>
  <c r="O54" i="88"/>
  <c r="R54" i="88"/>
  <c r="W54" i="88"/>
  <c r="V54" i="88"/>
  <c r="AD54" i="88"/>
  <c r="AA54" i="88"/>
  <c r="AH54" i="88"/>
  <c r="AI54" i="88"/>
  <c r="N54" i="88"/>
  <c r="T54" i="88"/>
  <c r="AL54" i="88"/>
  <c r="S54" i="88"/>
  <c r="AK54" i="88"/>
  <c r="Y54" i="88"/>
  <c r="L54" i="88"/>
  <c r="AM54" i="88"/>
  <c r="K54" i="88"/>
  <c r="AN54" i="88"/>
  <c r="AC54" i="88"/>
  <c r="M54" i="88"/>
  <c r="E56" i="88"/>
  <c r="K154" i="60"/>
  <c r="A130" i="60"/>
  <c r="C122" i="60" s="1"/>
  <c r="I50" i="62"/>
  <c r="L50" i="62"/>
  <c r="Z50" i="62"/>
  <c r="R50" i="62"/>
  <c r="M50" i="62"/>
  <c r="W50" i="62"/>
  <c r="O50" i="62"/>
  <c r="N50" i="62"/>
  <c r="P50" i="62"/>
  <c r="Y50" i="62"/>
  <c r="V50" i="62"/>
  <c r="X50" i="62"/>
  <c r="J50" i="62"/>
  <c r="S50" i="62"/>
  <c r="AC50" i="62"/>
  <c r="AE50" i="62"/>
  <c r="AF50" i="62"/>
  <c r="AD50" i="62"/>
  <c r="U50" i="62"/>
  <c r="K50" i="62"/>
  <c r="Q50" i="62"/>
  <c r="AA50" i="62"/>
  <c r="AB50" i="62"/>
  <c r="T50" i="62"/>
  <c r="E52" i="62"/>
  <c r="K187" i="60"/>
  <c r="A164" i="60"/>
  <c r="C156" i="60" s="1"/>
  <c r="C87" i="60"/>
  <c r="C88" i="60" s="1"/>
  <c r="K120" i="60"/>
  <c r="A112" i="60"/>
  <c r="C104" i="60" s="1"/>
  <c r="L35" i="62" l="1"/>
  <c r="L36" i="62" s="1"/>
  <c r="E191" i="60"/>
  <c r="L39" i="88"/>
  <c r="L40" i="88" s="1"/>
  <c r="L22" i="60"/>
  <c r="C23" i="60"/>
  <c r="L15" i="88"/>
  <c r="L16" i="88" s="1"/>
  <c r="L15" i="62"/>
  <c r="L16" i="62" s="1"/>
  <c r="E4" i="60"/>
  <c r="C102" i="60"/>
  <c r="C123" i="60"/>
  <c r="L122" i="60"/>
  <c r="I38" i="62"/>
  <c r="I42" i="88"/>
  <c r="E226" i="60"/>
  <c r="L58" i="60"/>
  <c r="C59" i="60"/>
  <c r="C41" i="60"/>
  <c r="L40" i="60"/>
  <c r="C3" i="60"/>
  <c r="L2" i="60"/>
  <c r="C226" i="60"/>
  <c r="C227" i="60" s="1"/>
  <c r="C228" i="60" s="1"/>
  <c r="C229" i="60" s="1"/>
  <c r="L104" i="60"/>
  <c r="C105" i="60"/>
  <c r="C157" i="60"/>
  <c r="L156" i="60"/>
  <c r="E106" i="60"/>
  <c r="AI30" i="88"/>
  <c r="AI31" i="88" s="1"/>
  <c r="L32" i="62"/>
  <c r="L33" i="62" s="1"/>
  <c r="L36" i="88"/>
  <c r="L37" i="88" s="1"/>
  <c r="E158" i="60"/>
  <c r="Z21" i="88"/>
  <c r="Z22" i="88" s="1"/>
  <c r="E42" i="60"/>
  <c r="Z21" i="62"/>
  <c r="Z22" i="62" s="1"/>
  <c r="L29" i="62"/>
  <c r="L30" i="62" s="1"/>
  <c r="L33" i="88"/>
  <c r="L34" i="88" s="1"/>
  <c r="E124" i="60"/>
  <c r="C190" i="60"/>
  <c r="L189" i="60"/>
  <c r="AM27" i="88"/>
  <c r="AM28" i="88" s="1"/>
  <c r="E88" i="60"/>
  <c r="S18" i="88"/>
  <c r="S19" i="88" s="1"/>
  <c r="E24" i="60"/>
  <c r="S18" i="62"/>
  <c r="S19" i="62" s="1"/>
  <c r="E60" i="60"/>
  <c r="W24" i="62" s="1"/>
  <c r="W25" i="62" s="1"/>
  <c r="V24" i="88"/>
  <c r="V25" i="88" s="1"/>
  <c r="AN27" i="88" l="1"/>
  <c r="AN28" i="88" s="1"/>
  <c r="E102" i="60"/>
  <c r="H102" i="60" s="1"/>
  <c r="L190" i="60"/>
  <c r="M190" i="60" s="1"/>
  <c r="C191" i="60"/>
  <c r="M36" i="88"/>
  <c r="M37" i="88" s="1"/>
  <c r="M32" i="62"/>
  <c r="M33" i="62" s="1"/>
  <c r="E159" i="60"/>
  <c r="L157" i="60"/>
  <c r="M157" i="60" s="1"/>
  <c r="C158" i="60"/>
  <c r="L3" i="60"/>
  <c r="M3" i="60" s="1"/>
  <c r="C4" i="60"/>
  <c r="M58" i="60"/>
  <c r="I45" i="62"/>
  <c r="I39" i="62"/>
  <c r="I46" i="62" s="1"/>
  <c r="I53" i="62" s="1"/>
  <c r="L123" i="60"/>
  <c r="M123" i="60" s="1"/>
  <c r="C124" i="60"/>
  <c r="C24" i="60"/>
  <c r="L23" i="60"/>
  <c r="M23" i="60" s="1"/>
  <c r="U23" i="60" s="1"/>
  <c r="T18" i="88"/>
  <c r="T19" i="88" s="1"/>
  <c r="T18" i="62"/>
  <c r="T19" i="62" s="1"/>
  <c r="E25" i="60"/>
  <c r="M29" i="62"/>
  <c r="M30" i="62" s="1"/>
  <c r="M33" i="88"/>
  <c r="M34" i="88" s="1"/>
  <c r="E125" i="60"/>
  <c r="AA21" i="88"/>
  <c r="AA22" i="88" s="1"/>
  <c r="E43" i="60"/>
  <c r="AA21" i="62"/>
  <c r="AA22" i="62" s="1"/>
  <c r="L105" i="60"/>
  <c r="M105" i="60" s="1"/>
  <c r="U105" i="60" s="1"/>
  <c r="C106" i="60"/>
  <c r="C241" i="60"/>
  <c r="M40" i="60"/>
  <c r="I43" i="88"/>
  <c r="I50" i="88" s="1"/>
  <c r="I57" i="88" s="1"/>
  <c r="I49" i="88"/>
  <c r="M15" i="62"/>
  <c r="M16" i="62" s="1"/>
  <c r="M15" i="88"/>
  <c r="M16" i="88" s="1"/>
  <c r="E5" i="60"/>
  <c r="M22" i="60"/>
  <c r="M35" i="62"/>
  <c r="M36" i="62" s="1"/>
  <c r="M39" i="88"/>
  <c r="M40" i="88" s="1"/>
  <c r="E192" i="60"/>
  <c r="E107" i="60"/>
  <c r="AJ30" i="88"/>
  <c r="AJ31" i="88" s="1"/>
  <c r="J42" i="88"/>
  <c r="E227" i="60"/>
  <c r="J38" i="62"/>
  <c r="E61" i="60"/>
  <c r="X24" i="62" s="1"/>
  <c r="X25" i="62" s="1"/>
  <c r="W24" i="88"/>
  <c r="W25" i="88" s="1"/>
  <c r="M189" i="60"/>
  <c r="M156" i="60"/>
  <c r="M104" i="60"/>
  <c r="M2" i="60"/>
  <c r="L41" i="60"/>
  <c r="M41" i="60" s="1"/>
  <c r="C42" i="60"/>
  <c r="L59" i="60"/>
  <c r="M59" i="60" s="1"/>
  <c r="C60" i="60"/>
  <c r="M122" i="60"/>
  <c r="L42" i="60" l="1"/>
  <c r="M42" i="60" s="1"/>
  <c r="C43" i="60"/>
  <c r="U104" i="60"/>
  <c r="X24" i="88"/>
  <c r="X25" i="88" s="1"/>
  <c r="E62" i="60"/>
  <c r="Y24" i="62" s="1"/>
  <c r="Y25" i="62" s="1"/>
  <c r="N15" i="88"/>
  <c r="N16" i="88" s="1"/>
  <c r="E6" i="60"/>
  <c r="N15" i="62"/>
  <c r="N16" i="62" s="1"/>
  <c r="L24" i="60"/>
  <c r="C25" i="60"/>
  <c r="J45" i="62"/>
  <c r="J39" i="62"/>
  <c r="J46" i="62" s="1"/>
  <c r="J53" i="62" s="1"/>
  <c r="I56" i="62"/>
  <c r="I58" i="62" s="1"/>
  <c r="I52" i="62"/>
  <c r="I55" i="62" s="1"/>
  <c r="I57" i="62" s="1"/>
  <c r="L4" i="60"/>
  <c r="C5" i="60"/>
  <c r="L191" i="60"/>
  <c r="C192" i="60"/>
  <c r="J43" i="88"/>
  <c r="J50" i="88" s="1"/>
  <c r="J57" i="88" s="1"/>
  <c r="J49" i="88"/>
  <c r="I56" i="88"/>
  <c r="I59" i="88" s="1"/>
  <c r="I61" i="88" s="1"/>
  <c r="I60" i="88"/>
  <c r="I62" i="88" s="1"/>
  <c r="C107" i="60"/>
  <c r="L106" i="60"/>
  <c r="N33" i="88"/>
  <c r="N34" i="88" s="1"/>
  <c r="N29" i="62"/>
  <c r="N30" i="62" s="1"/>
  <c r="E126" i="60"/>
  <c r="U18" i="88"/>
  <c r="U19" i="88" s="1"/>
  <c r="U18" i="62"/>
  <c r="U19" i="62" s="1"/>
  <c r="E26" i="60"/>
  <c r="L124" i="60"/>
  <c r="C125" i="60"/>
  <c r="C159" i="60"/>
  <c r="L158" i="60"/>
  <c r="M158" i="60" s="1"/>
  <c r="AK30" i="88"/>
  <c r="AK31" i="88" s="1"/>
  <c r="E108" i="60"/>
  <c r="AB21" i="88"/>
  <c r="AB22" i="88" s="1"/>
  <c r="AB21" i="62"/>
  <c r="AB22" i="62" s="1"/>
  <c r="E44" i="60"/>
  <c r="L60" i="60"/>
  <c r="C61" i="60"/>
  <c r="K38" i="62"/>
  <c r="E228" i="60"/>
  <c r="K42" i="88"/>
  <c r="N35" i="62"/>
  <c r="N39" i="88"/>
  <c r="E193" i="60"/>
  <c r="U22" i="60"/>
  <c r="N36" i="88"/>
  <c r="N37" i="88" s="1"/>
  <c r="N32" i="62"/>
  <c r="N33" i="62" s="1"/>
  <c r="E160" i="60"/>
  <c r="L42" i="88" l="1"/>
  <c r="L38" i="62"/>
  <c r="E229" i="60"/>
  <c r="M4" i="60"/>
  <c r="O36" i="88"/>
  <c r="O37" i="88" s="1"/>
  <c r="E161" i="60"/>
  <c r="O32" i="62"/>
  <c r="O33" i="62" s="1"/>
  <c r="N45" i="62"/>
  <c r="N36" i="62"/>
  <c r="N46" i="62" s="1"/>
  <c r="N53" i="62" s="1"/>
  <c r="K45" i="62"/>
  <c r="K39" i="62"/>
  <c r="K46" i="62" s="1"/>
  <c r="K53" i="62" s="1"/>
  <c r="M124" i="60"/>
  <c r="O29" i="62"/>
  <c r="O30" i="62" s="1"/>
  <c r="O33" i="88"/>
  <c r="O34" i="88" s="1"/>
  <c r="E127" i="60"/>
  <c r="M106" i="60"/>
  <c r="L192" i="60"/>
  <c r="M192" i="60" s="1"/>
  <c r="C193" i="60"/>
  <c r="O15" i="88"/>
  <c r="O16" i="88" s="1"/>
  <c r="E7" i="60"/>
  <c r="O15" i="62"/>
  <c r="O16" i="62" s="1"/>
  <c r="L61" i="60"/>
  <c r="M61" i="60" s="1"/>
  <c r="C62" i="60"/>
  <c r="AC21" i="88"/>
  <c r="AC22" i="88" s="1"/>
  <c r="E45" i="60"/>
  <c r="AL30" i="88"/>
  <c r="AL31" i="88" s="1"/>
  <c r="E109" i="60"/>
  <c r="L159" i="60"/>
  <c r="M159" i="60" s="1"/>
  <c r="C160" i="60"/>
  <c r="V18" i="62"/>
  <c r="V19" i="62" s="1"/>
  <c r="V18" i="88"/>
  <c r="V19" i="88" s="1"/>
  <c r="E27" i="60"/>
  <c r="C108" i="60"/>
  <c r="L107" i="60"/>
  <c r="M107" i="60" s="1"/>
  <c r="U107" i="60" s="1"/>
  <c r="J60" i="88"/>
  <c r="J62" i="88" s="1"/>
  <c r="J56" i="88"/>
  <c r="J59" i="88" s="1"/>
  <c r="J61" i="88" s="1"/>
  <c r="M191" i="60"/>
  <c r="M24" i="60"/>
  <c r="N49" i="88"/>
  <c r="N40" i="88"/>
  <c r="N50" i="88" s="1"/>
  <c r="N57" i="88" s="1"/>
  <c r="L125" i="60"/>
  <c r="M125" i="60" s="1"/>
  <c r="C126" i="60"/>
  <c r="J52" i="62"/>
  <c r="J55" i="62" s="1"/>
  <c r="J57" i="62" s="1"/>
  <c r="J56" i="62"/>
  <c r="J58" i="62" s="1"/>
  <c r="L25" i="60"/>
  <c r="M25" i="60" s="1"/>
  <c r="U25" i="60" s="1"/>
  <c r="C26" i="60"/>
  <c r="L43" i="60"/>
  <c r="C44" i="60"/>
  <c r="O35" i="62"/>
  <c r="O39" i="88"/>
  <c r="E194" i="60"/>
  <c r="K49" i="88"/>
  <c r="K43" i="88"/>
  <c r="K50" i="88" s="1"/>
  <c r="K57" i="88" s="1"/>
  <c r="M60" i="60"/>
  <c r="L5" i="60"/>
  <c r="M5" i="60" s="1"/>
  <c r="C6" i="60"/>
  <c r="Y24" i="88"/>
  <c r="Y25" i="88" s="1"/>
  <c r="E63" i="60"/>
  <c r="Z24" i="62" s="1"/>
  <c r="Z25" i="62" s="1"/>
  <c r="L6" i="60" l="1"/>
  <c r="M6" i="60" s="1"/>
  <c r="C7" i="60"/>
  <c r="K60" i="88"/>
  <c r="K62" i="88" s="1"/>
  <c r="K56" i="88"/>
  <c r="K59" i="88" s="1"/>
  <c r="K61" i="88" s="1"/>
  <c r="O36" i="62"/>
  <c r="O46" i="62" s="1"/>
  <c r="O53" i="62" s="1"/>
  <c r="O45" i="62"/>
  <c r="L26" i="60"/>
  <c r="C27" i="60"/>
  <c r="L126" i="60"/>
  <c r="M126" i="60" s="1"/>
  <c r="C127" i="60"/>
  <c r="W18" i="62"/>
  <c r="W19" i="62" s="1"/>
  <c r="W18" i="88"/>
  <c r="W19" i="88" s="1"/>
  <c r="E28" i="60"/>
  <c r="AD21" i="88"/>
  <c r="AD22" i="88" s="1"/>
  <c r="E46" i="60"/>
  <c r="L193" i="60"/>
  <c r="M193" i="60" s="1"/>
  <c r="C194" i="60"/>
  <c r="P33" i="88"/>
  <c r="P34" i="88" s="1"/>
  <c r="E128" i="60"/>
  <c r="P29" i="62"/>
  <c r="P30" i="62" s="1"/>
  <c r="M42" i="88"/>
  <c r="M38" i="62"/>
  <c r="N56" i="88"/>
  <c r="N59" i="88" s="1"/>
  <c r="N60" i="88"/>
  <c r="U24" i="60"/>
  <c r="AM30" i="88"/>
  <c r="AM31" i="88" s="1"/>
  <c r="E120" i="60"/>
  <c r="H120" i="60" s="1"/>
  <c r="P15" i="62"/>
  <c r="P16" i="62" s="1"/>
  <c r="P15" i="88"/>
  <c r="P16" i="88" s="1"/>
  <c r="E8" i="60"/>
  <c r="K52" i="62"/>
  <c r="K55" i="62" s="1"/>
  <c r="K57" i="62" s="1"/>
  <c r="K56" i="62"/>
  <c r="K58" i="62" s="1"/>
  <c r="L45" i="62"/>
  <c r="L39" i="62"/>
  <c r="L46" i="62" s="1"/>
  <c r="L53" i="62" s="1"/>
  <c r="P35" i="62"/>
  <c r="E195" i="60"/>
  <c r="P39" i="88"/>
  <c r="L44" i="60"/>
  <c r="M44" i="60" s="1"/>
  <c r="C45" i="60"/>
  <c r="L43" i="88"/>
  <c r="L50" i="88" s="1"/>
  <c r="L57" i="88" s="1"/>
  <c r="L49" i="88"/>
  <c r="Z24" i="88"/>
  <c r="Z25" i="88" s="1"/>
  <c r="E64" i="60"/>
  <c r="AA24" i="62" s="1"/>
  <c r="AA25" i="62" s="1"/>
  <c r="O49" i="88"/>
  <c r="O40" i="88"/>
  <c r="O50" i="88" s="1"/>
  <c r="O57" i="88" s="1"/>
  <c r="M43" i="60"/>
  <c r="C109" i="60"/>
  <c r="L109" i="60" s="1"/>
  <c r="M109" i="60" s="1"/>
  <c r="U109" i="60" s="1"/>
  <c r="L108" i="60"/>
  <c r="M108" i="60" s="1"/>
  <c r="U108" i="60" s="1"/>
  <c r="L160" i="60"/>
  <c r="M160" i="60" s="1"/>
  <c r="C161" i="60"/>
  <c r="C63" i="60"/>
  <c r="L62" i="60"/>
  <c r="M62" i="60" s="1"/>
  <c r="N56" i="62"/>
  <c r="N52" i="62"/>
  <c r="N55" i="62" s="1"/>
  <c r="U106" i="60"/>
  <c r="P36" i="88"/>
  <c r="P37" i="88" s="1"/>
  <c r="E162" i="60"/>
  <c r="P32" i="62"/>
  <c r="P33" i="62" s="1"/>
  <c r="E241" i="60"/>
  <c r="H241" i="60" s="1"/>
  <c r="M119" i="60" l="1"/>
  <c r="C120" i="60"/>
  <c r="L63" i="60"/>
  <c r="C64" i="60"/>
  <c r="O60" i="88"/>
  <c r="O56" i="88"/>
  <c r="O59" i="88" s="1"/>
  <c r="AE21" i="88"/>
  <c r="AE22" i="88" s="1"/>
  <c r="E47" i="60"/>
  <c r="L127" i="60"/>
  <c r="C128" i="60"/>
  <c r="M26" i="60"/>
  <c r="O56" i="62"/>
  <c r="O52" i="62"/>
  <c r="O55" i="62" s="1"/>
  <c r="P40" i="88"/>
  <c r="P50" i="88" s="1"/>
  <c r="P57" i="88" s="1"/>
  <c r="P49" i="88"/>
  <c r="C195" i="60"/>
  <c r="L194" i="60"/>
  <c r="X18" i="88"/>
  <c r="X19" i="88" s="1"/>
  <c r="X18" i="62"/>
  <c r="X19" i="62" s="1"/>
  <c r="E29" i="60"/>
  <c r="L7" i="60"/>
  <c r="C8" i="60"/>
  <c r="Q36" i="88"/>
  <c r="Q37" i="88" s="1"/>
  <c r="Q32" i="62"/>
  <c r="Q33" i="62" s="1"/>
  <c r="E163" i="60"/>
  <c r="L161" i="60"/>
  <c r="C162" i="60"/>
  <c r="L120" i="60"/>
  <c r="M120" i="60" s="1"/>
  <c r="L45" i="60"/>
  <c r="C46" i="60"/>
  <c r="Q35" i="62"/>
  <c r="Q39" i="88"/>
  <c r="E196" i="60"/>
  <c r="L56" i="62"/>
  <c r="L58" i="62" s="1"/>
  <c r="L52" i="62"/>
  <c r="L55" i="62" s="1"/>
  <c r="L57" i="62" s="1"/>
  <c r="M39" i="62"/>
  <c r="M46" i="62" s="1"/>
  <c r="M53" i="62" s="1"/>
  <c r="M45" i="62"/>
  <c r="AA24" i="88"/>
  <c r="AA25" i="88" s="1"/>
  <c r="E65" i="60"/>
  <c r="AB24" i="62" s="1"/>
  <c r="AB25" i="62" s="1"/>
  <c r="L56" i="88"/>
  <c r="L59" i="88" s="1"/>
  <c r="L61" i="88" s="1"/>
  <c r="L60" i="88"/>
  <c r="L62" i="88" s="1"/>
  <c r="P45" i="62"/>
  <c r="P36" i="62"/>
  <c r="P46" i="62" s="1"/>
  <c r="P53" i="62" s="1"/>
  <c r="Q15" i="88"/>
  <c r="Q16" i="88" s="1"/>
  <c r="Q15" i="62"/>
  <c r="Q16" i="62" s="1"/>
  <c r="E9" i="60"/>
  <c r="M43" i="88"/>
  <c r="M50" i="88" s="1"/>
  <c r="M57" i="88" s="1"/>
  <c r="M49" i="88"/>
  <c r="Q33" i="88"/>
  <c r="Q34" i="88" s="1"/>
  <c r="E129" i="60"/>
  <c r="Q29" i="62"/>
  <c r="Q30" i="62" s="1"/>
  <c r="L27" i="60"/>
  <c r="M27" i="60" s="1"/>
  <c r="U27" i="60" s="1"/>
  <c r="C28" i="60"/>
  <c r="P56" i="62" l="1"/>
  <c r="P52" i="62"/>
  <c r="P55" i="62" s="1"/>
  <c r="M56" i="88"/>
  <c r="M59" i="88" s="1"/>
  <c r="M61" i="88" s="1"/>
  <c r="N61" i="88" s="1"/>
  <c r="O61" i="88" s="1"/>
  <c r="M60" i="88"/>
  <c r="M62" i="88" s="1"/>
  <c r="N62" i="88" s="1"/>
  <c r="O62" i="88" s="1"/>
  <c r="AB24" i="88"/>
  <c r="AB25" i="88" s="1"/>
  <c r="E66" i="60"/>
  <c r="P56" i="88"/>
  <c r="P59" i="88" s="1"/>
  <c r="P60" i="88"/>
  <c r="L46" i="60"/>
  <c r="M46" i="60" s="1"/>
  <c r="C47" i="60"/>
  <c r="M161" i="60"/>
  <c r="AF21" i="88"/>
  <c r="AF22" i="88" s="1"/>
  <c r="E48" i="60"/>
  <c r="C29" i="60"/>
  <c r="L28" i="60"/>
  <c r="R29" i="62"/>
  <c r="R30" i="62" s="1"/>
  <c r="R33" i="88"/>
  <c r="R34" i="88" s="1"/>
  <c r="E130" i="60"/>
  <c r="R15" i="62"/>
  <c r="R16" i="62" s="1"/>
  <c r="R15" i="88"/>
  <c r="R16" i="88" s="1"/>
  <c r="E10" i="60"/>
  <c r="R35" i="62"/>
  <c r="R39" i="88"/>
  <c r="E197" i="60"/>
  <c r="M45" i="60"/>
  <c r="L8" i="60"/>
  <c r="M8" i="60" s="1"/>
  <c r="C9" i="60"/>
  <c r="U26" i="60"/>
  <c r="M56" i="62"/>
  <c r="M58" i="62" s="1"/>
  <c r="N58" i="62" s="1"/>
  <c r="O58" i="62" s="1"/>
  <c r="M52" i="62"/>
  <c r="M55" i="62" s="1"/>
  <c r="M57" i="62" s="1"/>
  <c r="N57" i="62" s="1"/>
  <c r="O57" i="62" s="1"/>
  <c r="Q40" i="88"/>
  <c r="Q50" i="88" s="1"/>
  <c r="Q57" i="88" s="1"/>
  <c r="Q49" i="88"/>
  <c r="R36" i="88"/>
  <c r="R37" i="88" s="1"/>
  <c r="R32" i="62"/>
  <c r="R33" i="62" s="1"/>
  <c r="E164" i="60"/>
  <c r="M7" i="60"/>
  <c r="M194" i="60"/>
  <c r="L128" i="60"/>
  <c r="M128" i="60" s="1"/>
  <c r="C129" i="60"/>
  <c r="L64" i="60"/>
  <c r="M64" i="60" s="1"/>
  <c r="C65" i="60"/>
  <c r="Q45" i="62"/>
  <c r="Q36" i="62"/>
  <c r="Q46" i="62" s="1"/>
  <c r="Q53" i="62" s="1"/>
  <c r="L162" i="60"/>
  <c r="M162" i="60" s="1"/>
  <c r="C163" i="60"/>
  <c r="Y18" i="88"/>
  <c r="Y19" i="88" s="1"/>
  <c r="Y18" i="62"/>
  <c r="Y19" i="62" s="1"/>
  <c r="E30" i="60"/>
  <c r="E38" i="60" s="1"/>
  <c r="H38" i="60" s="1"/>
  <c r="C196" i="60"/>
  <c r="L195" i="60"/>
  <c r="M195" i="60" s="1"/>
  <c r="M127" i="60"/>
  <c r="M63" i="60"/>
  <c r="P62" i="88" l="1"/>
  <c r="Q60" i="88"/>
  <c r="Q56" i="88"/>
  <c r="Q59" i="88" s="1"/>
  <c r="L196" i="60"/>
  <c r="M196" i="60" s="1"/>
  <c r="C197" i="60"/>
  <c r="R36" i="62"/>
  <c r="R46" i="62" s="1"/>
  <c r="R53" i="62" s="1"/>
  <c r="R45" i="62"/>
  <c r="S29" i="62"/>
  <c r="S30" i="62" s="1"/>
  <c r="S33" i="88"/>
  <c r="S34" i="88" s="1"/>
  <c r="E131" i="60"/>
  <c r="M28" i="60"/>
  <c r="AC21" i="62"/>
  <c r="AC22" i="62" s="1"/>
  <c r="AG21" i="88"/>
  <c r="AG22" i="88" s="1"/>
  <c r="E56" i="60"/>
  <c r="H56" i="60" s="1"/>
  <c r="AC24" i="88"/>
  <c r="AC25" i="88" s="1"/>
  <c r="E67" i="60"/>
  <c r="Q52" i="62"/>
  <c r="Q55" i="62" s="1"/>
  <c r="Q56" i="62"/>
  <c r="C130" i="60"/>
  <c r="L129" i="60"/>
  <c r="L9" i="60"/>
  <c r="C10" i="60"/>
  <c r="S15" i="62"/>
  <c r="S16" i="62" s="1"/>
  <c r="S15" i="88"/>
  <c r="S16" i="88" s="1"/>
  <c r="E11" i="60"/>
  <c r="L29" i="60"/>
  <c r="M29" i="60" s="1"/>
  <c r="U29" i="60" s="1"/>
  <c r="C30" i="60"/>
  <c r="P57" i="62"/>
  <c r="Z18" i="88"/>
  <c r="Z19" i="88" s="1"/>
  <c r="Z18" i="62"/>
  <c r="Z19" i="62" s="1"/>
  <c r="S35" i="62"/>
  <c r="E198" i="60"/>
  <c r="S39" i="88"/>
  <c r="P61" i="88"/>
  <c r="P58" i="62"/>
  <c r="C164" i="60"/>
  <c r="L163" i="60"/>
  <c r="M163" i="60" s="1"/>
  <c r="L65" i="60"/>
  <c r="M65" i="60" s="1"/>
  <c r="C66" i="60"/>
  <c r="S32" i="62"/>
  <c r="S33" i="62" s="1"/>
  <c r="E165" i="60"/>
  <c r="S36" i="88"/>
  <c r="S37" i="88" s="1"/>
  <c r="R49" i="88"/>
  <c r="R40" i="88"/>
  <c r="R50" i="88" s="1"/>
  <c r="R57" i="88" s="1"/>
  <c r="C48" i="60"/>
  <c r="L47" i="60"/>
  <c r="M47" i="60" s="1"/>
  <c r="Q62" i="88" l="1"/>
  <c r="R52" i="62"/>
  <c r="R55" i="62" s="1"/>
  <c r="R56" i="62"/>
  <c r="R60" i="88"/>
  <c r="R56" i="88"/>
  <c r="R59" i="88" s="1"/>
  <c r="L66" i="60"/>
  <c r="M66" i="60" s="1"/>
  <c r="C67" i="60"/>
  <c r="S45" i="62"/>
  <c r="S36" i="62"/>
  <c r="S46" i="62" s="1"/>
  <c r="S53" i="62" s="1"/>
  <c r="T15" i="62"/>
  <c r="T16" i="62" s="1"/>
  <c r="T15" i="88"/>
  <c r="T16" i="88" s="1"/>
  <c r="E12" i="60"/>
  <c r="M9" i="60"/>
  <c r="Q58" i="62"/>
  <c r="AD24" i="88"/>
  <c r="AD25" i="88" s="1"/>
  <c r="E68" i="60"/>
  <c r="T29" i="62"/>
  <c r="T30" i="62" s="1"/>
  <c r="T33" i="88"/>
  <c r="T34" i="88" s="1"/>
  <c r="E132" i="60"/>
  <c r="T32" i="62"/>
  <c r="T33" i="62" s="1"/>
  <c r="T36" i="88"/>
  <c r="T37" i="88" s="1"/>
  <c r="E166" i="60"/>
  <c r="Q57" i="62"/>
  <c r="Q61" i="88"/>
  <c r="S40" i="88"/>
  <c r="S50" i="88" s="1"/>
  <c r="S57" i="88" s="1"/>
  <c r="S49" i="88"/>
  <c r="L30" i="60"/>
  <c r="C38" i="60"/>
  <c r="M129" i="60"/>
  <c r="L48" i="60"/>
  <c r="C56" i="60"/>
  <c r="L164" i="60"/>
  <c r="M164" i="60" s="1"/>
  <c r="C165" i="60"/>
  <c r="T39" i="88"/>
  <c r="T35" i="62"/>
  <c r="E199" i="60"/>
  <c r="L10" i="60"/>
  <c r="M10" i="60" s="1"/>
  <c r="C11" i="60"/>
  <c r="L130" i="60"/>
  <c r="M130" i="60" s="1"/>
  <c r="C131" i="60"/>
  <c r="U28" i="60"/>
  <c r="L197" i="60"/>
  <c r="M197" i="60" s="1"/>
  <c r="C198" i="60"/>
  <c r="R62" i="88" l="1"/>
  <c r="T36" i="62"/>
  <c r="T46" i="62" s="1"/>
  <c r="T53" i="62" s="1"/>
  <c r="T45" i="62"/>
  <c r="S52" i="62"/>
  <c r="S55" i="62" s="1"/>
  <c r="S56" i="62"/>
  <c r="L67" i="60"/>
  <c r="M67" i="60" s="1"/>
  <c r="C68" i="60"/>
  <c r="C12" i="60"/>
  <c r="L11" i="60"/>
  <c r="M11" i="60" s="1"/>
  <c r="T40" i="88"/>
  <c r="T50" i="88" s="1"/>
  <c r="T57" i="88" s="1"/>
  <c r="T49" i="88"/>
  <c r="M48" i="60"/>
  <c r="M55" i="60" s="1"/>
  <c r="L56" i="60"/>
  <c r="M56" i="60" s="1"/>
  <c r="M30" i="60"/>
  <c r="L38" i="60"/>
  <c r="M38" i="60" s="1"/>
  <c r="AE24" i="88"/>
  <c r="AE25" i="88" s="1"/>
  <c r="E69" i="60"/>
  <c r="R58" i="62"/>
  <c r="L165" i="60"/>
  <c r="M165" i="60" s="1"/>
  <c r="C166" i="60"/>
  <c r="U33" i="88"/>
  <c r="U34" i="88" s="1"/>
  <c r="E133" i="60"/>
  <c r="U29" i="62"/>
  <c r="U30" i="62" s="1"/>
  <c r="S56" i="88"/>
  <c r="S59" i="88" s="1"/>
  <c r="S60" i="88"/>
  <c r="R57" i="62"/>
  <c r="L198" i="60"/>
  <c r="M198" i="60" s="1"/>
  <c r="C199" i="60"/>
  <c r="L131" i="60"/>
  <c r="M131" i="60" s="1"/>
  <c r="C132" i="60"/>
  <c r="U35" i="62"/>
  <c r="U39" i="88"/>
  <c r="E200" i="60"/>
  <c r="U36" i="88"/>
  <c r="U37" i="88" s="1"/>
  <c r="U32" i="62"/>
  <c r="U33" i="62" s="1"/>
  <c r="E167" i="60"/>
  <c r="E13" i="60"/>
  <c r="U15" i="62"/>
  <c r="U16" i="62" s="1"/>
  <c r="U15" i="88"/>
  <c r="U16" i="88" s="1"/>
  <c r="R61" i="88"/>
  <c r="S62" i="88" l="1"/>
  <c r="S57" i="62"/>
  <c r="T56" i="88"/>
  <c r="T59" i="88" s="1"/>
  <c r="T60" i="88"/>
  <c r="T52" i="62"/>
  <c r="T55" i="62" s="1"/>
  <c r="T56" i="62"/>
  <c r="V15" i="88"/>
  <c r="V16" i="88" s="1"/>
  <c r="V15" i="62"/>
  <c r="V16" i="62" s="1"/>
  <c r="E20" i="60"/>
  <c r="H20" i="60" s="1"/>
  <c r="V39" i="88"/>
  <c r="V35" i="62"/>
  <c r="E201" i="60"/>
  <c r="AF24" i="88"/>
  <c r="AF25" i="88" s="1"/>
  <c r="E70" i="60"/>
  <c r="AC24" i="62" s="1"/>
  <c r="AC25" i="62" s="1"/>
  <c r="L68" i="60"/>
  <c r="M68" i="60" s="1"/>
  <c r="C69" i="60"/>
  <c r="V32" i="62"/>
  <c r="V33" i="62" s="1"/>
  <c r="V36" i="88"/>
  <c r="V37" i="88" s="1"/>
  <c r="E168" i="60"/>
  <c r="U40" i="88"/>
  <c r="U50" i="88" s="1"/>
  <c r="U57" i="88" s="1"/>
  <c r="U49" i="88"/>
  <c r="L199" i="60"/>
  <c r="M199" i="60" s="1"/>
  <c r="C200" i="60"/>
  <c r="S61" i="88"/>
  <c r="L166" i="60"/>
  <c r="M166" i="60" s="1"/>
  <c r="C167" i="60"/>
  <c r="U30" i="60"/>
  <c r="M37" i="60"/>
  <c r="U36" i="62"/>
  <c r="U46" i="62" s="1"/>
  <c r="U53" i="62" s="1"/>
  <c r="U45" i="62"/>
  <c r="L132" i="60"/>
  <c r="M132" i="60" s="1"/>
  <c r="C133" i="60"/>
  <c r="V33" i="88"/>
  <c r="V34" i="88" s="1"/>
  <c r="V29" i="62"/>
  <c r="V30" i="62" s="1"/>
  <c r="E134" i="60"/>
  <c r="L12" i="60"/>
  <c r="M12" i="60" s="1"/>
  <c r="C13" i="60"/>
  <c r="S58" i="62"/>
  <c r="T62" i="88" l="1"/>
  <c r="T57" i="62"/>
  <c r="U56" i="62"/>
  <c r="U52" i="62"/>
  <c r="U55" i="62" s="1"/>
  <c r="U56" i="88"/>
  <c r="U59" i="88" s="1"/>
  <c r="U60" i="88"/>
  <c r="L69" i="60"/>
  <c r="C70" i="60"/>
  <c r="C71" i="60" s="1"/>
  <c r="C72" i="60" s="1"/>
  <c r="C73" i="60" s="1"/>
  <c r="C74" i="60" s="1"/>
  <c r="C75" i="60" s="1"/>
  <c r="C84" i="60" s="1"/>
  <c r="L13" i="60"/>
  <c r="C20" i="60"/>
  <c r="L200" i="60"/>
  <c r="M200" i="60" s="1"/>
  <c r="C201" i="60"/>
  <c r="E169" i="60"/>
  <c r="W32" i="62"/>
  <c r="W33" i="62" s="1"/>
  <c r="W36" i="88"/>
  <c r="W37" i="88" s="1"/>
  <c r="W39" i="88"/>
  <c r="W35" i="62"/>
  <c r="E202" i="60"/>
  <c r="L133" i="60"/>
  <c r="M133" i="60" s="1"/>
  <c r="C134" i="60"/>
  <c r="C168" i="60"/>
  <c r="L167" i="60"/>
  <c r="M167" i="60" s="1"/>
  <c r="AG24" i="88"/>
  <c r="AG25" i="88" s="1"/>
  <c r="E71" i="60"/>
  <c r="V45" i="62"/>
  <c r="V36" i="62"/>
  <c r="V46" i="62" s="1"/>
  <c r="V53" i="62" s="1"/>
  <c r="T61" i="88"/>
  <c r="W33" i="88"/>
  <c r="W34" i="88" s="1"/>
  <c r="W29" i="62"/>
  <c r="W30" i="62" s="1"/>
  <c r="E135" i="60"/>
  <c r="V40" i="88"/>
  <c r="V50" i="88" s="1"/>
  <c r="V57" i="88" s="1"/>
  <c r="V49" i="88"/>
  <c r="T58" i="62"/>
  <c r="U62" i="88" l="1"/>
  <c r="U57" i="62"/>
  <c r="V56" i="62"/>
  <c r="V52" i="62"/>
  <c r="V55" i="62" s="1"/>
  <c r="L168" i="60"/>
  <c r="M168" i="60" s="1"/>
  <c r="C169" i="60"/>
  <c r="W45" i="62"/>
  <c r="W36" i="62"/>
  <c r="W46" i="62" s="1"/>
  <c r="W53" i="62" s="1"/>
  <c r="M13" i="60"/>
  <c r="M17" i="60" s="1"/>
  <c r="L18" i="60"/>
  <c r="M18" i="60" s="1"/>
  <c r="U61" i="88"/>
  <c r="X29" i="62"/>
  <c r="X30" i="62" s="1"/>
  <c r="E136" i="60"/>
  <c r="X33" i="88"/>
  <c r="X34" i="88" s="1"/>
  <c r="L134" i="60"/>
  <c r="M134" i="60" s="1"/>
  <c r="C135" i="60"/>
  <c r="W49" i="88"/>
  <c r="W40" i="88"/>
  <c r="W50" i="88" s="1"/>
  <c r="W57" i="88" s="1"/>
  <c r="L201" i="60"/>
  <c r="M201" i="60" s="1"/>
  <c r="C202" i="60"/>
  <c r="V60" i="88"/>
  <c r="V62" i="88" s="1"/>
  <c r="V56" i="88"/>
  <c r="V59" i="88" s="1"/>
  <c r="M69" i="60"/>
  <c r="M83" i="60" s="1"/>
  <c r="L84" i="60"/>
  <c r="M84" i="60" s="1"/>
  <c r="U58" i="62"/>
  <c r="AH24" i="88"/>
  <c r="AH25" i="88" s="1"/>
  <c r="E72" i="60"/>
  <c r="X39" i="88"/>
  <c r="X35" i="62"/>
  <c r="E203" i="60"/>
  <c r="X32" i="62"/>
  <c r="X33" i="62" s="1"/>
  <c r="X36" i="88"/>
  <c r="X37" i="88" s="1"/>
  <c r="E170" i="60"/>
  <c r="V57" i="62" l="1"/>
  <c r="V58" i="62"/>
  <c r="W56" i="62"/>
  <c r="W52" i="62"/>
  <c r="W55" i="62" s="1"/>
  <c r="Y36" i="88"/>
  <c r="Y37" i="88" s="1"/>
  <c r="Y32" i="62"/>
  <c r="Y33" i="62" s="1"/>
  <c r="E171" i="60"/>
  <c r="Y35" i="62"/>
  <c r="Y39" i="88"/>
  <c r="E204" i="60"/>
  <c r="L202" i="60"/>
  <c r="M202" i="60" s="1"/>
  <c r="C203" i="60"/>
  <c r="L135" i="60"/>
  <c r="M135" i="60" s="1"/>
  <c r="C136" i="60"/>
  <c r="X36" i="62"/>
  <c r="X46" i="62" s="1"/>
  <c r="X53" i="62" s="1"/>
  <c r="X45" i="62"/>
  <c r="W56" i="88"/>
  <c r="W59" i="88" s="1"/>
  <c r="W60" i="88"/>
  <c r="W62" i="88" s="1"/>
  <c r="X40" i="88"/>
  <c r="X50" i="88" s="1"/>
  <c r="X57" i="88" s="1"/>
  <c r="X49" i="88"/>
  <c r="V61" i="88"/>
  <c r="L169" i="60"/>
  <c r="M169" i="60" s="1"/>
  <c r="C170" i="60"/>
  <c r="AI24" i="88"/>
  <c r="AI25" i="88" s="1"/>
  <c r="E73" i="60"/>
  <c r="Y33" i="88"/>
  <c r="Y34" i="88" s="1"/>
  <c r="Y29" i="62"/>
  <c r="Y30" i="62" s="1"/>
  <c r="E137" i="60"/>
  <c r="W57" i="62" l="1"/>
  <c r="W58" i="62"/>
  <c r="E74" i="60"/>
  <c r="AJ24" i="88"/>
  <c r="AJ25" i="88" s="1"/>
  <c r="X56" i="62"/>
  <c r="X52" i="62"/>
  <c r="X55" i="62" s="1"/>
  <c r="L203" i="60"/>
  <c r="M203" i="60" s="1"/>
  <c r="C204" i="60"/>
  <c r="Y45" i="62"/>
  <c r="Y36" i="62"/>
  <c r="Y46" i="62" s="1"/>
  <c r="Y53" i="62" s="1"/>
  <c r="Z33" i="88"/>
  <c r="Z34" i="88" s="1"/>
  <c r="Z29" i="62"/>
  <c r="Z30" i="62" s="1"/>
  <c r="E138" i="60"/>
  <c r="X60" i="88"/>
  <c r="X62" i="88" s="1"/>
  <c r="X56" i="88"/>
  <c r="X59" i="88" s="1"/>
  <c r="Z36" i="88"/>
  <c r="Z37" i="88" s="1"/>
  <c r="Z32" i="62"/>
  <c r="Z33" i="62" s="1"/>
  <c r="E172" i="60"/>
  <c r="W61" i="88"/>
  <c r="L136" i="60"/>
  <c r="C137" i="60"/>
  <c r="C138" i="60" s="1"/>
  <c r="C139" i="60" s="1"/>
  <c r="C140" i="60" s="1"/>
  <c r="C141" i="60" s="1"/>
  <c r="C142" i="60" s="1"/>
  <c r="C143" i="60" s="1"/>
  <c r="C144" i="60" s="1"/>
  <c r="C145" i="60" s="1"/>
  <c r="C146" i="60" s="1"/>
  <c r="C147" i="60" s="1"/>
  <c r="C148" i="60" s="1"/>
  <c r="C149" i="60" s="1"/>
  <c r="C150" i="60" s="1"/>
  <c r="C154" i="60" s="1"/>
  <c r="Z39" i="88"/>
  <c r="Z35" i="62"/>
  <c r="E205" i="60"/>
  <c r="C171" i="60"/>
  <c r="C172" i="60" s="1"/>
  <c r="C173" i="60" s="1"/>
  <c r="C174" i="60" s="1"/>
  <c r="C175" i="60" s="1"/>
  <c r="C176" i="60" s="1"/>
  <c r="C177" i="60" s="1"/>
  <c r="C178" i="60" s="1"/>
  <c r="C179" i="60" s="1"/>
  <c r="C180" i="60" s="1"/>
  <c r="C181" i="60" s="1"/>
  <c r="C182" i="60" s="1"/>
  <c r="C183" i="60" s="1"/>
  <c r="C184" i="60" s="1"/>
  <c r="C187" i="60" s="1"/>
  <c r="L170" i="60"/>
  <c r="Y49" i="88"/>
  <c r="Y40" i="88"/>
  <c r="Y50" i="88" s="1"/>
  <c r="Y57" i="88" s="1"/>
  <c r="X58" i="62" l="1"/>
  <c r="X57" i="62"/>
  <c r="Y56" i="62"/>
  <c r="Y52" i="62"/>
  <c r="Y55" i="62" s="1"/>
  <c r="AA35" i="62"/>
  <c r="AA39" i="88"/>
  <c r="E206" i="60"/>
  <c r="M136" i="60"/>
  <c r="M153" i="60" s="1"/>
  <c r="L154" i="60"/>
  <c r="M154" i="60" s="1"/>
  <c r="L204" i="60"/>
  <c r="C205" i="60"/>
  <c r="C206" i="60" s="1"/>
  <c r="C207" i="60" s="1"/>
  <c r="C208" i="60" s="1"/>
  <c r="C209" i="60" s="1"/>
  <c r="C210" i="60" s="1"/>
  <c r="C211" i="60" s="1"/>
  <c r="C212" i="60" s="1"/>
  <c r="C213" i="60" s="1"/>
  <c r="C214" i="60" s="1"/>
  <c r="C215" i="60" s="1"/>
  <c r="C216" i="60" s="1"/>
  <c r="C217" i="60" s="1"/>
  <c r="C218" i="60" s="1"/>
  <c r="C220" i="60" s="1"/>
  <c r="M170" i="60"/>
  <c r="M186" i="60" s="1"/>
  <c r="L187" i="60"/>
  <c r="M187" i="60" s="1"/>
  <c r="Z45" i="62"/>
  <c r="Z36" i="62"/>
  <c r="Z46" i="62" s="1"/>
  <c r="Z53" i="62" s="1"/>
  <c r="X61" i="88"/>
  <c r="AK24" i="88"/>
  <c r="AK25" i="88" s="1"/>
  <c r="E75" i="60"/>
  <c r="AD24" i="62" s="1"/>
  <c r="AD25" i="62" s="1"/>
  <c r="Y60" i="88"/>
  <c r="Y62" i="88" s="1"/>
  <c r="Y56" i="88"/>
  <c r="Y59" i="88" s="1"/>
  <c r="Z40" i="88"/>
  <c r="Z50" i="88" s="1"/>
  <c r="Z57" i="88" s="1"/>
  <c r="Z49" i="88"/>
  <c r="E173" i="60"/>
  <c r="AA36" i="88"/>
  <c r="AA37" i="88" s="1"/>
  <c r="AA32" i="62"/>
  <c r="AA33" i="62" s="1"/>
  <c r="AA33" i="88"/>
  <c r="AA34" i="88" s="1"/>
  <c r="AA29" i="62"/>
  <c r="AA30" i="62" s="1"/>
  <c r="E139" i="60"/>
  <c r="Y58" i="62" l="1"/>
  <c r="Y57" i="62"/>
  <c r="Z60" i="88"/>
  <c r="Z62" i="88" s="1"/>
  <c r="Z56" i="88"/>
  <c r="Z59" i="88" s="1"/>
  <c r="AB36" i="88"/>
  <c r="AB37" i="88" s="1"/>
  <c r="E174" i="60"/>
  <c r="AB32" i="62"/>
  <c r="AB33" i="62" s="1"/>
  <c r="AA36" i="62"/>
  <c r="AA46" i="62" s="1"/>
  <c r="AA53" i="62" s="1"/>
  <c r="AA45" i="62"/>
  <c r="Z56" i="62"/>
  <c r="Z52" i="62"/>
  <c r="Z55" i="62" s="1"/>
  <c r="AB33" i="88"/>
  <c r="AB34" i="88" s="1"/>
  <c r="AB29" i="62"/>
  <c r="AB30" i="62" s="1"/>
  <c r="E140" i="60"/>
  <c r="M204" i="60"/>
  <c r="M222" i="60" s="1"/>
  <c r="L223" i="60"/>
  <c r="M223" i="60" s="1"/>
  <c r="AB39" i="88"/>
  <c r="E207" i="60"/>
  <c r="AB35" i="62"/>
  <c r="Y61" i="88"/>
  <c r="AA49" i="88"/>
  <c r="AA40" i="88"/>
  <c r="AA50" i="88" s="1"/>
  <c r="AA57" i="88" s="1"/>
  <c r="AL24" i="88"/>
  <c r="AL25" i="88" s="1"/>
  <c r="E84" i="60"/>
  <c r="H84" i="60" s="1"/>
  <c r="Z58" i="62" l="1"/>
  <c r="Z57" i="62"/>
  <c r="Z61" i="88"/>
  <c r="AA56" i="62"/>
  <c r="AA52" i="62"/>
  <c r="AA55" i="62" s="1"/>
  <c r="AA56" i="88"/>
  <c r="AA59" i="88" s="1"/>
  <c r="AA60" i="88"/>
  <c r="AA62" i="88" s="1"/>
  <c r="AB45" i="62"/>
  <c r="AB36" i="62"/>
  <c r="AB46" i="62" s="1"/>
  <c r="AB53" i="62" s="1"/>
  <c r="AC39" i="88"/>
  <c r="E208" i="60"/>
  <c r="AB40" i="88"/>
  <c r="AB50" i="88" s="1"/>
  <c r="AB57" i="88" s="1"/>
  <c r="AB49" i="88"/>
  <c r="AC33" i="88"/>
  <c r="AC34" i="88" s="1"/>
  <c r="E141" i="60"/>
  <c r="AC36" i="88"/>
  <c r="AC37" i="88" s="1"/>
  <c r="E175" i="60"/>
  <c r="AA58" i="62" l="1"/>
  <c r="AA57" i="62"/>
  <c r="AA61" i="88"/>
  <c r="AB56" i="88"/>
  <c r="AB59" i="88" s="1"/>
  <c r="AB60" i="88"/>
  <c r="AB62" i="88" s="1"/>
  <c r="AB56" i="62"/>
  <c r="AB52" i="62"/>
  <c r="AB55" i="62" s="1"/>
  <c r="E209" i="60"/>
  <c r="AD39" i="88"/>
  <c r="AD33" i="88"/>
  <c r="AD34" i="88" s="1"/>
  <c r="E142" i="60"/>
  <c r="AD36" i="88"/>
  <c r="AD37" i="88" s="1"/>
  <c r="E176" i="60"/>
  <c r="AC40" i="88"/>
  <c r="AC50" i="88" s="1"/>
  <c r="AC57" i="88" s="1"/>
  <c r="AC49" i="88"/>
  <c r="AB58" i="62" l="1"/>
  <c r="AB57" i="62"/>
  <c r="AB61" i="88"/>
  <c r="AC60" i="88"/>
  <c r="AC62" i="88" s="1"/>
  <c r="AC56" i="88"/>
  <c r="AC59" i="88" s="1"/>
  <c r="AE36" i="88"/>
  <c r="AE37" i="88" s="1"/>
  <c r="E177" i="60"/>
  <c r="AE33" i="88"/>
  <c r="AE34" i="88" s="1"/>
  <c r="E143" i="60"/>
  <c r="AD49" i="88"/>
  <c r="AD40" i="88"/>
  <c r="AD50" i="88" s="1"/>
  <c r="AD57" i="88" s="1"/>
  <c r="AE39" i="88"/>
  <c r="E210" i="60"/>
  <c r="AC61" i="88" l="1"/>
  <c r="AD56" i="88"/>
  <c r="AD59" i="88" s="1"/>
  <c r="AD60" i="88"/>
  <c r="AD62" i="88" s="1"/>
  <c r="E144" i="60"/>
  <c r="AF33" i="88"/>
  <c r="AF34" i="88" s="1"/>
  <c r="AF36" i="88"/>
  <c r="AF37" i="88" s="1"/>
  <c r="E178" i="60"/>
  <c r="AF39" i="88"/>
  <c r="E211" i="60"/>
  <c r="AE49" i="88"/>
  <c r="AE40" i="88"/>
  <c r="AE50" i="88" s="1"/>
  <c r="AE57" i="88" s="1"/>
  <c r="AD61" i="88" l="1"/>
  <c r="AE60" i="88"/>
  <c r="AE62" i="88" s="1"/>
  <c r="AE56" i="88"/>
  <c r="AE59" i="88" s="1"/>
  <c r="AF40" i="88"/>
  <c r="AF50" i="88" s="1"/>
  <c r="AF57" i="88" s="1"/>
  <c r="AF49" i="88"/>
  <c r="AG36" i="88"/>
  <c r="AG37" i="88" s="1"/>
  <c r="AC32" i="62"/>
  <c r="AC33" i="62" s="1"/>
  <c r="E179" i="60"/>
  <c r="AC29" i="62"/>
  <c r="AC30" i="62" s="1"/>
  <c r="E145" i="60"/>
  <c r="AG33" i="88"/>
  <c r="AG34" i="88" s="1"/>
  <c r="AC35" i="62"/>
  <c r="E212" i="60"/>
  <c r="AG39" i="88"/>
  <c r="AE61" i="88" l="1"/>
  <c r="AF56" i="88"/>
  <c r="AF59" i="88" s="1"/>
  <c r="AF61" i="88" s="1"/>
  <c r="AF60" i="88"/>
  <c r="AF62" i="88" s="1"/>
  <c r="AG40" i="88"/>
  <c r="AG50" i="88" s="1"/>
  <c r="AG57" i="88" s="1"/>
  <c r="AG49" i="88"/>
  <c r="E146" i="60"/>
  <c r="AH33" i="88"/>
  <c r="AH34" i="88" s="1"/>
  <c r="AH39" i="88"/>
  <c r="E213" i="60"/>
  <c r="AC36" i="62"/>
  <c r="AC46" i="62" s="1"/>
  <c r="AC53" i="62" s="1"/>
  <c r="AC45" i="62"/>
  <c r="AH36" i="88"/>
  <c r="AH37" i="88" s="1"/>
  <c r="E180" i="60"/>
  <c r="AC56" i="62" l="1"/>
  <c r="AC52" i="62"/>
  <c r="AC55" i="62" s="1"/>
  <c r="AG56" i="88"/>
  <c r="AG59" i="88" s="1"/>
  <c r="AG61" i="88" s="1"/>
  <c r="AG60" i="88"/>
  <c r="AG62" i="88" s="1"/>
  <c r="E214" i="60"/>
  <c r="AI39" i="88"/>
  <c r="AI33" i="88"/>
  <c r="AI34" i="88" s="1"/>
  <c r="E147" i="60"/>
  <c r="AH49" i="88"/>
  <c r="AH40" i="88"/>
  <c r="AH50" i="88" s="1"/>
  <c r="AH57" i="88" s="1"/>
  <c r="AI36" i="88"/>
  <c r="AI37" i="88" s="1"/>
  <c r="E181" i="60"/>
  <c r="AC57" i="62" l="1"/>
  <c r="AC58" i="62"/>
  <c r="AJ36" i="88"/>
  <c r="AJ37" i="88" s="1"/>
  <c r="E182" i="60"/>
  <c r="AJ33" i="88"/>
  <c r="AJ34" i="88" s="1"/>
  <c r="E148" i="60"/>
  <c r="AH60" i="88"/>
  <c r="AH62" i="88" s="1"/>
  <c r="AH56" i="88"/>
  <c r="AH59" i="88" s="1"/>
  <c r="AH61" i="88" s="1"/>
  <c r="AI49" i="88"/>
  <c r="AI40" i="88"/>
  <c r="AI50" i="88" s="1"/>
  <c r="AI57" i="88" s="1"/>
  <c r="AJ39" i="88"/>
  <c r="E215" i="60"/>
  <c r="AI60" i="88" l="1"/>
  <c r="AI62" i="88" s="1"/>
  <c r="AI56" i="88"/>
  <c r="AI59" i="88" s="1"/>
  <c r="AI61" i="88" s="1"/>
  <c r="AK39" i="88"/>
  <c r="E216" i="60"/>
  <c r="E183" i="60"/>
  <c r="AK36" i="88"/>
  <c r="AK37" i="88" s="1"/>
  <c r="AK33" i="88"/>
  <c r="AK34" i="88" s="1"/>
  <c r="E149" i="60"/>
  <c r="AJ49" i="88"/>
  <c r="AJ40" i="88"/>
  <c r="AJ50" i="88" s="1"/>
  <c r="AJ57" i="88" s="1"/>
  <c r="AJ56" i="88" l="1"/>
  <c r="AJ59" i="88" s="1"/>
  <c r="AJ61" i="88" s="1"/>
  <c r="AJ60" i="88"/>
  <c r="AJ62" i="88" s="1"/>
  <c r="AK49" i="88"/>
  <c r="AK40" i="88"/>
  <c r="AK50" i="88" s="1"/>
  <c r="AK57" i="88" s="1"/>
  <c r="AD32" i="62"/>
  <c r="AD33" i="62" s="1"/>
  <c r="AL36" i="88"/>
  <c r="AL37" i="88" s="1"/>
  <c r="E184" i="60"/>
  <c r="AD29" i="62"/>
  <c r="AD30" i="62" s="1"/>
  <c r="AL33" i="88"/>
  <c r="AL34" i="88" s="1"/>
  <c r="E150" i="60"/>
  <c r="AL39" i="88"/>
  <c r="E217" i="60"/>
  <c r="AD35" i="62"/>
  <c r="AK56" i="88" l="1"/>
  <c r="AK59" i="88" s="1"/>
  <c r="AK61" i="88" s="1"/>
  <c r="AK60" i="88"/>
  <c r="AK62" i="88" s="1"/>
  <c r="AE29" i="62"/>
  <c r="AE30" i="62" s="1"/>
  <c r="AM33" i="88"/>
  <c r="AM34" i="88" s="1"/>
  <c r="E154" i="60"/>
  <c r="H154" i="60" s="1"/>
  <c r="AD36" i="62"/>
  <c r="AD46" i="62" s="1"/>
  <c r="AD53" i="62" s="1"/>
  <c r="AD45" i="62"/>
  <c r="AE35" i="62"/>
  <c r="E218" i="60"/>
  <c r="AM39" i="88"/>
  <c r="AL49" i="88"/>
  <c r="AL40" i="88"/>
  <c r="AL50" i="88" s="1"/>
  <c r="AL57" i="88" s="1"/>
  <c r="AM36" i="88"/>
  <c r="AM37" i="88" s="1"/>
  <c r="AE32" i="62"/>
  <c r="AE33" i="62" s="1"/>
  <c r="E187" i="60"/>
  <c r="H187" i="60" s="1"/>
  <c r="AL56" i="88" l="1"/>
  <c r="AL59" i="88" s="1"/>
  <c r="AL61" i="88" s="1"/>
  <c r="AL60" i="88"/>
  <c r="AL62" i="88" s="1"/>
  <c r="AD56" i="62"/>
  <c r="AD52" i="62"/>
  <c r="AD55" i="62" s="1"/>
  <c r="AD57" i="62" s="1"/>
  <c r="AM40" i="88"/>
  <c r="AM50" i="88" s="1"/>
  <c r="AM57" i="88" s="1"/>
  <c r="AM49" i="88"/>
  <c r="AE36" i="62"/>
  <c r="AE46" i="62" s="1"/>
  <c r="AE53" i="62" s="1"/>
  <c r="AE45" i="62"/>
  <c r="AN39" i="88"/>
  <c r="AF35" i="62"/>
  <c r="E220" i="60"/>
  <c r="H220" i="60" s="1"/>
  <c r="AD58" i="62" l="1"/>
  <c r="AE56" i="62"/>
  <c r="AE52" i="62"/>
  <c r="AE55" i="62" s="1"/>
  <c r="AE57" i="62" s="1"/>
  <c r="AF36" i="62"/>
  <c r="AF46" i="62" s="1"/>
  <c r="AF53" i="62" s="1"/>
  <c r="AF45" i="62"/>
  <c r="AM56" i="88"/>
  <c r="AM59" i="88" s="1"/>
  <c r="AM61" i="88" s="1"/>
  <c r="AM60" i="88"/>
  <c r="AM62" i="88" s="1"/>
  <c r="AN40" i="88"/>
  <c r="AN50" i="88" s="1"/>
  <c r="AN57" i="88" s="1"/>
  <c r="AN49" i="88"/>
  <c r="AE58" i="62" l="1"/>
  <c r="AN60" i="88"/>
  <c r="AN62" i="88" s="1"/>
  <c r="AQ62" i="88" s="1"/>
  <c r="AN56" i="88"/>
  <c r="AN59" i="88" s="1"/>
  <c r="AN61" i="88" s="1"/>
  <c r="AF56" i="62"/>
  <c r="AF52" i="62"/>
  <c r="AF55" i="62" s="1"/>
  <c r="AF57" i="62" s="1"/>
  <c r="AF58" i="62" l="1"/>
  <c r="AI58" i="62" s="1"/>
</calcChain>
</file>

<file path=xl/comments1.xml><?xml version="1.0" encoding="utf-8"?>
<comments xmlns="http://schemas.openxmlformats.org/spreadsheetml/2006/main">
  <authors>
    <author>Full name</author>
  </authors>
  <commentList>
    <comment ref="H56" authorId="0" shapeId="0">
      <text>
        <r>
          <rPr>
            <sz val="9"/>
            <color indexed="81"/>
            <rFont val="Tahoma"/>
            <family val="2"/>
          </rPr>
          <t>Supeditado a Cto. D</t>
        </r>
      </text>
    </comment>
    <comment ref="H57" authorId="0" shapeId="0">
      <text>
        <r>
          <rPr>
            <sz val="9"/>
            <color indexed="81"/>
            <rFont val="Tahoma"/>
            <family val="2"/>
          </rPr>
          <t xml:space="preserve">Precio supeditado al precio de cto. Clase D
</t>
        </r>
      </text>
    </comment>
  </commentList>
</comments>
</file>

<file path=xl/comments2.xml><?xml version="1.0" encoding="utf-8"?>
<comments xmlns="http://schemas.openxmlformats.org/spreadsheetml/2006/main">
  <authors>
    <author>Full name</author>
    <author>ROCA</author>
  </authors>
  <commentList>
    <comment ref="H22" authorId="0" shapeId="0">
      <text>
        <r>
          <rPr>
            <sz val="9"/>
            <color indexed="81"/>
            <rFont val="Tahoma"/>
            <family val="2"/>
          </rPr>
          <t>Falta adicionarle valor de material de afirmado.</t>
        </r>
      </text>
    </comment>
    <comment ref="H56" authorId="0" shapeId="0">
      <text>
        <r>
          <rPr>
            <sz val="9"/>
            <color indexed="81"/>
            <rFont val="Tahoma"/>
            <family val="2"/>
          </rPr>
          <t>Supeditado a Cto. D</t>
        </r>
      </text>
    </comment>
    <comment ref="H57" authorId="0" shapeId="0">
      <text>
        <r>
          <rPr>
            <sz val="9"/>
            <color indexed="81"/>
            <rFont val="Tahoma"/>
            <family val="2"/>
          </rPr>
          <t xml:space="preserve">Precio supeditado al precio de cto. Clase D
</t>
        </r>
      </text>
    </comment>
    <comment ref="I106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costo eje 1</t>
        </r>
      </text>
    </comment>
  </commentList>
</comments>
</file>

<file path=xl/comments3.xml><?xml version="1.0" encoding="utf-8"?>
<comments xmlns="http://schemas.openxmlformats.org/spreadsheetml/2006/main">
  <authors>
    <author>Full name</author>
    <author>ROCA</author>
    <author>lenovo pc</author>
  </authors>
  <commentList>
    <comment ref="F70" authorId="0" shapeId="0">
      <text>
        <r>
          <rPr>
            <sz val="9"/>
            <color indexed="81"/>
            <rFont val="Tahoma"/>
            <family val="2"/>
          </rPr>
          <t xml:space="preserve">Según experiencia
</t>
        </r>
      </text>
    </comment>
    <comment ref="F117" authorId="0" shapeId="0">
      <text>
        <r>
          <rPr>
            <sz val="9"/>
            <color indexed="81"/>
            <rFont val="Tahoma"/>
            <family val="2"/>
          </rPr>
          <t>Promedio alc. existentes</t>
        </r>
      </text>
    </comment>
    <comment ref="J134" authorId="0" shapeId="0">
      <text>
        <r>
          <rPr>
            <sz val="9"/>
            <color indexed="81"/>
            <rFont val="Tahoma"/>
            <family val="2"/>
          </rPr>
          <t>Tomado de diseño geométrico eje4</t>
        </r>
      </text>
    </comment>
    <comment ref="D246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BASE GRANULAR en la figura</t>
        </r>
      </text>
    </comment>
    <comment ref="J246" authorId="0" shapeId="0">
      <text>
        <r>
          <rPr>
            <sz val="9"/>
            <color indexed="81"/>
            <rFont val="Tahoma"/>
            <family val="2"/>
          </rPr>
          <t xml:space="preserve">Tomado de volumen de materiales del diseño geométrico eje 4
</t>
        </r>
      </text>
    </comment>
    <comment ref="D261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AFIRMADO en la figura</t>
        </r>
      </text>
    </comment>
    <comment ref="J261" authorId="0" shapeId="0">
      <text>
        <r>
          <rPr>
            <sz val="9"/>
            <color indexed="81"/>
            <rFont val="Tahoma"/>
            <family val="2"/>
          </rPr>
          <t>Tomado de volumen de materiales del diseño geométrico eje 4</t>
        </r>
      </text>
    </comment>
    <comment ref="D276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LOSA DE CONCRETO en la figura</t>
        </r>
      </text>
    </comment>
    <comment ref="J276" authorId="0" shapeId="0">
      <text>
        <r>
          <rPr>
            <sz val="9"/>
            <color indexed="81"/>
            <rFont val="Tahoma"/>
            <family val="2"/>
          </rPr>
          <t xml:space="preserve">Tomado de volumen de materiales del diseño geométrico eje 4
</t>
        </r>
      </text>
    </comment>
    <comment ref="J293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de inventario muros de contencion</t>
        </r>
      </text>
    </comment>
    <comment ref="J440" authorId="0" shapeId="0">
      <text>
        <r>
          <rPr>
            <sz val="9"/>
            <color indexed="81"/>
            <rFont val="Tahoma"/>
            <family val="2"/>
          </rPr>
          <t>Tomado de archivo:"Inventario de Muros".</t>
        </r>
      </text>
    </comment>
    <comment ref="J672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25x35m3 inventario muros</t>
        </r>
      </text>
    </comment>
    <comment ref="J684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2x60m3 inventario muros</t>
        </r>
      </text>
    </comment>
    <comment ref="J736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tomado de inventario muros e4</t>
        </r>
      </text>
    </comment>
    <comment ref="J737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tomado de inventario muros</t>
        </r>
      </text>
    </comment>
    <comment ref="G760" authorId="0" shapeId="0">
      <text>
        <r>
          <rPr>
            <sz val="9"/>
            <color indexed="81"/>
            <rFont val="Tahoma"/>
            <family val="2"/>
          </rPr>
          <t>Área de cuneta, incluido bordillo para mayor seguiridad igual a 0.106 m2 (según dibujo)</t>
        </r>
      </text>
    </comment>
    <comment ref="G775" authorId="0" shapeId="0">
      <text>
        <r>
          <rPr>
            <sz val="9"/>
            <color indexed="81"/>
            <rFont val="Tahoma"/>
            <family val="2"/>
          </rPr>
          <t>Área de bordillo según diseño (dibujo)</t>
        </r>
      </text>
    </comment>
    <comment ref="G985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tomado de material excavado de corte e4</t>
        </r>
      </text>
    </comment>
    <comment ref="D1006" authorId="2" shapeId="0">
      <text>
        <r>
          <rPr>
            <sz val="9"/>
            <color indexed="81"/>
            <rFont val="Tahoma"/>
            <family val="2"/>
          </rPr>
          <t>Según diseño informe taludes anclajes eje 4 tramo 3</t>
        </r>
      </text>
    </comment>
    <comment ref="D1007" authorId="2" shapeId="0">
      <text>
        <r>
          <rPr>
            <sz val="9"/>
            <color indexed="81"/>
            <rFont val="Tahoma"/>
            <family val="2"/>
          </rPr>
          <t>Según diseño informe taludes anclajes eje 4 tramo 3</t>
        </r>
      </text>
    </comment>
    <comment ref="D1008" authorId="2" shapeId="0">
      <text>
        <r>
          <rPr>
            <sz val="9"/>
            <color indexed="81"/>
            <rFont val="Tahoma"/>
            <family val="2"/>
          </rPr>
          <t>Según diseño informe taludes anclajes eje 4 tramo 3</t>
        </r>
      </text>
    </comment>
    <comment ref="E1021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tomado de material excavado de corte CG</t>
        </r>
      </text>
    </comment>
    <comment ref="F1021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LONG PROM A ZODME</t>
        </r>
      </text>
    </comment>
    <comment ref="D1039" authorId="2" shapeId="0">
      <text>
        <r>
          <rPr>
            <sz val="9"/>
            <color indexed="81"/>
            <rFont val="Tahoma"/>
            <family val="2"/>
          </rPr>
          <t xml:space="preserve">Inciden en apartes como PMT.
</t>
        </r>
      </text>
    </comment>
    <comment ref="F1045" authorId="2" shapeId="0">
      <text>
        <r>
          <rPr>
            <sz val="9"/>
            <color indexed="81"/>
            <rFont val="Tahoma"/>
            <family val="2"/>
          </rPr>
          <t>Tomado de sector de localización de Zona De Material Excav K1+150 al K1+360</t>
        </r>
      </text>
    </comment>
  </commentList>
</comments>
</file>

<file path=xl/comments4.xml><?xml version="1.0" encoding="utf-8"?>
<comments xmlns="http://schemas.openxmlformats.org/spreadsheetml/2006/main">
  <authors>
    <author>Full name</author>
    <author>ROCA</author>
  </authors>
  <commentList>
    <comment ref="H17" authorId="0" shapeId="0">
      <text>
        <r>
          <rPr>
            <sz val="9"/>
            <color indexed="81"/>
            <rFont val="Tahoma"/>
            <family val="2"/>
          </rPr>
          <t>Falta adicionarle valor de material de afirmado.</t>
        </r>
      </text>
    </comment>
    <comment ref="H42" authorId="0" shapeId="0">
      <text>
        <r>
          <rPr>
            <sz val="9"/>
            <color indexed="81"/>
            <rFont val="Tahoma"/>
            <family val="2"/>
          </rPr>
          <t>Supeditado a Cto. D</t>
        </r>
      </text>
    </comment>
    <comment ref="H43" authorId="0" shapeId="0">
      <text>
        <r>
          <rPr>
            <sz val="9"/>
            <color indexed="81"/>
            <rFont val="Tahoma"/>
            <family val="2"/>
          </rPr>
          <t xml:space="preserve">Precio supeditado al precio de cto. Clase D
</t>
        </r>
      </text>
    </comment>
    <comment ref="H55" authorId="0" shapeId="0">
      <text>
        <r>
          <rPr>
            <sz val="9"/>
            <color indexed="81"/>
            <rFont val="Tahoma"/>
            <family val="2"/>
          </rPr>
          <t>Precio de lpamina de 75x75.  Es 60x60</t>
        </r>
      </text>
    </comment>
    <comment ref="I77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INSERTAR VALOR</t>
        </r>
      </text>
    </comment>
    <comment ref="I83" authorId="1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costo eje1+EJE4 +EJE4</t>
        </r>
      </text>
    </comment>
  </commentList>
</comments>
</file>

<file path=xl/comments5.xml><?xml version="1.0" encoding="utf-8"?>
<comments xmlns="http://schemas.openxmlformats.org/spreadsheetml/2006/main">
  <authors>
    <author>lenovo pc</author>
  </authors>
  <commentList>
    <comment ref="E23" authorId="0" shapeId="0">
      <text>
        <r>
          <rPr>
            <sz val="9"/>
            <color indexed="81"/>
            <rFont val="Tahoma"/>
            <family val="2"/>
          </rPr>
          <t>Se incluye mano de obra</t>
        </r>
      </text>
    </comment>
  </commentList>
</comments>
</file>

<file path=xl/comments6.xml><?xml version="1.0" encoding="utf-8"?>
<comments xmlns="http://schemas.openxmlformats.org/spreadsheetml/2006/main">
  <authors>
    <author>ROCA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95000 EN PRES GUAIT</t>
        </r>
      </text>
    </comment>
  </commentList>
</comments>
</file>

<file path=xl/comments7.xml><?xml version="1.0" encoding="utf-8"?>
<comments xmlns="http://schemas.openxmlformats.org/spreadsheetml/2006/main">
  <authors>
    <author>ROCA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>ROCA:</t>
        </r>
        <r>
          <rPr>
            <sz val="9"/>
            <color indexed="81"/>
            <rFont val="Tahoma"/>
            <family val="2"/>
          </rPr>
          <t xml:space="preserve">
95000 EN PRES GUAIT</t>
        </r>
      </text>
    </comment>
  </commentList>
</comments>
</file>

<file path=xl/sharedStrings.xml><?xml version="1.0" encoding="utf-8"?>
<sst xmlns="http://schemas.openxmlformats.org/spreadsheetml/2006/main" count="5051" uniqueCount="1261">
  <si>
    <t>REPUBLICA DE COLOMBIA</t>
  </si>
  <si>
    <t>DEPARTAMENTO DE NARIÑO</t>
  </si>
  <si>
    <t>ÍTEM</t>
  </si>
  <si>
    <t>ESPECIFICACIÓN</t>
  </si>
  <si>
    <t>DESCRIPCIÓN</t>
  </si>
  <si>
    <t xml:space="preserve">UNIDAD </t>
  </si>
  <si>
    <t>CANTIDAD</t>
  </si>
  <si>
    <t>VALOR UNITARIO</t>
  </si>
  <si>
    <t>COSTO TOTAL</t>
  </si>
  <si>
    <t>200.2</t>
  </si>
  <si>
    <t xml:space="preserve">DESMONTE Y LIMPIEZA EN ZONAS NO BOSCOSAS           </t>
  </si>
  <si>
    <t xml:space="preserve"> HA</t>
  </si>
  <si>
    <t>200.4P</t>
  </si>
  <si>
    <t>-</t>
  </si>
  <si>
    <t xml:space="preserve">LOCALIZACIÓN Y REPLANTEO (CARRETERA)     </t>
  </si>
  <si>
    <t>ML</t>
  </si>
  <si>
    <t>201.7</t>
  </si>
  <si>
    <t>DEMOLICIÓN DE ESTRUCTURAS</t>
  </si>
  <si>
    <t>M3</t>
  </si>
  <si>
    <t>210.1.1</t>
  </si>
  <si>
    <t>210.2.1</t>
  </si>
  <si>
    <t>225P</t>
  </si>
  <si>
    <t>231.1</t>
  </si>
  <si>
    <t>M2</t>
  </si>
  <si>
    <t/>
  </si>
  <si>
    <t>311.1</t>
  </si>
  <si>
    <t>AFIRMADO</t>
  </si>
  <si>
    <t>330.1</t>
  </si>
  <si>
    <t>PAVIMENTO DE CONCRETO HIDRÁULICO</t>
  </si>
  <si>
    <t>EXCAVACIONES VARIAS SIN CLASIFICAR</t>
  </si>
  <si>
    <t>EXCAVACIONES VARIAS EN ROCA EN SECO</t>
  </si>
  <si>
    <t>600.3</t>
  </si>
  <si>
    <t>EXCAVACIONES VARIAS EN ROCA BAJO AGUA</t>
  </si>
  <si>
    <t>600.5</t>
  </si>
  <si>
    <t>EXCAVACIONES VARIAS EN MATERIAL COMÚN BAJO AGUA</t>
  </si>
  <si>
    <t>610.1</t>
  </si>
  <si>
    <t>ESTRUCTURAS DE CONCRETO</t>
  </si>
  <si>
    <t>630.4</t>
  </si>
  <si>
    <t>CONCRETO CLASE D</t>
  </si>
  <si>
    <t>630.6</t>
  </si>
  <si>
    <t>CONCRETO CLASE F</t>
  </si>
  <si>
    <t>630.7</t>
  </si>
  <si>
    <t>CONCRETO CLASE G</t>
  </si>
  <si>
    <t>ACERO DE REFUERZO fy 412 Mpa</t>
  </si>
  <si>
    <t>661.1</t>
  </si>
  <si>
    <t>TUBERÍA DE CONCRETO REFORZADO 900 MM DIÁMETRO INTERIOR (TIPO 1)</t>
  </si>
  <si>
    <t>671.1</t>
  </si>
  <si>
    <t>CUNETA DE CONCRETO FUNDIDA EN EL LUGAR</t>
  </si>
  <si>
    <t>672.1</t>
  </si>
  <si>
    <t>BORDILLOS DE CONCRETO</t>
  </si>
  <si>
    <t>673.1</t>
  </si>
  <si>
    <t>MATERIAL GRANULAR FILTRANTE</t>
  </si>
  <si>
    <t>674.2</t>
  </si>
  <si>
    <t>DREN HORIZONTAL DE LONGITUD MAYOR A DIEZ METROS</t>
  </si>
  <si>
    <t>681.1</t>
  </si>
  <si>
    <t>GAVIÓN</t>
  </si>
  <si>
    <t>700.1</t>
  </si>
  <si>
    <t>LÍNEA DE DEMARCACIÓN CON PINTURA EN FRIO</t>
  </si>
  <si>
    <t>710.1.1</t>
  </si>
  <si>
    <t>U</t>
  </si>
  <si>
    <t>730.1</t>
  </si>
  <si>
    <t>DEFENSAS METÁLICAS</t>
  </si>
  <si>
    <t>730.2</t>
  </si>
  <si>
    <t>SECCIÓN FINAL DE DEFENSAS METÁLICAS</t>
  </si>
  <si>
    <t>740.1</t>
  </si>
  <si>
    <t>740-07</t>
  </si>
  <si>
    <t>CAPTAFAROS</t>
  </si>
  <si>
    <t>900.2</t>
  </si>
  <si>
    <t>M3-KM</t>
  </si>
  <si>
    <t>A</t>
  </si>
  <si>
    <t>B</t>
  </si>
  <si>
    <t>C</t>
  </si>
  <si>
    <t>D</t>
  </si>
  <si>
    <t>ING. CARLOS ANDRES PANTOJA AGREDA Ms.C.</t>
  </si>
  <si>
    <t>M.P. 52202-094144 NRÑ</t>
  </si>
  <si>
    <t>Long. (m)</t>
  </si>
  <si>
    <t>Ancho (m)</t>
  </si>
  <si>
    <t>Espesor (m)</t>
  </si>
  <si>
    <t>Dimensiones</t>
  </si>
  <si>
    <t>Unidad:</t>
  </si>
  <si>
    <t>TOTAL:</t>
  </si>
  <si>
    <t>201-7</t>
  </si>
  <si>
    <t>200-4P</t>
  </si>
  <si>
    <t>200-2</t>
  </si>
  <si>
    <t>Und</t>
  </si>
  <si>
    <t>REMOSIÓN DE ALCANTARILLAS</t>
  </si>
  <si>
    <t>EXCAVACION SIN CLASIFICAR DE LA EXPLANACIÓN Y CANALES</t>
  </si>
  <si>
    <t>Pie de Talud de corte:</t>
  </si>
  <si>
    <t xml:space="preserve">Sub-Total </t>
  </si>
  <si>
    <t>EXCAVACION EN ROCA DE LA EXPLANACION Y CANALES</t>
  </si>
  <si>
    <t>REMOCION DE DERRUMBES</t>
  </si>
  <si>
    <t xml:space="preserve">MEJORAMIENTO DE LA SUBRASANTE EMPLEANDO UNICAMENTE MATERIAL ADICIONADO </t>
  </si>
  <si>
    <t>CONFORMACIÓN DE LA CALZADA EXISTENTE CON ADICIÓN DE MATERIAL</t>
  </si>
  <si>
    <t>No.1. EXPLANACIÓN</t>
  </si>
  <si>
    <t xml:space="preserve">No.2. AFIRMADO Y SUBBASE  </t>
  </si>
  <si>
    <t>SUBBASE GRANULAR</t>
  </si>
  <si>
    <t>No.2. AFIRMADOS Y SUBBASES</t>
  </si>
  <si>
    <t>SUBTOTAL EXPLANACION</t>
  </si>
  <si>
    <t>SUBTOTAL AFIRMADO Y SUBBASE</t>
  </si>
  <si>
    <t xml:space="preserve">No.3. PAVIMENTO  </t>
  </si>
  <si>
    <t>No.3. PAVIMENTO</t>
  </si>
  <si>
    <t>No.4. ESTRUCTURAS Y DRENAJES</t>
  </si>
  <si>
    <t>EXCAVACIONES PARA ESTRUCTURAS:</t>
  </si>
  <si>
    <t>600.1.1</t>
  </si>
  <si>
    <t>Muros de Contención:</t>
  </si>
  <si>
    <t>Alcantarillas:</t>
  </si>
  <si>
    <t>600.2.1</t>
  </si>
  <si>
    <t>SUBTOTAL AFIRMADO Y SUBBASE:</t>
  </si>
  <si>
    <t>ESTRUCTURAS DE CONCRETO:</t>
  </si>
  <si>
    <t>600.2.2</t>
  </si>
  <si>
    <t>600.2.4</t>
  </si>
  <si>
    <t>Box Coulvert:</t>
  </si>
  <si>
    <t>CONCRETO CLASE C</t>
  </si>
  <si>
    <t>Canal - descole</t>
  </si>
  <si>
    <t>Obras Varias:</t>
  </si>
  <si>
    <t>SUMINISTROS:</t>
  </si>
  <si>
    <t>SUMINISTROS</t>
  </si>
  <si>
    <t>SUBTOTAL ESTRUCTURAS Y DRENAJES:</t>
  </si>
  <si>
    <t>RELLENO PARA ESTRUCTURAS CON RECEBO</t>
  </si>
  <si>
    <t>ELEMENTOS AUXILIARES DE CONDUCCIÓN:</t>
  </si>
  <si>
    <t>ELEMENTOS AUXILIARES DE DRENAJE:</t>
  </si>
  <si>
    <t>Kg</t>
  </si>
  <si>
    <t>Altura (m)</t>
  </si>
  <si>
    <t xml:space="preserve">GEOTEXTIL </t>
  </si>
  <si>
    <t>ELEMENTOS AUXILIARES DE CONTENCIÓN</t>
  </si>
  <si>
    <t>201-13</t>
  </si>
  <si>
    <t>210-13</t>
  </si>
  <si>
    <t>220-13</t>
  </si>
  <si>
    <t>230-13</t>
  </si>
  <si>
    <t>310-13</t>
  </si>
  <si>
    <t>311-13</t>
  </si>
  <si>
    <t>320-13</t>
  </si>
  <si>
    <t>500-13</t>
  </si>
  <si>
    <t>600-13</t>
  </si>
  <si>
    <t>630-13</t>
  </si>
  <si>
    <t>640-13</t>
  </si>
  <si>
    <t>610-13</t>
  </si>
  <si>
    <t>661-13</t>
  </si>
  <si>
    <t>660-13</t>
  </si>
  <si>
    <t>672-13</t>
  </si>
  <si>
    <t>673-13</t>
  </si>
  <si>
    <t>674-13</t>
  </si>
  <si>
    <t>681-13</t>
  </si>
  <si>
    <t>No.5. SEÑALIZACIÓN Y SEGURIDAD</t>
  </si>
  <si>
    <t>700-13</t>
  </si>
  <si>
    <t>701-13</t>
  </si>
  <si>
    <t>SEÑALES VERTICAL DE TRANSITO TIPO I CON LÁMINA  RETROREFLECTIVA TIPO I</t>
  </si>
  <si>
    <t>UND</t>
  </si>
  <si>
    <t>SEÑALES VERTICAL DE TRANSITO TIPO II CON LÁMINA  RETROREFLECTIVA TIPO I</t>
  </si>
  <si>
    <t>MARCA VIAL CON PINTURA EN FRIO</t>
  </si>
  <si>
    <t>730-13</t>
  </si>
  <si>
    <t>TACHA REFLECTIVA</t>
  </si>
  <si>
    <t>701.1</t>
  </si>
  <si>
    <t>SUBTOTAL SEÑALIZACIÓN Y SEGURIDAD:</t>
  </si>
  <si>
    <t>No.6. OBRAS VARIAS</t>
  </si>
  <si>
    <t>800.1</t>
  </si>
  <si>
    <t>800-13</t>
  </si>
  <si>
    <t>CERCA DE ALAMBRE DE PUAS CON POSTES DE MADERA</t>
  </si>
  <si>
    <t>PROTECCIÓN DE TALUDES CON BLOQUES DE CESPED</t>
  </si>
  <si>
    <t>810.1</t>
  </si>
  <si>
    <t>810-13</t>
  </si>
  <si>
    <t>SUBTOTAL OBRAS VARIAS:</t>
  </si>
  <si>
    <t>No.7. ESPECIFICACIONES PARTICULARES (OBRAS AMBIENTALES)</t>
  </si>
  <si>
    <t>CONFORMACION DE DEPÓSITO DE MATERIAL SOBRANTE</t>
  </si>
  <si>
    <t>P1</t>
  </si>
  <si>
    <t>673.2</t>
  </si>
  <si>
    <t>SUBTOTAL ESPECIFICACIONES PARTICULARES (OBRAS AMBIENTALES):</t>
  </si>
  <si>
    <t>No.8. TRANSPORTE</t>
  </si>
  <si>
    <t>No.8. TRANSPORTES</t>
  </si>
  <si>
    <t>Vol. (m)</t>
  </si>
  <si>
    <t>Long. (km)</t>
  </si>
  <si>
    <t>900.1</t>
  </si>
  <si>
    <t>900-13</t>
  </si>
  <si>
    <t>TRANSPORTE DE MATERIALES PROVENIENTES DE LA EXCAVACIÓN DE LA EXPLANACIÓN, CANALES Y PRÉSTAMOS PARA DISTANCIAS MAYORES DE MIL METROS (1000 M), MEDIDO A PARTIR DE CIEN METROS (100M).</t>
  </si>
  <si>
    <t>M3-E</t>
  </si>
  <si>
    <t>SUBTOTAL TRANSPORTE:</t>
  </si>
  <si>
    <t>COSTO BÁSICO:</t>
  </si>
  <si>
    <t>INTERVENTORIA:</t>
  </si>
  <si>
    <t>DISCRIMINACION DETALLADA DEL AUI</t>
  </si>
  <si>
    <t>VALOR CONTRATO</t>
  </si>
  <si>
    <t>COSTO DIRECTO ESTIMADO DE OBRA (CD)</t>
  </si>
  <si>
    <t>COSTO DIRECTO</t>
  </si>
  <si>
    <t>TERMINO ESTIMADO DE EJECUCIÓN DE OBRA</t>
  </si>
  <si>
    <t>MESES</t>
  </si>
  <si>
    <t xml:space="preserve">A = </t>
  </si>
  <si>
    <t>U =</t>
  </si>
  <si>
    <t>I =</t>
  </si>
  <si>
    <t>A. ADMINISTRACIÓN</t>
  </si>
  <si>
    <t>1. COSTOS MENSUALES DE PERSONAL</t>
  </si>
  <si>
    <t>#</t>
  </si>
  <si>
    <t>CARGO</t>
  </si>
  <si>
    <t>CATEGORÍA</t>
  </si>
  <si>
    <t>DEDICACIÓN MES</t>
  </si>
  <si>
    <t>TOPE MÁXIMO SALARIO</t>
  </si>
  <si>
    <t>FACTOR PRESTACIONAL</t>
  </si>
  <si>
    <t>SALARIO MÁS PRESTACIONES</t>
  </si>
  <si>
    <t>E = A * B * C * D</t>
  </si>
  <si>
    <t>1.1 PERSONAL PROFESIONAL (Ingenieros y Otros)</t>
  </si>
  <si>
    <t>INGENIERO RESIDENTE AMBIENTAL</t>
  </si>
  <si>
    <t>TRABAJADOR SOCIAL</t>
  </si>
  <si>
    <t>1.2 PERSONAL TÉCNICO Y PERSONAL AUXILIAR TÉCNICO</t>
  </si>
  <si>
    <t>INSPECTOR DE OBRA CIVIL</t>
  </si>
  <si>
    <t>TOPOGRAFO</t>
  </si>
  <si>
    <t>SECRETARIA</t>
  </si>
  <si>
    <t>1.3 PERSONAL ADMINISTRATIVO</t>
  </si>
  <si>
    <t>ALMACENISTA</t>
  </si>
  <si>
    <t>CONTADOR</t>
  </si>
  <si>
    <t>SUBTOTAL COSTOS MENSUALES DE PERSONAL</t>
  </si>
  <si>
    <t>2. GASTOS OPERACIONALES MENSUALES</t>
  </si>
  <si>
    <t>VALOR ($)</t>
  </si>
  <si>
    <t>GASTOS DE OFICINA INCL. ADMINISTRACIÓN, SERVICIOS PÚBLICOS, COMUNICACIONES</t>
  </si>
  <si>
    <t>CAMPAMENTO INCL. SERVICIOS PÚBLICOS PROVISIONALES EN AREA DE INFLUENCIA</t>
  </si>
  <si>
    <t>DOTACION (INCLUYE SEGURIDAD INDUSTRIAL)</t>
  </si>
  <si>
    <t>GASTOS OFICINA (PAPELERIA, FOTOCOPIAS, EQUIPOS DE COMPUTO Y OTROS)</t>
  </si>
  <si>
    <t>VEHICULO Y/O TRANSPORTE</t>
  </si>
  <si>
    <t>EQUIPO DE TOPOGRAFÍA (incluye cadeneros)</t>
  </si>
  <si>
    <t>ENSAYOS DE LABORATORIO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</si>
  <si>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</si>
  <si>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</si>
  <si>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</si>
  <si>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</si>
  <si>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</si>
  <si>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VALOR BASE</t>
  </si>
  <si>
    <t>IMPUESTO</t>
  </si>
  <si>
    <t>CONTRIBUCIÓN ESPECIAL</t>
  </si>
  <si>
    <t>ICA</t>
  </si>
  <si>
    <t>ESTAMPILLA UNIVERSIDAD DE NARIÑO</t>
  </si>
  <si>
    <t>RETENCION EN LA FUENTE</t>
  </si>
  <si>
    <t>ESTAMPILLA PRO CULTURA</t>
  </si>
  <si>
    <t>ESTAMPILLA PRO PERSONAS MAYORES</t>
  </si>
  <si>
    <t>FIC</t>
  </si>
  <si>
    <t>APORTE PARAFISCALES</t>
  </si>
  <si>
    <t>FINANCIACION</t>
  </si>
  <si>
    <t>SUBTOTAL IMPUESTOS</t>
  </si>
  <si>
    <t>3.2 GARANTIAS</t>
  </si>
  <si>
    <t>VR. BASE</t>
  </si>
  <si>
    <t>%ASEGURADO</t>
  </si>
  <si>
    <t>VIGENCIA AMPARO (MESES)</t>
  </si>
  <si>
    <t>TASA ASEGURADORA</t>
  </si>
  <si>
    <t>G.UNICA</t>
  </si>
  <si>
    <t>CUMPLIMIENTO</t>
  </si>
  <si>
    <t>BUEN MANEJO DE ANTICIPO</t>
  </si>
  <si>
    <t>R.C.E.</t>
  </si>
  <si>
    <t>SALARIOS Y PRESTACIONES SOCIALES</t>
  </si>
  <si>
    <t>ESTABILIDAD Y CALIDAD DE LA OBRA</t>
  </si>
  <si>
    <t>PREDIOS, LABORES Y OPERACIONES - VIGENCIA</t>
  </si>
  <si>
    <t>SUBTOTAL GARANTÍAS</t>
  </si>
  <si>
    <t>A. ADMINISTRACIÓN (1 + 2 + 3)</t>
  </si>
  <si>
    <t>I. IMPREVISTOS</t>
  </si>
  <si>
    <t>U. UTILIDAD</t>
  </si>
  <si>
    <t>A.I.U. (ADMINISTRACIÓN, IMPREVISTOS Y UTILIDAD)</t>
  </si>
  <si>
    <t>EQUIPO</t>
  </si>
  <si>
    <t>UNIDAD</t>
  </si>
  <si>
    <t>TARIFA 2012</t>
  </si>
  <si>
    <t>ASPERSOR MANUAL</t>
  </si>
  <si>
    <t>$/HORA</t>
  </si>
  <si>
    <t>BARREDORA MECÁNICA DE CEPILLO</t>
  </si>
  <si>
    <t>BOMBA DE INYECCIÓN DE LECHADA</t>
  </si>
  <si>
    <t>BOMBA PARA GATO DE TENSIONAMIENTO</t>
  </si>
  <si>
    <t>BOMBA DE CONCRETO</t>
  </si>
  <si>
    <t>BULDOZER D4</t>
  </si>
  <si>
    <t>BULDOZER D6</t>
  </si>
  <si>
    <t>BULDOZER D8</t>
  </si>
  <si>
    <t>CAMIÓN 350</t>
  </si>
  <si>
    <t>CAMIONETA D-300</t>
  </si>
  <si>
    <t>CAMIÓN DE SLURRY</t>
  </si>
  <si>
    <t>CARGADOR 920 O EQUIVALENTE</t>
  </si>
  <si>
    <t>CARGADOR 930 O EQUIVALENTE</t>
  </si>
  <si>
    <t>CARGADOR 966 O EQUIVALENTE</t>
  </si>
  <si>
    <t>CARROTANQUE DE AGUA 10000 LITROS</t>
  </si>
  <si>
    <t>CARROTANQUE IRRIGADOR DE ASFALTO</t>
  </si>
  <si>
    <t>CIZALLA MANUAL</t>
  </si>
  <si>
    <t>COMPACTADOR 1 - 3 TONELADAS</t>
  </si>
  <si>
    <t>COMPACTADOR MANUAL (RANA)</t>
  </si>
  <si>
    <t>COMPACTADOR MANUAL DE RODILLO</t>
  </si>
  <si>
    <t>COMPACTADOR MANUAL VIBRATORIO (CANGURO) (APISONADORES)</t>
  </si>
  <si>
    <t>COMPACTADOR NEUMÁTICO</t>
  </si>
  <si>
    <t>COMPRESOR 125 PIES 3 CON MARTILLO</t>
  </si>
  <si>
    <t>COMPRESOR 250 PIES3 2 MARTILLOS</t>
  </si>
  <si>
    <t>COMPRESOR (BARRIDO Y SOPLADO)</t>
  </si>
  <si>
    <t>COMPRESOR PARA PENETRAR ROCA</t>
  </si>
  <si>
    <t>CORTADORA DE PAVIMENTO</t>
  </si>
  <si>
    <t>DIFERENCIAL DE 2 TON.</t>
  </si>
  <si>
    <t>DIFERENCIAL DE 3 TON</t>
  </si>
  <si>
    <t>EQUIPO DE CONTROL (BANDAS SONORAS REDUCE VELOCIDAD) (TERMOHIGOMETROS, TERMÓMETROS, GALGAS)</t>
  </si>
  <si>
    <t>EQUIPO DE OXICORTE</t>
  </si>
  <si>
    <t>EQUIPO DE PERFORACIÓN (TRACKDRILL)</t>
  </si>
  <si>
    <t>EQUIPO DE PINTURA (COMPRESOR)</t>
  </si>
  <si>
    <t>EQUIPO DE SOLDADURA 250 AMP</t>
  </si>
  <si>
    <t>EQUIPO DE SOLDADURA 400</t>
  </si>
  <si>
    <t>EQUIPO DE SOLDADURA 600</t>
  </si>
  <si>
    <t>EQUIPO DE TOPOGRAFÍA</t>
  </si>
  <si>
    <t>EQUIPO MANUAL APLICADOR (BANDAS SONORAS REDUCE VELOCIDAD)</t>
  </si>
  <si>
    <t>ESPARCIDOR DE GRAVILLA (INCLUYE VOLQUETA)</t>
  </si>
  <si>
    <t>ESTACIÓN</t>
  </si>
  <si>
    <t>FORMALETA METÁLICA (CONCRETO HIDRÁULICO)</t>
  </si>
  <si>
    <t>FRESADORA DE PAVIMENTO</t>
  </si>
  <si>
    <t>FRESADORA Y RECICLADORA DE PAVIMENTO</t>
  </si>
  <si>
    <t>GATO PARA TENSIONAMIENTO</t>
  </si>
  <si>
    <t>GRÚA (CAP. 15 TON)</t>
  </si>
  <si>
    <t>GRÚA CON TORRE</t>
  </si>
  <si>
    <t>GRÚA TELESCÓPICA</t>
  </si>
  <si>
    <t>GRÚA 10 TON</t>
  </si>
  <si>
    <t>GUADAÑADORA</t>
  </si>
  <si>
    <t>MAQUINA TÉRMICA PEGATACHAS</t>
  </si>
  <si>
    <t>MEZCLADORA DE CONCRETO (1 BULTO)</t>
  </si>
  <si>
    <t>MOTOBOMBA 3 PULGADAS</t>
  </si>
  <si>
    <t>MOTOBOMBA 4 PULGADAS</t>
  </si>
  <si>
    <t>MOTOBOMBA PERMANENTE 6" DIAM DE BOMBEO DE 2M³/SEG.</t>
  </si>
  <si>
    <t>MOTOBOMBA DE CONCRETO</t>
  </si>
  <si>
    <t>MOTONIVELADORA</t>
  </si>
  <si>
    <t>MOTOSIERRA</t>
  </si>
  <si>
    <t>PALA AUXILIAR DE PILOTEADORA</t>
  </si>
  <si>
    <t>PALA GRÚA CON MARTILLO</t>
  </si>
  <si>
    <t>PILOTEADORA</t>
  </si>
  <si>
    <t>PLANTA ASFALTO EN CALIENTE</t>
  </si>
  <si>
    <t>PLANTA ASFALTO EN FRIO</t>
  </si>
  <si>
    <t>PLANTA ELÉCTRICA</t>
  </si>
  <si>
    <t>PLANTA TRITURADORA</t>
  </si>
  <si>
    <t>PLUMA</t>
  </si>
  <si>
    <t>PULIDORA (8500 REV)</t>
  </si>
  <si>
    <t>PULVIMIXER</t>
  </si>
  <si>
    <t>RECICLADORA</t>
  </si>
  <si>
    <t>RETROCARGADOR SENCILLO 4X2</t>
  </si>
  <si>
    <t>RETROEXCAVADORA CAP. 1.5 YD³ SOBRE ORUGA</t>
  </si>
  <si>
    <t>RETROEXCAVADORA A25C</t>
  </si>
  <si>
    <t>RETROEXCAVADORA CAP. 0.8 - 1.0 YD³ SOBRE ORUGA</t>
  </si>
  <si>
    <t>RETROEXCAVADORA CAP. 0.8 - 1.0 YD³ CON MARTILLO NEUMÁTICO</t>
  </si>
  <si>
    <t>RETROCARGADOR DOBLE TRANSMISIÓN</t>
  </si>
  <si>
    <t>RETROEXCAVADORA CAP. 0.5 YD³ SOBRE LLANTAS</t>
  </si>
  <si>
    <t>RUTEADORA</t>
  </si>
  <si>
    <t>TACO METÁLICO (PUNTAL) (ESCAMAS EN CONCRETO</t>
  </si>
  <si>
    <t>$/H</t>
  </si>
  <si>
    <t>TARIFA DE TRANSPORTE EN PAVIMENTO</t>
  </si>
  <si>
    <t>M³-KM</t>
  </si>
  <si>
    <t>TARIFA DE TRANSPORTE EN AFIRMADO</t>
  </si>
  <si>
    <t>TARIFA DE TRANSPORTE CAMABAJA</t>
  </si>
  <si>
    <t>TARIFA DE TRANSPORTE ESTRUCTURA METÁLICA EN OBRA</t>
  </si>
  <si>
    <t>KG</t>
  </si>
  <si>
    <t>TARIFA DE TRANSPORTE PARA BACHEO (MEZCLAS Y DERRUMBES)</t>
  </si>
  <si>
    <t xml:space="preserve">TARIFA DE TRANSPORTE DE ESTRUCTURAS METÁLICAS </t>
  </si>
  <si>
    <t>KG-KM</t>
  </si>
  <si>
    <t>TERMINADORA DE ASFALTO (FINISHER)</t>
  </si>
  <si>
    <t>VEHÍCULO DELINEADOR</t>
  </si>
  <si>
    <t>VIBRADOR DE CONCRETO</t>
  </si>
  <si>
    <t>VIBROCOMPACTADOR  10 TON</t>
  </si>
  <si>
    <t>VOLQUETA 7 M3</t>
  </si>
  <si>
    <t>MATERIALES</t>
  </si>
  <si>
    <t>ACERO A-36 PARA ESTRUCTURA METÁLICA</t>
  </si>
  <si>
    <t>ACERO A-37</t>
  </si>
  <si>
    <t>ACERO A-40</t>
  </si>
  <si>
    <t>ACERO PDR-60</t>
  </si>
  <si>
    <t>ADOQUÍN E= 10 cm</t>
  </si>
  <si>
    <t>M²</t>
  </si>
  <si>
    <t>ADOQUÍN GRAMA 10x20x6</t>
  </si>
  <si>
    <t>ADOQUÍN COLOR 10x20x6</t>
  </si>
  <si>
    <t>AGREGADO PARA CONCRETO HIDRÁULICO 1" EN PLANTA</t>
  </si>
  <si>
    <t>M³</t>
  </si>
  <si>
    <t>AGREGADO PARA TRATAMIENTO SUPERF. DOBLE</t>
  </si>
  <si>
    <t>AGREGADO PARA TRATAMIENTO SUPERF. SIMPLE</t>
  </si>
  <si>
    <t>AGREGADO PÉTREO PARA MEZCLAS ASFÁLTICAS 3/4 EN PLANTA</t>
  </si>
  <si>
    <t>AGREGADO PÉTREO PARA TRITURAR (CRUDO)</t>
  </si>
  <si>
    <t>AGREGADOS SELECCIONADOS (TAMAÑO MÁXIMO 1") (BANDAS SONORAS REDUCE VELOCIDAD)</t>
  </si>
  <si>
    <t>AGREGADO TIPO LA1 (LECHADAS)</t>
  </si>
  <si>
    <t>AGREGADO TIPO LA2 (LECHADAS)</t>
  </si>
  <si>
    <t>AGREGADO TIPO LA3 (LECHADAS)</t>
  </si>
  <si>
    <t>AGREGADO TIPO LA4 (LECHADAS)</t>
  </si>
  <si>
    <t>AGUA</t>
  </si>
  <si>
    <t>LT</t>
  </si>
  <si>
    <t>ALAMBRE DE PUA CALIBRE 12 (340 m)</t>
  </si>
  <si>
    <t>ALAMBRE GALVANIZADO No. 12</t>
  </si>
  <si>
    <t>ALAMBRE NEGRO PARA AMARRE</t>
  </si>
  <si>
    <t>ALMOHADILLAS DE NEOPRENO DUREZA 60 (35cm*45cm*5cm CON 2 LÁMINAS DE 3mm)</t>
  </si>
  <si>
    <t>AMORTIGUADORES (PARA DEFENSAS METÁLICAS)</t>
  </si>
  <si>
    <t>ADITIVO (RETARDANTE PLASTIFICANTE REDUCTOR DE FRAGUADO) (SIKAMENT R100)</t>
  </si>
  <si>
    <t>ANTISOL</t>
  </si>
  <si>
    <t>ARBOL DE 1.2 m</t>
  </si>
  <si>
    <t>ARBOL DE 0,6 m</t>
  </si>
  <si>
    <t>ARENA DE SELLO (FINA) (PARA ADOQUINES)</t>
  </si>
  <si>
    <t>ARENA DE SOPORTE (MEDIA) (PARA ADOQUINES)</t>
  </si>
  <si>
    <t>ARENA LAVADA</t>
  </si>
  <si>
    <t>ASFALTO LIQUIDO RC-250/MC-70</t>
  </si>
  <si>
    <t>BARRAS DE TRANSFERENCIA DE CARGA 1"</t>
  </si>
  <si>
    <t>BARRAS DE UNIÓN 1/2" Y CANASTILLA</t>
  </si>
  <si>
    <t>BIOMANTO</t>
  </si>
  <si>
    <t>BOLSACRETO DE 1 m3</t>
  </si>
  <si>
    <t>CAL</t>
  </si>
  <si>
    <t>CAMISAS Y FORMALETA PARA ANILLOS CAISSON</t>
  </si>
  <si>
    <t>CAPTAFARO METÁLICO</t>
  </si>
  <si>
    <t>CEMENTO ASFALTICO 60-70</t>
  </si>
  <si>
    <t>CEMENTO ASFALTICO 80-100</t>
  </si>
  <si>
    <t>CEMENTO ASFALTICO MODIFICADO CON POLÍMEROS TIPO I</t>
  </si>
  <si>
    <t>CEMENTO ASFALTICO MODIFICADO CON POLÍMEROS TIPO II</t>
  </si>
  <si>
    <t>CEMENTO ASFALTICO MODIFICADO CON POLÍMEROS TIPO III</t>
  </si>
  <si>
    <t>CEMENTO ASFALTICO MODIFICADO CON POLÍMEROS TIPO IV</t>
  </si>
  <si>
    <t>CEMENTO GRIS</t>
  </si>
  <si>
    <t>CESPEDONES</t>
  </si>
  <si>
    <t>CICATRIZANTE (PARA REMOCIÓN DE ESPECIES VEGETALES) (ÍTEM 201.9)</t>
  </si>
  <si>
    <t>CINTILLA DE POLIURETANO (SIKAROD) (PAVIMENTOS DE CONCRETO HIDRÁULICO) (ÍTEM 500)</t>
  </si>
  <si>
    <t>CINTA SIKA PVC 0,22 (SELLO PARA JUNTA DE PUENTES) (ÍTEM 642.2)</t>
  </si>
  <si>
    <t>CONCRETO CLASE A</t>
  </si>
  <si>
    <t>CONCRETO CLASE B</t>
  </si>
  <si>
    <t>CONCRETO CLASE  C</t>
  </si>
  <si>
    <t>CONCRETO HIDRÁULICO PARA PAVIMENTO MR-43</t>
  </si>
  <si>
    <t>CORDÓN DETONANTE</t>
  </si>
  <si>
    <t>COSTAL DE FIBRA O FIQUE</t>
  </si>
  <si>
    <t>CUÑAS PARA EL TENSIONAMIENTO (ACERO DE PREESFUERZO) (ÍTEM 641)</t>
  </si>
  <si>
    <t>GALÓN</t>
  </si>
  <si>
    <t>DUCTOS PARA TENSIONIMIENTO (ACERO DE PREESFUERZO) (ÍTEM 641)</t>
  </si>
  <si>
    <t>EMULSIÓN CRM-m</t>
  </si>
  <si>
    <t>EMULSIÓN MODIFICADA CON POLÍMEROS CRMM</t>
  </si>
  <si>
    <t>EMULSIÓN CRL-0</t>
  </si>
  <si>
    <t>EMULSIÓN CRL-1</t>
  </si>
  <si>
    <t>EMULSIÓN CRL-1h</t>
  </si>
  <si>
    <t>EMULSIÓN CRL-1hm</t>
  </si>
  <si>
    <t>EMULSIÓN CRR-1</t>
  </si>
  <si>
    <t>EMULSIÓN CRR-2</t>
  </si>
  <si>
    <t>EMULSIÓN CRR-1m</t>
  </si>
  <si>
    <t>EMULSIÓN CRR-2m</t>
  </si>
  <si>
    <t>ESFERAS REFLECTIVAS</t>
  </si>
  <si>
    <t>ESTACAS, PINTURA, TACHUELA, HILO</t>
  </si>
  <si>
    <t>GLOBAL</t>
  </si>
  <si>
    <t>EXPLOSIVOS  75% (INDUGEL)</t>
  </si>
  <si>
    <t>LB</t>
  </si>
  <si>
    <t>FORMALETA (GAVIONES, BORDILLOS, CUNETAS)</t>
  </si>
  <si>
    <t>FORMALETA CONCRETO CLASE A,B Y C</t>
  </si>
  <si>
    <t>FORMALETA PARA BARANDA DE CONCRETO</t>
  </si>
  <si>
    <t>FORMALETA PARA MUROS DE CONTENCIÓN (CONCRETOS D, E Y G)</t>
  </si>
  <si>
    <t>FULMINANTES</t>
  </si>
  <si>
    <t>FUNDENTE</t>
  </si>
  <si>
    <t>GAS PROPANO</t>
  </si>
  <si>
    <t xml:space="preserve">GEOTEXTIL NT 1600 O SIMILAR </t>
  </si>
  <si>
    <t>GEOTEXTIL NT REPAV 450</t>
  </si>
  <si>
    <t>GEOTEXTIL T 2100 O SIMILAR</t>
  </si>
  <si>
    <t xml:space="preserve">GEOTEXTIL NT 1800 O SIMILAR </t>
  </si>
  <si>
    <t>GRAPAS</t>
  </si>
  <si>
    <t>IMPRIMANTE CONCRETO</t>
  </si>
  <si>
    <t>LECHADA PARA DUCTOS (ACERO DE PREESFUERZO)</t>
  </si>
  <si>
    <t>LISTÓN EN GUADUA PARA EMPRADIZAR</t>
  </si>
  <si>
    <t>MALLA PARA GAVIONES (2 m3) CALIBRE 12</t>
  </si>
  <si>
    <t>MATERIAL DE AFIRMADO</t>
  </si>
  <si>
    <t>MATERIAL DE AFIRMADO DE LA ZONA</t>
  </si>
  <si>
    <t>MATERIAL DE BASE</t>
  </si>
  <si>
    <t>MATERIAL DE BASE (GRADACIÓN 1)</t>
  </si>
  <si>
    <t>MATERIAL DE BASE (GRADACIÓN 2)</t>
  </si>
  <si>
    <t>MATERIAL DE BASE (GRADACIÓN 3)</t>
  </si>
  <si>
    <t>MATERIAL DE SUB- BASE PARA BACHEO</t>
  </si>
  <si>
    <t>MATERIAL DE SUB- BASE CBR=20%</t>
  </si>
  <si>
    <t>MATERIAL DE SUB- BASE CBR=30%</t>
  </si>
  <si>
    <t>MATERIAL DE SUB- BASE CBR=40%</t>
  </si>
  <si>
    <t>MATERIAL SELECCIONADO PARA RELLENO</t>
  </si>
  <si>
    <t>MATERIAL DRENANTE (TAMAÑO MÁXIMO 3") (ÍTEM 673.2)</t>
  </si>
  <si>
    <t>MATERIAL FILTRANTE (TAMAÑO MÁXIMO 6") (ÍTEM 610.2)</t>
  </si>
  <si>
    <t>MECHA LENTA</t>
  </si>
  <si>
    <t>MEZCLA ABIERTA EN CALIENTE MAC-1</t>
  </si>
  <si>
    <t>MEZCLA ABIERTA EN CALIENTE MAC-2</t>
  </si>
  <si>
    <t>MEZCLA ABIERTA EN CALIENTE MAC-3</t>
  </si>
  <si>
    <t>MEZCLA DENSA EN CALIENTE MDC-0</t>
  </si>
  <si>
    <t>MEZCLA DENSA EN CALIENTE MDC-1</t>
  </si>
  <si>
    <t>MEZCLA DENSA EN CALIENTE MDC-2</t>
  </si>
  <si>
    <t>MEZCLA DENSA EN CALIENTE MDC-3</t>
  </si>
  <si>
    <t xml:space="preserve">NUTRIENTES (PARA REMOCIÓN DE ESPECIES VEGETALES) (DAP, TRIPLE 15, UREA O SIMILAR) (ÍTEM 201.9) </t>
  </si>
  <si>
    <t>OBRA FALSA CONCRETO CLASE A Y B (PUNTAL DE 3 m METÁLICO)</t>
  </si>
  <si>
    <t>OXIGENO INDUSTRIAL</t>
  </si>
  <si>
    <t>PARAL EN MADERA ROLLIZA DE 3" (TABLESTACADOS)</t>
  </si>
  <si>
    <t>PARAL EN MADERA ROLLIZA DE 6" Y 5 m DE LONGITUD (TABLESTACADOS)</t>
  </si>
  <si>
    <t>PARAL EN MADERA ROLLIZA DE 5" Y 4,5 m DE LONGITUD (TABLESTACADOS)</t>
  </si>
  <si>
    <t>PARAL EN MADERA ROLLIZA DE 6" Y 8 m DE LONGITUD (TABLESTACADOS)</t>
  </si>
  <si>
    <t>PEGANTE EPÓXICO</t>
  </si>
  <si>
    <t>PIEDRA PARA CONCRETO CICLÓPEO (RAJÓN O CANTO RODADO)</t>
  </si>
  <si>
    <t>PIEDRA PARA GAVIÓN</t>
  </si>
  <si>
    <t>PINTURA ACRÍLICA PURA PARA TRÁFICO</t>
  </si>
  <si>
    <t>PINTURA ANTICORROSIVA</t>
  </si>
  <si>
    <t>PINTURA ACRÍLICA, ESMALTE O SIMILAR (PINTURA DE ESTRUCTURAS METÁLICAS) (ÍTEM 650.4)</t>
  </si>
  <si>
    <t>PINTURA IMPRIMANTE</t>
  </si>
  <si>
    <t>POSTE KILOMETRAJE</t>
  </si>
  <si>
    <t>POSTE EN ANGULO DE 2*2*1/4 DE 3,5m PARA SEÑAL</t>
  </si>
  <si>
    <t>POSTES DE CONCRETO PARA CERCAS</t>
  </si>
  <si>
    <t>POSTES PARA DEFENSA METÁLICA (1,80m)</t>
  </si>
  <si>
    <t>RESINA TERMOPLÁSTICA</t>
  </si>
  <si>
    <t>SALIDA EN PVC D=2" (ACCESORIO PARA DRENES HORIZONTALES DE 2")</t>
  </si>
  <si>
    <t>SECCIÓN FINAL DE DEFENSA METÁLICA</t>
  </si>
  <si>
    <t>SELLO DE JUNTAS</t>
  </si>
  <si>
    <t>SELLO DE SILICONA O SELLADOR AUTONIVELANTE</t>
  </si>
  <si>
    <t>SEMILLAS PARA EMPRADIZAR</t>
  </si>
  <si>
    <t>SEÑAL 1,2*0,4 (GRUPO 2)</t>
  </si>
  <si>
    <t>TABLERO EN LAMINA GALVANIZADA DE 75*75 CALIBRE 16 REFLECTIVO TIPO 1</t>
  </si>
  <si>
    <t>SEÑAL GRUPO V  (0,9*1,13m)</t>
  </si>
  <si>
    <t>TABLERO EN LAMINA GALVANIZADA DE 0,6 m* 0,75 m CALIBRE 16, REFLECTIVO TIPO I. SEÑAL GRUPO IV (DELINEADOR DE CURVA HORIZONTAL)</t>
  </si>
  <si>
    <t>SEÑAL SP-54 (GRUPO 3 FERROCARRIL)</t>
  </si>
  <si>
    <t>SEÑAL PREVENTIVA</t>
  </si>
  <si>
    <t>SOLDADURA 6013 DE 1/8</t>
  </si>
  <si>
    <t>SOLDADURA 7018</t>
  </si>
  <si>
    <t>SOLDADURA L-70</t>
  </si>
  <si>
    <t>SUPERPLASTIFICANTE SIKAMENT NS</t>
  </si>
  <si>
    <t>TABLESTACA EN MADERA ASERRADA (0,25*0,03*3)</t>
  </si>
  <si>
    <t>TABLESTACA EN MADERA ASERRADA (0,3*0,03*3)</t>
  </si>
  <si>
    <t>TABLESTACA METÁLICA (RIEL DE 70 LB/YARDA)</t>
  </si>
  <si>
    <t xml:space="preserve">TIERRA ABONADA </t>
  </si>
  <si>
    <t>TORNILLOS PARA DEFENSA METÁLICA</t>
  </si>
  <si>
    <t>TORÓN DE TENSIONMIENTO 1/2" O 5/8" (ACERO DE PREESFUERZO) (ÍTEM 641)</t>
  </si>
  <si>
    <t>TRAMO RECTO PARA DEFENSAS METÁLICAS</t>
  </si>
  <si>
    <t>TROMPETAS DE 12 TORONES (ACERO DE PREESFUERZO) (ÍTEM 641)</t>
  </si>
  <si>
    <t>TUBERÍA D=4" TIPO PESADO, E=2mm (BARANDA METÁLICA)</t>
  </si>
  <si>
    <t>TUBERÍA EN H DE D=1/4", H=1.40m, A=0.20m (BARANDA METÁLICA)</t>
  </si>
  <si>
    <t>TUBERÍA PERFORADA EN PVC DE 2" (DRENES HORIZONTALES DE 2")</t>
  </si>
  <si>
    <t>TUBERÍA PVC DE 1" (PARA ESCAMAS EN CONCRETO)</t>
  </si>
  <si>
    <t>TUBERÍA DE 10" PARA VACIADO TREMI DE 4 m</t>
  </si>
  <si>
    <t>TUBO CONCRETO REFORZADO 900mm TIPO 1</t>
  </si>
  <si>
    <t>TUBO CONCRETO REFORZADO 900mm TIPO 2</t>
  </si>
  <si>
    <t>TUBO CONCRETO SIMPLE 450mm</t>
  </si>
  <si>
    <t>TUBO CONCRETO SIMPLE 600 mm 24" L.U. 1,12</t>
  </si>
  <si>
    <t>TUBO CONCRETO SIMPLE 750 mm</t>
  </si>
  <si>
    <t>UNIÓN EN PVC D=2" (ACCESORIO PARA DRENES HORIZONTALES DE 2")</t>
  </si>
  <si>
    <t>SIKA TOP ARMATEC 108</t>
  </si>
  <si>
    <t>SIKA TOP 122</t>
  </si>
  <si>
    <t>SIKA COLOR C</t>
  </si>
  <si>
    <t>SIKADUR 32 PRIMER</t>
  </si>
  <si>
    <t>SIKASET L - ACELERANTE</t>
  </si>
  <si>
    <t>ADMINISTRACIÓN</t>
  </si>
  <si>
    <t>%</t>
  </si>
  <si>
    <t>IMPREVISTOS</t>
  </si>
  <si>
    <t>UTILIDAD</t>
  </si>
  <si>
    <t>PRESTACIONES</t>
  </si>
  <si>
    <t>DISTANCIA ACARREO 1</t>
  </si>
  <si>
    <t>KM</t>
  </si>
  <si>
    <t>DISTANCIA SUMINISTRO (MATERIAL DE LA ZONA)</t>
  </si>
  <si>
    <t>DISTANCIA SUMINISTRO AFIRMADO</t>
  </si>
  <si>
    <t>DISTANCIA SUMINISTRO BASES SUB BASES AFIRMADOS</t>
  </si>
  <si>
    <t>DISTANCIA DE SUMINISTRO CONCRETOS</t>
  </si>
  <si>
    <t>DISTANCIA DE SUMINISTRO MEZCLAS ASFÁLTICAS</t>
  </si>
  <si>
    <t>DISTANCIA DE SUMINISTRO ARENA</t>
  </si>
  <si>
    <t>CADENERO</t>
  </si>
  <si>
    <t>DÍA</t>
  </si>
  <si>
    <t>INSPECTOR DE FABRICACIÓN Y MONTAJE</t>
  </si>
  <si>
    <t>OBREROS</t>
  </si>
  <si>
    <t>OFICIAL</t>
  </si>
  <si>
    <t>OFICIAL EXPERTO EN DESMONTAJE</t>
  </si>
  <si>
    <t>PALETEROS</t>
  </si>
  <si>
    <t>RASTRILLEROS</t>
  </si>
  <si>
    <t>SOLDADOR</t>
  </si>
  <si>
    <t>TOPÓGRAFO</t>
  </si>
  <si>
    <t>ANÁLISIS DE PRECIOS UNITARIOS</t>
  </si>
  <si>
    <t xml:space="preserve">CARRETERA : </t>
  </si>
  <si>
    <t>ESPECIFICACIÓN:</t>
  </si>
  <si>
    <t>ÍTEM:</t>
  </si>
  <si>
    <t>UNIDAD:</t>
  </si>
  <si>
    <t>I. EQUIPO</t>
  </si>
  <si>
    <t>Descripción</t>
  </si>
  <si>
    <t>Tipo</t>
  </si>
  <si>
    <t>Tarifa/Hora</t>
  </si>
  <si>
    <t>Rendimiento</t>
  </si>
  <si>
    <t>Valor-Unit.</t>
  </si>
  <si>
    <t>HERRAMIENTA MENOR (10%MO)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</si>
  <si>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</si>
  <si>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</si>
  <si>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</si>
  <si>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</si>
  <si>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</si>
  <si>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</si>
  <si>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</si>
  <si>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Vol. Peso ó Cant.</t>
  </si>
  <si>
    <t>Distancia</t>
  </si>
  <si>
    <t>M3-Km</t>
  </si>
  <si>
    <t>Tarifa</t>
  </si>
  <si>
    <t>MATERIAL DESMONTADO</t>
  </si>
  <si>
    <t>IV. MANO DE OBRA</t>
  </si>
  <si>
    <t>Trabajador</t>
  </si>
  <si>
    <t>Jornal</t>
  </si>
  <si>
    <t>Prestaciones</t>
  </si>
  <si>
    <t>Jornal Total</t>
  </si>
  <si>
    <t>Total Costo Directo</t>
  </si>
  <si>
    <t>V. COSTOS INDIRECTOS</t>
  </si>
  <si>
    <t>Porcentaje</t>
  </si>
  <si>
    <t>Valor Total</t>
  </si>
  <si>
    <t xml:space="preserve">IMPREVISTOS </t>
  </si>
  <si>
    <t>Precio unitario total aproximado al peso</t>
  </si>
  <si>
    <t>TOTAL EQUIPO</t>
  </si>
  <si>
    <t>TOTAL MATERIALES</t>
  </si>
  <si>
    <t>TRANSPORTE</t>
  </si>
  <si>
    <t>TOTAL TRANSPORTE</t>
  </si>
  <si>
    <t>MANO DE OBRA</t>
  </si>
  <si>
    <t>TOTAL MANO DE OBRA</t>
  </si>
  <si>
    <t>COSTO INDIRECTO</t>
  </si>
  <si>
    <t>TOTAL COSTO INDIRECTO</t>
  </si>
  <si>
    <t xml:space="preserve">VALOR UNITARIO </t>
  </si>
  <si>
    <t>TOTAL</t>
  </si>
  <si>
    <t xml:space="preserve">Buldozer Potencia al volante de 305 HP, motor de 2100 RPM, longitud de hoja 6,39m. </t>
  </si>
  <si>
    <t>VIBROCOMPACTADOR DYNAPACc (10 ton)</t>
  </si>
  <si>
    <t>REGLA VIBRATORIA L=4M</t>
  </si>
  <si>
    <t>TARIFA DE TRANSPORTE DE SUBBASE</t>
  </si>
  <si>
    <t>TARIFA DE TRANSPORTE DE AFIRMADO</t>
  </si>
  <si>
    <t>TARIFA DE TRANSPORTE DE CONCRETO</t>
  </si>
  <si>
    <t>TARIFA DE TRANSPORTE DE ARENA</t>
  </si>
  <si>
    <t>TARIFA DE TRANSPORTE DE AGREGADO PARA CONCRETO</t>
  </si>
  <si>
    <t>TARIFA DE TRANSPORTE DE MATERIAL PARA CICLÓPEO</t>
  </si>
  <si>
    <t xml:space="preserve"> COSTO DIRECTO</t>
  </si>
  <si>
    <t>TOTAL COSTO DIRECTO</t>
  </si>
  <si>
    <t>Vol.-peso ó Cant.</t>
  </si>
  <si>
    <t>MATERIAL DE DEMOLICIÓN</t>
  </si>
  <si>
    <t>HERRAMIENTA MENOR (2%)</t>
  </si>
  <si>
    <t>MATERIAL DE REMOSIÓN</t>
  </si>
  <si>
    <t>HERRAMIENTA MENOR (1%)</t>
  </si>
  <si>
    <t>ESCOLTA Y TRANSPORTE (una tarifa por cada m3 escoltado y transportado)</t>
  </si>
  <si>
    <t>220.1</t>
  </si>
  <si>
    <t>230.1</t>
  </si>
  <si>
    <t>310.1</t>
  </si>
  <si>
    <t>Afirmado</t>
  </si>
  <si>
    <t>320.1</t>
  </si>
  <si>
    <t>HERRAMIENTA MENOR</t>
  </si>
  <si>
    <t>500.1</t>
  </si>
  <si>
    <t>DISOLVENTE PARA PIINTURA TRÁFICO (ACRÍLICO)</t>
  </si>
  <si>
    <t xml:space="preserve">GEOTEXTIL T2500 O SIMILAR </t>
  </si>
  <si>
    <t>MATERIAL DE RECEBO PARA RELLENO</t>
  </si>
  <si>
    <t>MORTERO 1:3  PARA ANILLOS</t>
  </si>
  <si>
    <t>POLISOMBRA VERDE DE 2,1 MTS DE ANCHO</t>
  </si>
  <si>
    <t>POSTE DE MADERA PARA CERCAS</t>
  </si>
  <si>
    <t>TABLERO EN LAMINA GALVANIZADA DE 60*60 CALIBRE 16 REFLECTIVO TIPO 1</t>
  </si>
  <si>
    <t>OFICIAL EXPERTO EN EXPLOSIVOS</t>
  </si>
  <si>
    <t>HERRAMIENTA MENOR (5%MO)</t>
  </si>
  <si>
    <t>DESPERDICIO (2%)</t>
  </si>
  <si>
    <t>HERRAMIENTA MENOR (2%MO)</t>
  </si>
  <si>
    <r>
      <t xml:space="preserve">CONCRETO CLASE D </t>
    </r>
    <r>
      <rPr>
        <sz val="10"/>
        <color theme="2"/>
        <rFont val="Times New Roman"/>
        <family val="1"/>
      </rPr>
      <t>(TREMIE)</t>
    </r>
  </si>
  <si>
    <t xml:space="preserve">HERRAMIENTA MENOR </t>
  </si>
  <si>
    <t>HERRAMIENTA MENOR (30%MO)</t>
  </si>
  <si>
    <t>d pasto belen</t>
  </si>
  <si>
    <t>tramo</t>
  </si>
  <si>
    <t>d final</t>
  </si>
  <si>
    <t>V (m3)</t>
  </si>
  <si>
    <t>FORMULACIÓN E IMPLEMENTACIÓN DE MANEJO AMBIENTAL</t>
  </si>
  <si>
    <t>IVA (16%) = (D x 0,16)</t>
  </si>
  <si>
    <t>SUBTOTAL FORMULACIÓN E IMPLEMENTACIÓN DE MANEJO AMBIENTAL (B+C)</t>
  </si>
  <si>
    <t>E</t>
  </si>
  <si>
    <t>FORMULACIÓN E IMPLEMENTACIÓN PLAN DE MANEJO DE TRÁNSITO</t>
  </si>
  <si>
    <t>F</t>
  </si>
  <si>
    <t>G</t>
  </si>
  <si>
    <t>SUBTOTAL FORMULACIÓN E IMPLEMENTACIÓN PLAN DE MANEJO DE TRÁNSITO (E+F)</t>
  </si>
  <si>
    <t>H</t>
  </si>
  <si>
    <t>GESTIÓN PREDIAL</t>
  </si>
  <si>
    <t>I</t>
  </si>
  <si>
    <t>J</t>
  </si>
  <si>
    <t>SUBTOTAL GESTIÓN PREDIAL</t>
  </si>
  <si>
    <t>K</t>
  </si>
  <si>
    <t>VALOR TOTAL</t>
  </si>
  <si>
    <t>PRESUPUESTO PLAN DE MANEJO DE TRANSITO</t>
  </si>
  <si>
    <t>No.</t>
  </si>
  <si>
    <t>ACTIVIDAD</t>
  </si>
  <si>
    <t>CANTIDAD (1)</t>
  </si>
  <si>
    <t>PRECIO                   (2)</t>
  </si>
  <si>
    <t>CANTIDAD O TIEMPO DE UTILIZACIÓN  (3)</t>
  </si>
  <si>
    <t>VALOR PARCIAL       (1) * (2)*(3) = (4)</t>
  </si>
  <si>
    <t>A.2.</t>
  </si>
  <si>
    <t xml:space="preserve"> SEÑALIZACIÓN Y MANEJO DE TRÁFICO (PMT)</t>
  </si>
  <si>
    <t>A.2.1</t>
  </si>
  <si>
    <t>Aislamiento en polisombra</t>
  </si>
  <si>
    <t>Ml</t>
  </si>
  <si>
    <t>A.2.2</t>
  </si>
  <si>
    <t>Señales preventivas (SP) manual de señalización de transito cap. 4 y 5 móvil</t>
  </si>
  <si>
    <t>A.2.3</t>
  </si>
  <si>
    <t>Señales reglamentarias (SR) manual de señalización de transito cap. 4 y 5 móvil</t>
  </si>
  <si>
    <t>A.2.4</t>
  </si>
  <si>
    <t>Señales Informativas (SI) manual de señalización de transito cap. 4 y 5 móvil</t>
  </si>
  <si>
    <t>A.2.5</t>
  </si>
  <si>
    <t>Barricadas metálica, manual de señalización de transito cap. 4</t>
  </si>
  <si>
    <t>A.2.6</t>
  </si>
  <si>
    <t xml:space="preserve">Valla informativa </t>
  </si>
  <si>
    <t>A.2.7</t>
  </si>
  <si>
    <t>Cono anaranjado en material plástico</t>
  </si>
  <si>
    <t>A.2.8</t>
  </si>
  <si>
    <t>Barreras plásticas flexibles (Maletines) Altura 60cm x Largo 70cm x Ancho 40cm</t>
  </si>
  <si>
    <t>A.2.9</t>
  </si>
  <si>
    <t>Paletas pare - siga.</t>
  </si>
  <si>
    <t>A.2.10</t>
  </si>
  <si>
    <t xml:space="preserve">Señalizador (colombina), h= 1,3m </t>
  </si>
  <si>
    <t>A.2.11</t>
  </si>
  <si>
    <t>Cinta reflectiva de alta intensidad,</t>
  </si>
  <si>
    <t>CARGO / OFICIO</t>
  </si>
  <si>
    <t>NUMERO DE MESES                  (1)</t>
  </si>
  <si>
    <t>PRECIO       (2)</t>
  </si>
  <si>
    <t>CANTIDAD         (3)</t>
  </si>
  <si>
    <t>VALOR PARCIAL    (1) * (2)*(3) = (4)</t>
  </si>
  <si>
    <t>A.2.12</t>
  </si>
  <si>
    <t xml:space="preserve">Paleteros - Pare y Siga </t>
  </si>
  <si>
    <t>mes</t>
  </si>
  <si>
    <t>Costo Directo Señalización y Manejo de Trafico</t>
  </si>
  <si>
    <t>No.-. PARTICULARES - (Indirectos al Presupuesto)</t>
  </si>
  <si>
    <t>P1. PMT</t>
  </si>
  <si>
    <t>AISLAMIENTO EN POLISOMBRA</t>
  </si>
  <si>
    <t>Cerramiento ZODME</t>
  </si>
  <si>
    <t>Cerramiento CAMPAMENTOS</t>
  </si>
  <si>
    <t>PRESUPUESTO INTERVENTORIA</t>
  </si>
  <si>
    <t>PERSONAL PROFESIONAL</t>
  </si>
  <si>
    <t>CONCEPTO</t>
  </si>
  <si>
    <t>Personal Profesional</t>
  </si>
  <si>
    <t>SUELDO MES BÁSICO</t>
  </si>
  <si>
    <t>% DEDICACIÓN</t>
  </si>
  <si>
    <t>F.M. %</t>
  </si>
  <si>
    <t>VALOR MES</t>
  </si>
  <si>
    <t>No. DE MESES</t>
  </si>
  <si>
    <t>TOTAL PARCIAL</t>
  </si>
  <si>
    <t>(AxBxCxD)</t>
  </si>
  <si>
    <t>(ExF)</t>
  </si>
  <si>
    <t>ESPECIALISTA EN PAVIMENTOS</t>
  </si>
  <si>
    <t>SUBTOTAL COSTO PERSONAL PROFESIONAL (1)</t>
  </si>
  <si>
    <t>PERSONAL TECNICO - ADMINISTRATIVO</t>
  </si>
  <si>
    <t>Personal Técnico</t>
  </si>
  <si>
    <t>CONDUCTOR</t>
  </si>
  <si>
    <t>SUBTOTAL COSTO PERSONAL TÉCNICO (2)</t>
  </si>
  <si>
    <t>OTROS COSTOS DIRECTOS</t>
  </si>
  <si>
    <t>VR. UNITARIO</t>
  </si>
  <si>
    <t>TRANSPORTES AEREOS Y/O TERRESTRES</t>
  </si>
  <si>
    <t>COMUNICACIONES</t>
  </si>
  <si>
    <t>OFICINA Y PUNTO DE ATENCION AL USUSARIO</t>
  </si>
  <si>
    <t>VEHICULO &gt; 2.000 CC</t>
  </si>
  <si>
    <t xml:space="preserve">EQUIPO DE TOPOGRAFÍA </t>
  </si>
  <si>
    <t>SOFTWARE</t>
  </si>
  <si>
    <t>EDICIÓN DE INFORMES (INCLUYE REPRODUCCIÓN DOCUMENTOS Y  FOTOGRAFÍAS)</t>
  </si>
  <si>
    <t>SUBTOTAL OTROS COSTOS DIRECTOS (3)</t>
  </si>
  <si>
    <t>RESUMEN GENERAL</t>
  </si>
  <si>
    <t>COSTO TOTAL (1+2+3)</t>
  </si>
  <si>
    <t>VALOR TOTAL OFERTA</t>
  </si>
  <si>
    <t>INGENIERO DIRECTOR DE OBRA</t>
  </si>
  <si>
    <t>MES</t>
  </si>
  <si>
    <t xml:space="preserve"> INGENIERO ESPECIALISTA EN VIAS</t>
  </si>
  <si>
    <t xml:space="preserve"> INGENIERO RESIDENTE DE OBRA</t>
  </si>
  <si>
    <t xml:space="preserve">INGENIERO RESIDENTE AMBIENTAL </t>
  </si>
  <si>
    <t>INGENIERO AUXILIAR DE OBRA</t>
  </si>
  <si>
    <t>INGENIERO ESPECIALISTA EN GEOTÉCNIA</t>
  </si>
  <si>
    <t>INGENIERO ESPECIALISTA EN ESTRUCTURAS</t>
  </si>
  <si>
    <t>INGENIERO ESPECIALISTA EN PAVIMENTOS</t>
  </si>
  <si>
    <t>INGENIERO ESPECIALISTA SISO</t>
  </si>
  <si>
    <t xml:space="preserve"> TRABAJADOR SOCIAL </t>
  </si>
  <si>
    <t xml:space="preserve"> TOPOGRAFO </t>
  </si>
  <si>
    <t xml:space="preserve"> CONTADOR </t>
  </si>
  <si>
    <t xml:space="preserve"> INSPECTOR DE OBRA CIVIL</t>
  </si>
  <si>
    <t xml:space="preserve"> SECRETARIA </t>
  </si>
  <si>
    <t xml:space="preserve"> ALMACENISTA </t>
  </si>
  <si>
    <t>ABOGADO</t>
  </si>
  <si>
    <t>A. SUELDOS O SALARIOS</t>
  </si>
  <si>
    <t>B. PRESTACIONES SOCIALES</t>
  </si>
  <si>
    <t>SUB TOTAL B</t>
  </si>
  <si>
    <t>Vacaciones</t>
  </si>
  <si>
    <t>C.1 GASTOS GENERALES ADMINISTRACIÓN</t>
  </si>
  <si>
    <t>Capacitación del personal</t>
  </si>
  <si>
    <t>Servicios públicos e internet</t>
  </si>
  <si>
    <t>Arriendo</t>
  </si>
  <si>
    <t>Gastos legales incluye impuestos y publicación en diario oficial</t>
  </si>
  <si>
    <t>Gastos bancarios y financieros</t>
  </si>
  <si>
    <t>Equipos de cómputo y software</t>
  </si>
  <si>
    <t>Mantenimiento y reparación de oficinas</t>
  </si>
  <si>
    <t>Vigilancia, aseo y cafetería</t>
  </si>
  <si>
    <t>Útiles, papelería y fotocopias</t>
  </si>
  <si>
    <t>Transporte y vehículos</t>
  </si>
  <si>
    <t xml:space="preserve">Revistas, publicaciones y asociaciones </t>
  </si>
  <si>
    <t>Seguros oficina central</t>
  </si>
  <si>
    <t>Relaciones y representaciones</t>
  </si>
  <si>
    <t>Primeros auxilios</t>
  </si>
  <si>
    <t>Elaboración y preparación de ofertas</t>
  </si>
  <si>
    <t>C.2 COSTO PERSONAL NO FACTURABLE</t>
  </si>
  <si>
    <t>Salarios del Personal Administrativo</t>
  </si>
  <si>
    <t>Prestaciones sociales del personal administrativo</t>
  </si>
  <si>
    <t>C.3 COSTOS PERFECCIONAMIENTO CONTRATO</t>
  </si>
  <si>
    <t>Pólizas y Fianzas</t>
  </si>
  <si>
    <t>SUB TOTAL C</t>
  </si>
  <si>
    <t>D. HONORARIOS
(expresadas como  porcentaje de 1)</t>
  </si>
  <si>
    <t>FACTOR MULTIPLICADOR A+ B+ C + D</t>
  </si>
  <si>
    <t>COSTO BÁSICO</t>
  </si>
  <si>
    <t>SUBTOTAL COSTOS MENSUALES DEMÁS PERSONAL</t>
  </si>
  <si>
    <t>INGENIERO RESIDENTE DE OBRA</t>
  </si>
  <si>
    <t>INGENIERO ESPECIALISTA EN VIAS</t>
  </si>
  <si>
    <t>INGENIERO ESPECIALISTA EN GEOTECNIA</t>
  </si>
  <si>
    <t>SUBTOTAL COSTOS MENSUALES DE PERSONAL (DIRECTOR, RESIDENTE, AUXILIAR)</t>
  </si>
  <si>
    <t>Valor Actualizado</t>
  </si>
  <si>
    <t>% Sobre Valor del Contrato</t>
  </si>
  <si>
    <t>OTRAS PARTIDAS DE PAGO</t>
  </si>
  <si>
    <t>PLANES DE MANEJO</t>
  </si>
  <si>
    <t>TOTAL CONSTRUCCIÓN:</t>
  </si>
  <si>
    <t>Aprox. Val./mes</t>
  </si>
  <si>
    <t>TOTAL INTERVENTORIA:</t>
  </si>
  <si>
    <t>INVERSIÓN MENSUAL</t>
  </si>
  <si>
    <t>MILES DE PESOS</t>
  </si>
  <si>
    <t>INVERSIÓN ACUMULADA</t>
  </si>
  <si>
    <t>und</t>
  </si>
  <si>
    <t>Puentes</t>
  </si>
  <si>
    <t>belen colon</t>
  </si>
  <si>
    <t>pasto belen</t>
  </si>
  <si>
    <t>cg belen</t>
  </si>
  <si>
    <t>colon san pablo</t>
  </si>
  <si>
    <t>cg s pablo</t>
  </si>
  <si>
    <t>mina en san pablo</t>
  </si>
  <si>
    <t>km</t>
  </si>
  <si>
    <t>LLEVAR A M.O.</t>
  </si>
  <si>
    <t>CRONOGRAMA DE OBRA</t>
  </si>
  <si>
    <t>PRESUPUESTO DETALLADO</t>
  </si>
  <si>
    <t>TERRAPLEN</t>
  </si>
  <si>
    <t>PERNOS DE 1 PLG, INCLUYE PERFORACIÓN, ARMADO E INSTALACIÓN, LLENADO Y SUMINISTRO DE MATERIAL</t>
  </si>
  <si>
    <t>P2</t>
  </si>
  <si>
    <t>ANDAMIAJE</t>
  </si>
  <si>
    <t>BARRA DE ACERO HELICOIDAL</t>
  </si>
  <si>
    <t>LECHADA PARA PERNOS DE ANCLAJE</t>
  </si>
  <si>
    <t>PLACA DE AMARRE Y TRANS. DE FZAS PERNOS DE ANCLAJE</t>
  </si>
  <si>
    <t>ROSCA PARA PERNOS DE ANCLAJE</t>
  </si>
  <si>
    <t>SEPARADORES PARA PERNOS DE ANCLAJE</t>
  </si>
  <si>
    <t>TUERCA CALOTA</t>
  </si>
  <si>
    <t>Muro Contención K1+580 L=10 mts. Eje 4</t>
  </si>
  <si>
    <t>Muro Contención K5+550, K5+590 L=40 mts. Talud superior Eje 4</t>
  </si>
  <si>
    <t>SUBTOTAL PAVIMENTO:</t>
  </si>
  <si>
    <t>nac</t>
  </si>
  <si>
    <t>mun</t>
  </si>
  <si>
    <t>dep</t>
  </si>
  <si>
    <t>IVA (19%) = (B x 0,19)</t>
  </si>
  <si>
    <t>IVA (19%) = (E x 0,19)</t>
  </si>
  <si>
    <t>IVA (19%) = (H x 0,19)</t>
  </si>
  <si>
    <t>IVA 19%</t>
  </si>
  <si>
    <t>PRESUPUESTO GENERAL</t>
  </si>
  <si>
    <t>AUI</t>
  </si>
  <si>
    <t>VALORES DISCRIMINADOS MGA</t>
  </si>
  <si>
    <t>M.O. CALIFICADA</t>
  </si>
  <si>
    <t>M.O.NO CALIFICADA</t>
  </si>
  <si>
    <t>VERIFICACION</t>
  </si>
  <si>
    <t>d1</t>
  </si>
  <si>
    <t>d total interv</t>
  </si>
  <si>
    <t>d2</t>
  </si>
  <si>
    <t>d no interv</t>
  </si>
  <si>
    <t>d total</t>
  </si>
  <si>
    <t>eje 1 + eje 2</t>
  </si>
  <si>
    <t>D al CG</t>
  </si>
  <si>
    <t>PROMEDIO COSTOS TRANSPORTE DENTRO DE LA OBRA</t>
  </si>
  <si>
    <t>PROMEDIO COSTOS TRANSPORTE DESDE CANTERA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</si>
  <si>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</si>
  <si>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</si>
  <si>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</si>
  <si>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</si>
  <si>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</si>
  <si>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</si>
  <si>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</si>
  <si>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</si>
  <si>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</si>
  <si>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</si>
  <si>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</si>
  <si>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</si>
  <si>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</si>
  <si>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</si>
  <si>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</si>
  <si>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</si>
  <si>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>PERIODOS</t>
  </si>
  <si>
    <t>MES 1</t>
  </si>
  <si>
    <t>MES 2</t>
  </si>
  <si>
    <t>MES 3</t>
  </si>
  <si>
    <t>MES 4</t>
  </si>
  <si>
    <t>M.G.A.</t>
  </si>
  <si>
    <t>VALOR OFERTA INTERVENTORÍA TÉCNICA, ADMINISTRATIVA, DE CONTROL PRESUPUESTAL, JURIDICA Y AMBIENTAL PARA EL:</t>
  </si>
  <si>
    <t>Muro Contención K3+500, K3+520 L=20 m eje 1</t>
  </si>
  <si>
    <t>ANÁLISIS DE PRECIOS UNITARIOS P M T</t>
  </si>
  <si>
    <t>BARRICADA METALICA</t>
  </si>
  <si>
    <t>omegas</t>
  </si>
  <si>
    <t>correas</t>
  </si>
  <si>
    <t>marco</t>
  </si>
  <si>
    <t>vinilo</t>
  </si>
  <si>
    <t>perfiles soporte</t>
  </si>
  <si>
    <t>CONO FLEXIBLE</t>
  </si>
  <si>
    <t>BARRERA PLASTICA FLEXIBLE</t>
  </si>
  <si>
    <t>SEÑALIZACION MANUAL PARAE/SIGA</t>
  </si>
  <si>
    <t>SEÑALIZADOR  COLOMBINA</t>
  </si>
  <si>
    <t>CINTA REFLECTIVA</t>
  </si>
  <si>
    <t>PROCESO CONTRACTUAL</t>
  </si>
  <si>
    <t>PROCESO DE LIQUIDACIÓN</t>
  </si>
  <si>
    <t>MES 5</t>
  </si>
  <si>
    <t>MES 6</t>
  </si>
  <si>
    <t>MES 7</t>
  </si>
  <si>
    <t>MES 8</t>
  </si>
  <si>
    <t>FLUJO DE FONDOS</t>
  </si>
  <si>
    <t>ING. MIGUEL ANTONIO VILLACRES MARTINEZ.</t>
  </si>
  <si>
    <t>M.P. 52202-090508 NRÑ</t>
  </si>
  <si>
    <t>m3</t>
  </si>
  <si>
    <t>Elemento</t>
  </si>
  <si>
    <t>muro aletas der</t>
  </si>
  <si>
    <t>muro aletas izq</t>
  </si>
  <si>
    <t>base der</t>
  </si>
  <si>
    <t>base izq</t>
  </si>
  <si>
    <t>L prom alc existentes</t>
  </si>
  <si>
    <t>ancho calzada</t>
  </si>
  <si>
    <t>ancho cuneta der</t>
  </si>
  <si>
    <t>ancho cuneta izq</t>
  </si>
  <si>
    <t>perfilado extra der</t>
  </si>
  <si>
    <t>perfilado extra izq</t>
  </si>
  <si>
    <t>L transversal m</t>
  </si>
  <si>
    <t>volumen promedio de estructuras existentes antiguas (aletas, cabezales, muros, etc)</t>
  </si>
  <si>
    <t>muro</t>
  </si>
  <si>
    <t>perfilado lado der</t>
  </si>
  <si>
    <t>perfilado lado izq</t>
  </si>
  <si>
    <t>V m3</t>
  </si>
  <si>
    <t>% estimado</t>
  </si>
  <si>
    <t>Mejoramiento subrasante canales der</t>
  </si>
  <si>
    <t>Mejoramiento subrasante canales izq</t>
  </si>
  <si>
    <t>L pie talud</t>
  </si>
  <si>
    <t>Ancho prom (m)</t>
  </si>
  <si>
    <t>CANT</t>
  </si>
  <si>
    <t>long (m)</t>
  </si>
  <si>
    <t>ancho zarpa  (m)</t>
  </si>
  <si>
    <t>H cuerpo (m)</t>
  </si>
  <si>
    <t>VOLUMEN (M3)</t>
  </si>
  <si>
    <t>TOTAL (M3)</t>
  </si>
  <si>
    <t>Filtros der:</t>
  </si>
  <si>
    <t>Filtros izq:</t>
  </si>
  <si>
    <t>ancho  (m)</t>
  </si>
  <si>
    <t>ancho  (m) tuberia incluye espesor de 10 cm</t>
  </si>
  <si>
    <t>adicional para trabajadores (m) 30 cm a cada lado</t>
  </si>
  <si>
    <t>encamado</t>
  </si>
  <si>
    <t xml:space="preserve">tubería incluye 10 cm espesor </t>
  </si>
  <si>
    <t xml:space="preserve">Afirmado </t>
  </si>
  <si>
    <t>Base granular</t>
  </si>
  <si>
    <t>Losa concreto</t>
  </si>
  <si>
    <t>H (m)</t>
  </si>
  <si>
    <t>UNIDADES</t>
  </si>
  <si>
    <t>LONGITUD (M)</t>
  </si>
  <si>
    <t>AREA (M2)</t>
  </si>
  <si>
    <t>L (M)</t>
  </si>
  <si>
    <t>A (M2)</t>
  </si>
  <si>
    <t>V (M3)</t>
  </si>
  <si>
    <t>VOLUMEN ALETAS (M3)</t>
  </si>
  <si>
    <t>VOLUMEN PARTE CENTRAL  (M3)</t>
  </si>
  <si>
    <t>VOLUMEN PLACA INFERIOR (M3)</t>
  </si>
  <si>
    <t>TOTAL CONCRETO POR ALCANTARILLA</t>
  </si>
  <si>
    <t>VOLUMEN DENTELLON INFERIOR (M3)</t>
  </si>
  <si>
    <t>L m</t>
  </si>
  <si>
    <t>Cant</t>
  </si>
  <si>
    <t>% ccto clase F</t>
  </si>
  <si>
    <t>Peso (Kg) Total</t>
  </si>
  <si>
    <t>Peso (Kg) por ML</t>
  </si>
  <si>
    <t>LARGO</t>
  </si>
  <si>
    <t>ANCHO</t>
  </si>
  <si>
    <t>ESPESOR</t>
  </si>
  <si>
    <t>ENCAMADO GRAVA ARENOSA</t>
  </si>
  <si>
    <t>AREA</t>
  </si>
  <si>
    <t>RELLENO TUBERÍA</t>
  </si>
  <si>
    <t>CUNETA ALCANTARILLA</t>
  </si>
  <si>
    <t>ALTO</t>
  </si>
  <si>
    <t>VOLUMEN</t>
  </si>
  <si>
    <t>A m2 bordillo</t>
  </si>
  <si>
    <t>largo (m)</t>
  </si>
  <si>
    <t>cant</t>
  </si>
  <si>
    <t>Geotextil para muros</t>
  </si>
  <si>
    <t>ANCHO (M) espalda muro</t>
  </si>
  <si>
    <t>El geotextil no se requiere para la totalidad de la vía</t>
  </si>
  <si>
    <t>Dren para muros de contención</t>
  </si>
  <si>
    <t>H m</t>
  </si>
  <si>
    <t>A m2</t>
  </si>
  <si>
    <t>Cortes. Transportes mayores a 1000 m desde el punto central del tramo</t>
  </si>
  <si>
    <t>V &gt;1000 (m3)</t>
  </si>
  <si>
    <t>V&lt;100 (m3)</t>
  </si>
  <si>
    <t>V 100-1000 (m3)</t>
  </si>
  <si>
    <t>Ancho m</t>
  </si>
  <si>
    <t>Espesor prom m</t>
  </si>
  <si>
    <t>Kg por alcantarilla</t>
  </si>
  <si>
    <t>A m2 cuneta</t>
  </si>
  <si>
    <t>SEÑALIZACIÓN TEMPORAL</t>
  </si>
  <si>
    <t>TARIFA DE TRANSPORTE DE MATERIAL DE EXCAVACIÓN MAYOR A 1KM</t>
  </si>
  <si>
    <t>TRANSPORTE DE MATERIAL HASTA 5KM</t>
  </si>
  <si>
    <t>Disposicion de material de derrumbe</t>
  </si>
  <si>
    <t xml:space="preserve">UN </t>
  </si>
  <si>
    <t>SEGÚN INVIAS</t>
  </si>
  <si>
    <t>V hasta 100m (m3)</t>
  </si>
  <si>
    <t>Roca y material de derrumbes (25% estimado)</t>
  </si>
  <si>
    <t>distancia</t>
  </si>
  <si>
    <t>PLAN DE MANEJO AMBIENTAL</t>
  </si>
  <si>
    <t>PLAN DE MANEJO DE TRÁNSITO</t>
  </si>
  <si>
    <t>3. COSTOS DE LEGALIZACIÓN</t>
  </si>
  <si>
    <t>3,2 GARANTÍAS</t>
  </si>
  <si>
    <t>TOTAL COSTOS DE LEGALIZACIÓN</t>
  </si>
  <si>
    <t>TOTAL COSTOS DE LEGALIZACIÓN EN PORCENTAJE DEL COSTO DIRECTO</t>
  </si>
  <si>
    <t>DESCRIPCIÓN GRÁFICA</t>
  </si>
  <si>
    <t>OBSERVACIONES:</t>
  </si>
  <si>
    <t xml:space="preserve">OBSERVACIONES: </t>
  </si>
  <si>
    <r>
      <t>OBSERVACIONES:</t>
    </r>
    <r>
      <rPr>
        <sz val="10"/>
        <rFont val="Times New Roman"/>
        <family val="1"/>
      </rPr>
      <t xml:space="preserve"> </t>
    </r>
  </si>
  <si>
    <t>CRONOGRAMA</t>
  </si>
  <si>
    <t>PRESUPUESTO TIPO</t>
  </si>
  <si>
    <t>ITEM</t>
  </si>
  <si>
    <t>ETAPA PRECONTRACTUAL</t>
  </si>
  <si>
    <t>LIQUIDACIÓN</t>
  </si>
  <si>
    <t>DISCRIMINACIÓN DE LA CARACTERIZACIÓN VIAL</t>
  </si>
  <si>
    <t>PERSONAL ESPECIALISTA, PROFESIONAL O DE APOYO</t>
  </si>
  <si>
    <t>CANTIDAD DE PERSONAL POR CATEGORÍA O ACTIVIDAD</t>
  </si>
  <si>
    <t>Vr.H/MES</t>
  </si>
  <si>
    <t>Vr.H/MES+FACTOR MULTIPLICADOR</t>
  </si>
  <si>
    <t>COSTO ($) TOTAL POR KILOMETRO</t>
  </si>
  <si>
    <t>COSTO ($) TOTAL</t>
  </si>
  <si>
    <t>Ingeniero Residente de interventoría</t>
  </si>
  <si>
    <t>Topógrafo Inspector</t>
  </si>
  <si>
    <t>Cadenero</t>
  </si>
  <si>
    <t>DEDICACIÓN TOTAL POR KILOMETRO</t>
  </si>
  <si>
    <t>ALQUILER EQUIPO, SUMINISTROS Y OTROS ELEMENTOS</t>
  </si>
  <si>
    <t>COSTO UNITARIO ($)</t>
  </si>
  <si>
    <t>RENDIMIENTO</t>
  </si>
  <si>
    <t>COSTO TOTAL PARA EL PROYECTO ($)</t>
  </si>
  <si>
    <t>COSTO POR KILOMETRO ($)</t>
  </si>
  <si>
    <t>INFORME TÉCNICO</t>
  </si>
  <si>
    <t xml:space="preserve">COSTO TOTAL </t>
  </si>
  <si>
    <t>Informe (Papelería), Generación de Planos, cargue de información Sistema de información Geográfica (SIG)</t>
  </si>
  <si>
    <t>Registro fotográfico</t>
  </si>
  <si>
    <t>SUB-TOTAL</t>
  </si>
  <si>
    <t>LONGITUDES TRAMOS DE CARACTERIZACIÓN VIAL (Km)</t>
  </si>
  <si>
    <t>VALOR TOTAL (E+G):</t>
  </si>
  <si>
    <t>CARACTERIZACIÓN VIAL</t>
  </si>
  <si>
    <t>TOTAL CARACTERIZACIÓN VIAL POR KILÓMETRO</t>
  </si>
  <si>
    <t>LONGITUDES POR TRAMO (Km)</t>
  </si>
  <si>
    <t>LONGITUD TOTAL (Km)</t>
  </si>
  <si>
    <t xml:space="preserve">TOTAL CARACTERIZACIÓN VIAL </t>
  </si>
  <si>
    <t>MORTEROS Y CONCRETOS</t>
  </si>
  <si>
    <t>m³</t>
  </si>
  <si>
    <t>GRAVA MATERIAL DE RIO SELECCOINADO</t>
  </si>
  <si>
    <t xml:space="preserve">Mortero 1:3 con arena lavada de rio </t>
  </si>
  <si>
    <t>material</t>
  </si>
  <si>
    <t>Cemento Portland TIPO I</t>
  </si>
  <si>
    <t>kg</t>
  </si>
  <si>
    <t>Arena lavada de rio puesto en el sitio de obra</t>
  </si>
  <si>
    <t>Agua</t>
  </si>
  <si>
    <t>l</t>
  </si>
  <si>
    <t>Mortero 1:4 con arena lavada de rio</t>
  </si>
  <si>
    <t>Mortero 1:5 con arena lavada de rio</t>
  </si>
  <si>
    <t>CONCRETO BASICO 3000 PSI (210 kg/cm2) f´c 20Mpa</t>
  </si>
  <si>
    <t>arena</t>
  </si>
  <si>
    <t>Mezcladora de concreto (Gasolina / ACPM 1 bulto incluye transporte)</t>
  </si>
  <si>
    <t>día</t>
  </si>
  <si>
    <t>Transporte agregado</t>
  </si>
  <si>
    <t>Km/m3 o ton</t>
  </si>
  <si>
    <t>CONCRETO BASICO 4000 PSI (280 kg/cm2) f´c 28Mpa</t>
  </si>
  <si>
    <t xml:space="preserve">Piedra Material de rio seleccionado Tamaño máximo D= 0.15 m </t>
  </si>
  <si>
    <t>dia</t>
  </si>
  <si>
    <t>cuadrilla oficial + ayudante</t>
  </si>
  <si>
    <t>CONCRETO BASICO 2000 PSI (140 kg/cm2) f´c 14Mpa</t>
  </si>
  <si>
    <t>CONCRETO BASICO 1500 PSI (105 kg/cm2) f´c 10Mpa</t>
  </si>
  <si>
    <t>SALARIOS</t>
  </si>
  <si>
    <t>PRESTACIONES SOCIALES</t>
  </si>
  <si>
    <t xml:space="preserve">Cesantias 100.00%/12 Meses </t>
  </si>
  <si>
    <t>Intereses de cesantías</t>
  </si>
  <si>
    <t xml:space="preserve">Prima Anual 100.00%/12 Meses </t>
  </si>
  <si>
    <t>Seguridad Social (salud)</t>
  </si>
  <si>
    <t>Seguridad Social (pensión)</t>
  </si>
  <si>
    <t>Aseguradora de Riesgos Laborales</t>
  </si>
  <si>
    <t>Caja de Compensación Familiar</t>
  </si>
  <si>
    <t>ICBF</t>
  </si>
  <si>
    <t>SENA</t>
  </si>
  <si>
    <t>Dotación</t>
  </si>
  <si>
    <t>TOTAL FACTOR PRESTACIONAL</t>
  </si>
  <si>
    <t>Subsidio de Transporte</t>
  </si>
  <si>
    <t>Otros Subsidios (Transporte, prestaciones extralegales, incapacidades no cubiertas)</t>
  </si>
  <si>
    <r>
      <rPr>
        <b/>
        <sz val="11"/>
        <color theme="1"/>
        <rFont val="Calibri"/>
        <family val="2"/>
        <scheme val="minor"/>
      </rPr>
      <t xml:space="preserve">OBSERVACIÓN: </t>
    </r>
    <r>
      <rPr>
        <sz val="11"/>
        <color theme="1"/>
        <rFont val="Calibri"/>
        <family val="2"/>
        <scheme val="minor"/>
      </rPr>
      <t>Exoneración para empleadores de acuerdo con el artículo 65 de la Ley 1819 de 2016, para trabajadores que devenguen menos de 10 SMMLV. Salud, SENA e ICBF quedan en cero pesos para el empleador.</t>
    </r>
  </si>
  <si>
    <t>FACTOR PRESTACIONAL SALARIOS &lt; 2 SMMLV</t>
  </si>
  <si>
    <t>FACTOR PRESTACIONAL SALARIOS &gt; 2 SMMLV</t>
  </si>
  <si>
    <t>ANALISIS FACTOR MULTIPLICADOR SALARIOS &lt; 2 SMMLV</t>
  </si>
  <si>
    <t>ANALISIS FACTOR MULTIPLICADOR SALARIOS &gt; 2 SMMLV</t>
  </si>
  <si>
    <t>F.P. &gt; 2SMMLV</t>
  </si>
  <si>
    <t>F.P. &lt; 2SMMLV</t>
  </si>
  <si>
    <t>2 SMMLV</t>
  </si>
  <si>
    <t>F.M. &lt; 2SMMLV</t>
  </si>
  <si>
    <t>F.M. &gt; 2SMMLV</t>
  </si>
  <si>
    <t>COSTO TOTAL OBRA INCLUYE AIU (30%) (ADMINISTRACIÓN (20%) IMPREVISTOS (5%) UTILIDAD (5%)):</t>
  </si>
  <si>
    <t xml:space="preserve">ING. MIGUEL ANTONIO VILLACRES MARTINEZ. </t>
  </si>
  <si>
    <t>MES 9</t>
  </si>
  <si>
    <t>MES 10</t>
  </si>
  <si>
    <t>MES 11</t>
  </si>
  <si>
    <t>MES 12</t>
  </si>
  <si>
    <t>SEMANA 17</t>
  </si>
  <si>
    <t>SEMANA 18</t>
  </si>
  <si>
    <t>SEMANA 19</t>
  </si>
  <si>
    <t>SEMANA 20</t>
  </si>
  <si>
    <t>SEMANA 21</t>
  </si>
  <si>
    <t>SEMANA 22</t>
  </si>
  <si>
    <t>SEMANA 23</t>
  </si>
  <si>
    <t>SEMANA 24</t>
  </si>
  <si>
    <t>SEMANA 25</t>
  </si>
  <si>
    <t>SEMANA 26</t>
  </si>
  <si>
    <t>SEMANA 27</t>
  </si>
  <si>
    <t>SEMANA 28</t>
  </si>
  <si>
    <t>SEMANA 29</t>
  </si>
  <si>
    <t>SEMANA 30</t>
  </si>
  <si>
    <t>SEMANA 31</t>
  </si>
  <si>
    <t>SEMANA 32</t>
  </si>
  <si>
    <t>Reemplazar Existentes</t>
  </si>
  <si>
    <t>Nuevas</t>
  </si>
  <si>
    <t>h m</t>
  </si>
  <si>
    <t>Alcantarillas reemplazar:</t>
  </si>
  <si>
    <t>Alcantarillas nuevas:</t>
  </si>
  <si>
    <t>vigas cabezal y contrapesos</t>
  </si>
  <si>
    <t>contrapesos</t>
  </si>
  <si>
    <t xml:space="preserve">DIRECTOR </t>
  </si>
  <si>
    <t xml:space="preserve"> ESPECIALISTA </t>
  </si>
  <si>
    <t xml:space="preserve"> RESIDENTE </t>
  </si>
  <si>
    <t xml:space="preserve"> AMBIENTAL </t>
  </si>
  <si>
    <t xml:space="preserve"> AUX RES </t>
  </si>
  <si>
    <t xml:space="preserve"> INSPECTOR </t>
  </si>
  <si>
    <t xml:space="preserve">Precios </t>
  </si>
  <si>
    <t xml:space="preserve">INVIAS </t>
  </si>
  <si>
    <t>2019-02</t>
  </si>
  <si>
    <t>2019-01</t>
  </si>
  <si>
    <t>PRECIO 2013</t>
  </si>
  <si>
    <t>CONCRETO HIDRÁLICO PARA PAVIMENTO</t>
  </si>
  <si>
    <t>Cemento</t>
  </si>
  <si>
    <t>Arena</t>
  </si>
  <si>
    <t>Grava</t>
  </si>
  <si>
    <t>Volumen:</t>
  </si>
  <si>
    <t>Precio:</t>
  </si>
  <si>
    <t>Cto.4000 psi:</t>
  </si>
  <si>
    <t>TARIFA 2020</t>
  </si>
  <si>
    <t>TARIFA 2019</t>
  </si>
  <si>
    <t>OTROS TRAMOS 1</t>
  </si>
  <si>
    <t>OTROS TRAMOS 2</t>
  </si>
  <si>
    <t>ACTIVIDADES</t>
  </si>
  <si>
    <t>PRECIO 2020</t>
  </si>
  <si>
    <t>CARACTERIZACION VIAL</t>
  </si>
  <si>
    <t>vol m3</t>
  </si>
  <si>
    <t>Espesor (m) promedio</t>
  </si>
  <si>
    <t>(Base Granular en la figura)</t>
  </si>
  <si>
    <t>(Afirmado en la figura)</t>
  </si>
  <si>
    <t>(Losa de concreto en la figura)</t>
  </si>
  <si>
    <t>BASE Y CONCRETO</t>
  </si>
  <si>
    <t>KM PASTO</t>
  </si>
  <si>
    <t>SUBBASE Y RELLENO</t>
  </si>
  <si>
    <t>A prom m2</t>
  </si>
  <si>
    <t>H prom (m)</t>
  </si>
  <si>
    <t>V prom m3</t>
  </si>
  <si>
    <t>total tramo 4 k0+650 k5+250 (m3)</t>
  </si>
  <si>
    <t>PLAN DE CARGAS INTERVENTORIA</t>
  </si>
  <si>
    <t>PERIODO 1</t>
  </si>
  <si>
    <t>PERIODO 2</t>
  </si>
  <si>
    <t>PERIODO 3</t>
  </si>
  <si>
    <t>PERIODO 4</t>
  </si>
  <si>
    <t>PERIODO 5</t>
  </si>
  <si>
    <t>PERIODO 6</t>
  </si>
  <si>
    <t>PERIODO 7</t>
  </si>
  <si>
    <t>PERIODO 8</t>
  </si>
  <si>
    <t>SEM 1</t>
  </si>
  <si>
    <t>SEM 2</t>
  </si>
  <si>
    <t>SEM 3</t>
  </si>
  <si>
    <t>SEM 4</t>
  </si>
  <si>
    <t>PRELIMINARES E INICIACION DEL CONTRATO</t>
  </si>
  <si>
    <t>Actividades tecnicas</t>
  </si>
  <si>
    <t>1,1,1</t>
  </si>
  <si>
    <t>Revision y analisis de planos</t>
  </si>
  <si>
    <t>1,1,2</t>
  </si>
  <si>
    <t>Revision y analisis de especificaciones</t>
  </si>
  <si>
    <t>1,1,3</t>
  </si>
  <si>
    <t>Coordinacion de planos</t>
  </si>
  <si>
    <t>1,1,4</t>
  </si>
  <si>
    <t>Programacion y preupuesto</t>
  </si>
  <si>
    <t>1,1,5</t>
  </si>
  <si>
    <t>Diseño y coordinacion de formatos</t>
  </si>
  <si>
    <t>Actividades administrativas y financieras</t>
  </si>
  <si>
    <t>1,2,1</t>
  </si>
  <si>
    <t>1,2,2</t>
  </si>
  <si>
    <t>Revisión de pólizas</t>
  </si>
  <si>
    <t>1,2,3</t>
  </si>
  <si>
    <t>Revisión de reglamentos (seguridad industrial, trabajo, salud ocupacional)</t>
  </si>
  <si>
    <t>1,2,4</t>
  </si>
  <si>
    <t>Definición, flujo de documentos y correspondencia</t>
  </si>
  <si>
    <t>Actividades de control</t>
  </si>
  <si>
    <t>1,3,1</t>
  </si>
  <si>
    <t>Revisión y Control APU, presupuesto, cantidades, gestion de gastos</t>
  </si>
  <si>
    <t>DESARROLLO Y EJECUCIÓN DE LA OBRA</t>
  </si>
  <si>
    <t>2,1,1</t>
  </si>
  <si>
    <t>Entrega de ajustes en planos</t>
  </si>
  <si>
    <t>2,1,2</t>
  </si>
  <si>
    <t>Verificación y cumplimiento de especificaciones</t>
  </si>
  <si>
    <t>2,1,3</t>
  </si>
  <si>
    <t>Revisión, cambios, ampliación, ajuste de especificaciones, planos del contratista</t>
  </si>
  <si>
    <t>2,1,4</t>
  </si>
  <si>
    <t>Verificación y seguimiento de recursos mínimos (ejes, niveles, distribucion, cerramientos)</t>
  </si>
  <si>
    <t>2,1,5</t>
  </si>
  <si>
    <t>Verificación de rendimientos, proyecciones periódicas mediante informes</t>
  </si>
  <si>
    <t>2,1,6</t>
  </si>
  <si>
    <t>Mediciones y revisiones de cantidades de obra</t>
  </si>
  <si>
    <t>2,1,7</t>
  </si>
  <si>
    <t>Control de programación, de presupuesto y avance de obra</t>
  </si>
  <si>
    <t>2,2,1</t>
  </si>
  <si>
    <t>Seguimiento del contrato</t>
  </si>
  <si>
    <t>2,2,2</t>
  </si>
  <si>
    <t>Seguimiento a proveedores</t>
  </si>
  <si>
    <t>2,2,3</t>
  </si>
  <si>
    <t>Informes</t>
  </si>
  <si>
    <t>2,2,4</t>
  </si>
  <si>
    <t>Informe Final</t>
  </si>
  <si>
    <t>2,2,5</t>
  </si>
  <si>
    <t>Trámite de cuentas</t>
  </si>
  <si>
    <t>2,2,6</t>
  </si>
  <si>
    <t>De control (cambios, adicion o disminucion de obras)</t>
  </si>
  <si>
    <t>2,3,1</t>
  </si>
  <si>
    <t>normas de seguridad</t>
  </si>
  <si>
    <t>2,3,2</t>
  </si>
  <si>
    <t>dotación e identificacion del personal</t>
  </si>
  <si>
    <t>2,3,3</t>
  </si>
  <si>
    <t>supervision recurso humano</t>
  </si>
  <si>
    <t>RECIBO Y ENTREGA DE LA OBRA</t>
  </si>
  <si>
    <t>3,1,1</t>
  </si>
  <si>
    <t>Coordinación de planos finales (detalles, instalaciones, redes, cajas, etc)</t>
  </si>
  <si>
    <t>3,1,2</t>
  </si>
  <si>
    <t>Entrega de obra (actas, documentos finales)</t>
  </si>
  <si>
    <t>3,2,1</t>
  </si>
  <si>
    <t>Revisión y aprobación de acta final de obra</t>
  </si>
  <si>
    <t>3,2,2</t>
  </si>
  <si>
    <t>Revisión y aprobación de pólizas</t>
  </si>
  <si>
    <t>3,2,3</t>
  </si>
  <si>
    <t>Coordinación y entrega de manuales de mantenimiento y operación</t>
  </si>
  <si>
    <t>3,2,4</t>
  </si>
  <si>
    <t>3,3,1</t>
  </si>
  <si>
    <t>Atencion de solicitudes varias</t>
  </si>
  <si>
    <t>3,3,2</t>
  </si>
  <si>
    <t>Liquidación final del contrato</t>
  </si>
  <si>
    <t>Revisión del contrato de construcción de la vía</t>
  </si>
  <si>
    <t>Trámite factura final de pago e ingreso de la obra, equipo, inventario de obra</t>
  </si>
  <si>
    <t>PROTOCOLO DE BIOSEGURIDAD</t>
  </si>
  <si>
    <t xml:space="preserve">                                                                                                      CANTIDADES DE OBRA</t>
  </si>
  <si>
    <t>salario min</t>
  </si>
  <si>
    <t>DIA</t>
  </si>
  <si>
    <t>ALCALDÍA MUNICIPAL DE SAN LORENZO</t>
  </si>
  <si>
    <t>MEJORAMIENTO VÍA LA LAGUNA, SALINAS, LOS OLIVOS</t>
  </si>
  <si>
    <t>TARIFA 2021</t>
  </si>
  <si>
    <t>PRECIO 2021</t>
  </si>
  <si>
    <t>CONCRETO HIDRAULICO DE 210 KG/CM² (3.000 PSI) CLASE D, ESPESOR 0,15 M - PLACAS Y DENTELLONES</t>
  </si>
  <si>
    <t>estructural 1</t>
  </si>
  <si>
    <t>estructural 2</t>
  </si>
  <si>
    <t>gavion 1</t>
  </si>
  <si>
    <t>gavion 2</t>
  </si>
  <si>
    <t>gavion 3</t>
  </si>
  <si>
    <t>BOX COULVER</t>
  </si>
  <si>
    <t>Box Coulvert2:</t>
  </si>
  <si>
    <t>BOX COULVER2</t>
  </si>
  <si>
    <t>placa huella</t>
  </si>
  <si>
    <t>vigas riostras</t>
  </si>
  <si>
    <t>dentellones</t>
  </si>
  <si>
    <t>filtro 1 alacatarilla</t>
  </si>
  <si>
    <t>filtro 2 alcantarilla</t>
  </si>
  <si>
    <t>No.3. PAVIMENTO  PLACA HUELLA</t>
  </si>
  <si>
    <t>VOLUMEN DE CORTE TRAMO:_______________</t>
  </si>
  <si>
    <t>Volumen de terraplen: PLACA HUELLA</t>
  </si>
  <si>
    <t>Se toman 4,5 m de ancho puesto que en algunos tramos no se extiende todo el material adicionado</t>
  </si>
  <si>
    <t>BASE GRANULAR</t>
  </si>
  <si>
    <t>No.5. MANTENIMIENTO VIA</t>
  </si>
  <si>
    <t>BACHEO</t>
  </si>
  <si>
    <t>SUBTOTAL MANTENIMIENTO</t>
  </si>
  <si>
    <t>KM SAN LORENZO</t>
  </si>
  <si>
    <t>eje 1</t>
  </si>
  <si>
    <t>eje2</t>
  </si>
  <si>
    <t>eje 3</t>
  </si>
  <si>
    <t>VÍA LA LAGUNA, SALINAS, LOS OLIVOS</t>
  </si>
  <si>
    <t>BACHEO, MANTENIMIENTO  VIAL</t>
  </si>
  <si>
    <t>h prom</t>
  </si>
  <si>
    <t>PLACA HUELLA</t>
  </si>
  <si>
    <t>LA LAGUNA,SALINAS,LOS OLIVOS</t>
  </si>
  <si>
    <t>No.6. ESPECIFICACIONES PARTICULARES (OBRAS AMBIENTALES)</t>
  </si>
  <si>
    <t>No.7. TRANSPORTE</t>
  </si>
  <si>
    <t>RETROCARGADOR</t>
  </si>
  <si>
    <t>VOLQUETA</t>
  </si>
  <si>
    <t>No.8. MAQUINARIA Y OBRAS APORTADAS POR EL MUNICIPIO</t>
  </si>
  <si>
    <t>SUBTOTAL MUNICIPIO:</t>
  </si>
  <si>
    <t>ALCANTARILLA (CONCRETO CLASE C)</t>
  </si>
  <si>
    <t>ALCANTARILLA (ACERO)</t>
  </si>
  <si>
    <t>COSTO BASICO MENOS MAQUINARIA Y OBRAS APORTADAS POR EL MUNICIPIO:</t>
  </si>
  <si>
    <t>Via  LA LAGUNA, SALINAS, LOS OLIVOS</t>
  </si>
  <si>
    <t>ING. JHONATAN STIVEN PANTOJA MORILLO</t>
  </si>
  <si>
    <t xml:space="preserve">M.P. 111037-0520109 NRÑ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</si>
</sst>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3"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#,##0.0"/>
    <numFmt numFmtId="168" formatCode="0.0000000%"/>
    <numFmt numFmtId="169" formatCode="#,##0.0000000000"/>
    <numFmt numFmtId="170" formatCode="0.000000%"/>
    <numFmt numFmtId="171" formatCode="0.000%"/>
    <numFmt numFmtId="172" formatCode="0.00000%"/>
    <numFmt numFmtId="173" formatCode="#,##0.00000"/>
    <numFmt numFmtId="174" formatCode="0.0000%"/>
    <numFmt numFmtId="175" formatCode="0.0000000000000%"/>
    <numFmt numFmtId="176" formatCode="0.00000000%"/>
    <numFmt numFmtId="177" formatCode="0.0000000000%"/>
    <numFmt numFmtId="178" formatCode="_ * #,##0.00_ ;_ * \-#,##0.00_ ;_ * &quot;-&quot;??_ ;_ @_ "/>
    <numFmt numFmtId="179" formatCode="_ * #,##0_ ;_ * \-#,##0_ ;_ * &quot;-&quot;??_ ;_ @_ "/>
    <numFmt numFmtId="180" formatCode="0.0"/>
    <numFmt numFmtId="181" formatCode="#,##0.000"/>
    <numFmt numFmtId="182" formatCode="\(0\)"/>
    <numFmt numFmtId="183" formatCode="_-* #,##0.00\ &quot;Pts&quot;_-;\-* #,##0.00\ &quot;Pts&quot;_-;_-* &quot;-&quot;??\ &quot;Pts&quot;_-;_-@_-"/>
    <numFmt numFmtId="184" formatCode="&quot;$&quot;\ #,##0"/>
    <numFmt numFmtId="185" formatCode="&quot;$&quot;\ #,##0.00"/>
    <numFmt numFmtId="186" formatCode="0.000"/>
    <numFmt numFmtId="187" formatCode="0.0000"/>
    <numFmt numFmtId="188" formatCode="[$$-240A]\ #,##0.00"/>
    <numFmt numFmtId="189" formatCode="#,##0.0000"/>
    <numFmt numFmtId="190" formatCode="&quot;$&quot;#,##0"/>
    <numFmt numFmtId="191" formatCode="&quot;$&quot;#,##0.00"/>
    <numFmt numFmtId="192" formatCode="0.00000000000000000%"/>
    <numFmt numFmtId="193" formatCode="0.000000000"/>
    <numFmt numFmtId="194" formatCode="0.0000000000000000000%"/>
    <numFmt numFmtId="195" formatCode="0.000000000000000"/>
    <numFmt numFmtId="196" formatCode="0.000000000000000%"/>
    <numFmt numFmtId="197" formatCode="0.0000000000000000%"/>
    <numFmt numFmtId="198" formatCode="0.0000000000000000"/>
    <numFmt numFmtId="199" formatCode="0.000000000000000000"/>
    <numFmt numFmtId="200" formatCode="0.000000000000000000000000%"/>
    <numFmt numFmtId="201" formatCode="0.0000000000000000000"/>
    <numFmt numFmtId="202" formatCode="0.00000000000000000"/>
    <numFmt numFmtId="203" formatCode="_(&quot;C$&quot;* #,##0.00_);_(&quot;C$&quot;* \(#,##0.00\);_(&quot;C$&quot;* &quot;-&quot;??_);_(@_)"/>
    <numFmt numFmtId="204" formatCode="\k0\+000"/>
    <numFmt numFmtId="205" formatCode="_-&quot;$&quot;\ * #,##0.0_-;\-&quot;$&quot;\ * #,##0.0_-;_-&quot;$&quot;\ * &quot;-&quot;_-;_-@_-"/>
  </numFmts>
  <fonts count="9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0"/>
      <name val="Times New Roman"/>
      <family val="1"/>
    </font>
    <font>
      <u/>
      <sz val="10"/>
      <color indexed="12"/>
      <name val="Arial"/>
      <family val="2"/>
    </font>
    <font>
      <u/>
      <sz val="10"/>
      <color indexed="12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b/>
      <sz val="9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10"/>
      <color theme="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u/>
      <sz val="12"/>
      <color theme="1"/>
      <name val="Times New Roman"/>
      <family val="1"/>
    </font>
    <font>
      <sz val="12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u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1"/>
      <color theme="0" tint="-4.9989318521683403E-2"/>
      <name val="Times New Roman"/>
      <family val="1"/>
    </font>
    <font>
      <b/>
      <sz val="12"/>
      <color indexed="8"/>
      <name val="Times New Roman"/>
      <family val="1"/>
    </font>
    <font>
      <sz val="10"/>
      <color theme="0" tint="-0.14999847407452621"/>
      <name val="Times New Roman"/>
      <family val="1"/>
    </font>
    <font>
      <sz val="11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4" tint="-0.249977111117893"/>
      <name val="Times New Roman"/>
      <family val="1"/>
    </font>
    <font>
      <sz val="10"/>
      <color rgb="FFC00000"/>
      <name val="Times New Roman"/>
      <family val="1"/>
    </font>
    <font>
      <b/>
      <sz val="26"/>
      <color theme="1"/>
      <name val="Arial Narrow"/>
      <family val="2"/>
    </font>
    <font>
      <sz val="9"/>
      <color theme="1"/>
      <name val="Arial Narrow"/>
      <family val="2"/>
    </font>
    <font>
      <sz val="20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0"/>
      <name val="Calibri"/>
      <family val="2"/>
      <scheme val="minor"/>
    </font>
    <font>
      <b/>
      <sz val="11"/>
      <color theme="0"/>
      <name val="Times New Roman"/>
      <family val="1"/>
    </font>
    <font>
      <sz val="11"/>
      <color indexed="8"/>
      <name val="Calibri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rgb="FFFF0000"/>
      <name val="Times New Roman"/>
      <family val="1"/>
    </font>
    <font>
      <sz val="11"/>
      <color theme="0"/>
      <name val="Times New Roman"/>
      <family val="1"/>
    </font>
    <font>
      <sz val="11"/>
      <color theme="8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Calibri"/>
      <family val="2"/>
      <scheme val="minor"/>
    </font>
    <font>
      <sz val="8"/>
      <color rgb="FF212529"/>
      <name val="Segoe UI"/>
      <family val="2"/>
    </font>
    <font>
      <b/>
      <sz val="11"/>
      <color theme="1" tint="0.1499984740745262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8"/>
      <color theme="1"/>
      <name val="Times New Roman"/>
      <family val="1"/>
    </font>
    <font>
      <sz val="11"/>
      <color theme="0" tint="-4.9989318521683403E-2"/>
      <name val="Calibri"/>
      <family val="2"/>
      <scheme val="minor"/>
    </font>
    <font>
      <b/>
      <sz val="8"/>
      <color theme="0" tint="-4.9989318521683403E-2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10"/>
      <color theme="0" tint="-0.34998626667073579"/>
      <name val="Times New Roman"/>
      <family val="1"/>
    </font>
    <font>
      <sz val="10"/>
      <color theme="0" tint="-0.249977111117893"/>
      <name val="Times New Roman"/>
      <family val="1"/>
    </font>
    <font>
      <sz val="11"/>
      <color theme="0" tint="-0.249977111117893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i/>
      <sz val="8"/>
      <name val="Arial"/>
      <family val="2"/>
    </font>
    <font>
      <b/>
      <sz val="11"/>
      <color theme="0" tint="-4.9989318521683403E-2"/>
      <name val="Calibri"/>
      <family val="2"/>
      <scheme val="minor"/>
    </font>
    <font>
      <sz val="9"/>
      <name val="Times New Roman"/>
      <family val="1"/>
    </font>
    <font>
      <sz val="11"/>
      <color theme="0" tint="-0.34998626667073579"/>
      <name val="Times New Roman"/>
      <family val="1"/>
    </font>
    <font>
      <sz val="9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0" borderId="0"/>
    <xf numFmtId="0" fontId="1" fillId="0" borderId="0"/>
    <xf numFmtId="0" fontId="9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8" fontId="1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183" fontId="1" fillId="0" borderId="0" applyFont="0" applyFill="0" applyBorder="0" applyAlignment="0" applyProtection="0"/>
    <xf numFmtId="0" fontId="24" fillId="0" borderId="0"/>
    <xf numFmtId="183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1" fillId="0" borderId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9" fillId="0" borderId="0"/>
    <xf numFmtId="166" fontId="58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166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6" fillId="20" borderId="0" applyNumberFormat="0" applyBorder="0" applyAlignment="0" applyProtection="0"/>
    <xf numFmtId="0" fontId="82" fillId="0" borderId="0"/>
  </cellStyleXfs>
  <cellXfs count="1560">
    <xf numFmtId="0" fontId="0" fillId="0" borderId="0" xfId="0"/>
    <xf numFmtId="4" fontId="3" fillId="0" borderId="0" xfId="1" applyNumberFormat="1" applyFont="1" applyAlignment="1">
      <alignment vertical="center" wrapText="1"/>
    </xf>
    <xf numFmtId="4" fontId="4" fillId="0" borderId="0" xfId="1" applyNumberFormat="1" applyFont="1" applyAlignment="1">
      <alignment horizontal="center" vertical="center" wrapText="1"/>
    </xf>
    <xf numFmtId="4" fontId="3" fillId="0" borderId="0" xfId="1" applyNumberFormat="1" applyFont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4" fontId="6" fillId="2" borderId="2" xfId="1" applyNumberFormat="1" applyFont="1" applyFill="1" applyBorder="1" applyAlignment="1">
      <alignment horizontal="center" vertical="center" wrapText="1"/>
    </xf>
    <xf numFmtId="4" fontId="7" fillId="2" borderId="2" xfId="1" applyNumberFormat="1" applyFont="1" applyFill="1" applyBorder="1" applyAlignment="1">
      <alignment horizontal="left" vertical="center" wrapText="1"/>
    </xf>
    <xf numFmtId="4" fontId="6" fillId="2" borderId="2" xfId="1" applyNumberFormat="1" applyFont="1" applyFill="1" applyBorder="1" applyAlignment="1">
      <alignment vertical="center" wrapText="1"/>
    </xf>
    <xf numFmtId="4" fontId="6" fillId="0" borderId="2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horizontal="left" vertical="center" wrapText="1"/>
    </xf>
    <xf numFmtId="4" fontId="6" fillId="0" borderId="2" xfId="1" applyNumberFormat="1" applyFont="1" applyFill="1" applyBorder="1" applyAlignment="1">
      <alignment horizontal="right" vertical="center" wrapText="1"/>
    </xf>
    <xf numFmtId="4" fontId="6" fillId="0" borderId="2" xfId="1" applyNumberFormat="1" applyFont="1" applyFill="1" applyBorder="1" applyAlignment="1">
      <alignment vertical="center" wrapText="1"/>
    </xf>
    <xf numFmtId="4" fontId="6" fillId="2" borderId="2" xfId="1" applyNumberFormat="1" applyFont="1" applyFill="1" applyBorder="1" applyAlignment="1">
      <alignment horizontal="right" vertical="center" wrapText="1"/>
    </xf>
    <xf numFmtId="4" fontId="3" fillId="0" borderId="0" xfId="1" applyNumberFormat="1" applyFont="1" applyAlignment="1">
      <alignment horizontal="right" vertical="center" wrapText="1"/>
    </xf>
    <xf numFmtId="4" fontId="3" fillId="0" borderId="3" xfId="1" applyNumberFormat="1" applyFont="1" applyBorder="1" applyAlignment="1">
      <alignment vertical="center" wrapText="1"/>
    </xf>
    <xf numFmtId="0" fontId="0" fillId="0" borderId="0" xfId="0" applyBorder="1"/>
    <xf numFmtId="4" fontId="6" fillId="0" borderId="0" xfId="1" applyNumberFormat="1" applyFont="1" applyFill="1" applyBorder="1" applyAlignment="1">
      <alignment horizontal="center" vertical="center" wrapText="1"/>
    </xf>
    <xf numFmtId="4" fontId="7" fillId="0" borderId="0" xfId="1" applyNumberFormat="1" applyFont="1" applyFill="1" applyBorder="1" applyAlignment="1">
      <alignment horizontal="left" vertical="center" wrapText="1"/>
    </xf>
    <xf numFmtId="4" fontId="6" fillId="0" borderId="0" xfId="1" applyNumberFormat="1" applyFont="1" applyFill="1" applyBorder="1" applyAlignment="1">
      <alignment vertical="center" wrapText="1"/>
    </xf>
    <xf numFmtId="4" fontId="6" fillId="0" borderId="0" xfId="1" applyNumberFormat="1" applyFont="1" applyFill="1" applyBorder="1" applyAlignment="1">
      <alignment horizontal="left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left" vertical="center" wrapText="1"/>
    </xf>
    <xf numFmtId="4" fontId="6" fillId="0" borderId="1" xfId="1" applyNumberFormat="1" applyFont="1" applyFill="1" applyBorder="1" applyAlignment="1">
      <alignment vertical="center" wrapText="1"/>
    </xf>
    <xf numFmtId="4" fontId="6" fillId="0" borderId="1" xfId="1" applyNumberFormat="1" applyFont="1" applyFill="1" applyBorder="1" applyAlignment="1" applyProtection="1">
      <alignment horizontal="left" vertical="center" wrapText="1"/>
      <protection locked="0"/>
    </xf>
    <xf numFmtId="4" fontId="5" fillId="0" borderId="0" xfId="1" applyNumberFormat="1" applyFont="1" applyAlignment="1">
      <alignment horizontal="right" vertical="center" wrapText="1"/>
    </xf>
    <xf numFmtId="4" fontId="6" fillId="0" borderId="1" xfId="1" applyNumberFormat="1" applyFont="1" applyFill="1" applyBorder="1" applyAlignment="1">
      <alignment horizontal="right" vertical="center" wrapText="1"/>
    </xf>
    <xf numFmtId="4" fontId="6" fillId="0" borderId="0" xfId="1" applyNumberFormat="1" applyFont="1" applyFill="1" applyBorder="1" applyAlignment="1">
      <alignment horizontal="right" vertical="center" wrapText="1"/>
    </xf>
    <xf numFmtId="4" fontId="3" fillId="0" borderId="0" xfId="1" applyNumberFormat="1" applyFont="1" applyFill="1" applyBorder="1" applyAlignment="1">
      <alignment vertical="center" wrapText="1"/>
    </xf>
    <xf numFmtId="4" fontId="4" fillId="0" borderId="0" xfId="1" applyNumberFormat="1" applyFont="1" applyFill="1" applyBorder="1" applyAlignment="1">
      <alignment vertical="center" wrapText="1"/>
    </xf>
    <xf numFmtId="4" fontId="0" fillId="0" borderId="0" xfId="0" applyNumberFormat="1" applyFill="1" applyBorder="1"/>
    <xf numFmtId="3" fontId="6" fillId="0" borderId="1" xfId="1" applyNumberFormat="1" applyFont="1" applyFill="1" applyBorder="1" applyAlignment="1">
      <alignment horizontal="center" vertical="center" wrapText="1"/>
    </xf>
    <xf numFmtId="4" fontId="5" fillId="3" borderId="0" xfId="1" applyNumberFormat="1" applyFont="1" applyFill="1" applyAlignment="1">
      <alignment horizontal="left" vertical="center" wrapText="1"/>
    </xf>
    <xf numFmtId="4" fontId="6" fillId="0" borderId="1" xfId="1" applyNumberFormat="1" applyFont="1" applyFill="1" applyBorder="1" applyAlignment="1" applyProtection="1">
      <alignment horizontal="right" vertical="center" wrapText="1"/>
      <protection locked="0"/>
    </xf>
    <xf numFmtId="1" fontId="6" fillId="0" borderId="1" xfId="1" applyNumberFormat="1" applyFont="1" applyFill="1" applyBorder="1" applyAlignment="1">
      <alignment horizontal="right" vertical="center" wrapText="1"/>
    </xf>
    <xf numFmtId="1" fontId="6" fillId="0" borderId="1" xfId="1" applyNumberFormat="1" applyFont="1" applyFill="1" applyBorder="1" applyAlignment="1">
      <alignment vertical="center" wrapText="1"/>
    </xf>
    <xf numFmtId="4" fontId="6" fillId="0" borderId="5" xfId="1" applyNumberFormat="1" applyFont="1" applyFill="1" applyBorder="1" applyAlignment="1">
      <alignment horizontal="center" vertical="center" wrapText="1"/>
    </xf>
    <xf numFmtId="4" fontId="6" fillId="0" borderId="5" xfId="1" applyNumberFormat="1" applyFont="1" applyFill="1" applyBorder="1" applyAlignment="1">
      <alignment horizontal="right" vertical="center" wrapText="1"/>
    </xf>
    <xf numFmtId="4" fontId="6" fillId="0" borderId="5" xfId="1" applyNumberFormat="1" applyFont="1" applyFill="1" applyBorder="1" applyAlignment="1">
      <alignment vertical="center" wrapText="1"/>
    </xf>
    <xf numFmtId="4" fontId="6" fillId="0" borderId="4" xfId="1" applyNumberFormat="1" applyFont="1" applyFill="1" applyBorder="1" applyAlignment="1">
      <alignment horizontal="center" vertical="center" wrapText="1"/>
    </xf>
    <xf numFmtId="4" fontId="6" fillId="0" borderId="4" xfId="1" applyNumberFormat="1" applyFont="1" applyFill="1" applyBorder="1" applyAlignment="1">
      <alignment horizontal="left" vertical="center" wrapText="1"/>
    </xf>
    <xf numFmtId="4" fontId="6" fillId="0" borderId="4" xfId="1" applyNumberFormat="1" applyFont="1" applyFill="1" applyBorder="1" applyAlignment="1">
      <alignment horizontal="right" vertical="center" wrapText="1"/>
    </xf>
    <xf numFmtId="4" fontId="6" fillId="0" borderId="4" xfId="1" applyNumberFormat="1" applyFont="1" applyFill="1" applyBorder="1" applyAlignment="1">
      <alignment vertical="center" wrapText="1"/>
    </xf>
    <xf numFmtId="4" fontId="6" fillId="0" borderId="6" xfId="1" applyNumberFormat="1" applyFont="1" applyFill="1" applyBorder="1" applyAlignment="1">
      <alignment horizontal="center" vertical="center" wrapText="1"/>
    </xf>
    <xf numFmtId="4" fontId="6" fillId="0" borderId="6" xfId="1" applyNumberFormat="1" applyFont="1" applyFill="1" applyBorder="1" applyAlignment="1">
      <alignment horizontal="left" vertical="center" wrapText="1"/>
    </xf>
    <xf numFmtId="4" fontId="6" fillId="0" borderId="6" xfId="1" applyNumberFormat="1" applyFont="1" applyFill="1" applyBorder="1" applyAlignment="1">
      <alignment vertical="center" wrapText="1"/>
    </xf>
    <xf numFmtId="4" fontId="6" fillId="2" borderId="1" xfId="1" applyNumberFormat="1" applyFont="1" applyFill="1" applyBorder="1" applyAlignment="1">
      <alignment horizontal="center" vertical="center" wrapText="1"/>
    </xf>
    <xf numFmtId="4" fontId="6" fillId="2" borderId="1" xfId="1" applyNumberFormat="1" applyFont="1" applyFill="1" applyBorder="1" applyAlignment="1">
      <alignment vertical="center" wrapText="1"/>
    </xf>
    <xf numFmtId="167" fontId="6" fillId="0" borderId="1" xfId="1" applyNumberFormat="1" applyFont="1" applyFill="1" applyBorder="1" applyAlignment="1">
      <alignment horizontal="center" vertical="center" wrapText="1"/>
    </xf>
    <xf numFmtId="4" fontId="6" fillId="0" borderId="9" xfId="1" applyNumberFormat="1" applyFont="1" applyFill="1" applyBorder="1" applyAlignment="1">
      <alignment horizontal="center" vertical="center" wrapText="1"/>
    </xf>
    <xf numFmtId="4" fontId="6" fillId="0" borderId="9" xfId="1" applyNumberFormat="1" applyFont="1" applyFill="1" applyBorder="1" applyAlignment="1">
      <alignment horizontal="left" vertical="center" wrapText="1"/>
    </xf>
    <xf numFmtId="4" fontId="6" fillId="0" borderId="9" xfId="1" applyNumberFormat="1" applyFont="1" applyFill="1" applyBorder="1" applyAlignment="1">
      <alignment horizontal="right" vertical="center" wrapText="1"/>
    </xf>
    <xf numFmtId="4" fontId="6" fillId="0" borderId="9" xfId="1" applyNumberFormat="1" applyFont="1" applyFill="1" applyBorder="1" applyAlignment="1">
      <alignment vertical="center" wrapText="1"/>
    </xf>
    <xf numFmtId="4" fontId="7" fillId="0" borderId="10" xfId="1" applyNumberFormat="1" applyFont="1" applyFill="1" applyBorder="1" applyAlignment="1">
      <alignment horizontal="center" vertical="center" wrapText="1"/>
    </xf>
    <xf numFmtId="4" fontId="7" fillId="0" borderId="11" xfId="1" applyNumberFormat="1" applyFont="1" applyFill="1" applyBorder="1" applyAlignment="1">
      <alignment horizontal="center" vertical="center" wrapText="1"/>
    </xf>
    <xf numFmtId="4" fontId="5" fillId="4" borderId="1" xfId="1" applyNumberFormat="1" applyFont="1" applyFill="1" applyBorder="1" applyAlignment="1">
      <alignment horizontal="center" vertical="center" wrapText="1"/>
    </xf>
    <xf numFmtId="4" fontId="7" fillId="0" borderId="0" xfId="1" applyNumberFormat="1" applyFont="1" applyFill="1" applyBorder="1" applyAlignment="1">
      <alignment horizontal="right" vertical="center" wrapText="1"/>
    </xf>
    <xf numFmtId="167" fontId="7" fillId="0" borderId="0" xfId="1" applyNumberFormat="1" applyFont="1" applyFill="1" applyBorder="1" applyAlignment="1">
      <alignment vertical="center" wrapText="1"/>
    </xf>
    <xf numFmtId="4" fontId="6" fillId="2" borderId="1" xfId="1" applyNumberFormat="1" applyFont="1" applyFill="1" applyBorder="1" applyAlignment="1">
      <alignment horizontal="right" vertical="center" wrapText="1"/>
    </xf>
    <xf numFmtId="4" fontId="6" fillId="0" borderId="14" xfId="1" applyNumberFormat="1" applyFont="1" applyFill="1" applyBorder="1" applyAlignment="1">
      <alignment horizontal="center" vertical="center" wrapText="1"/>
    </xf>
    <xf numFmtId="4" fontId="6" fillId="0" borderId="14" xfId="1" applyNumberFormat="1" applyFont="1" applyFill="1" applyBorder="1" applyAlignment="1">
      <alignment horizontal="right" vertical="center" wrapText="1"/>
    </xf>
    <xf numFmtId="4" fontId="6" fillId="0" borderId="14" xfId="1" applyNumberFormat="1" applyFont="1" applyFill="1" applyBorder="1" applyAlignment="1">
      <alignment vertical="center" wrapText="1"/>
    </xf>
    <xf numFmtId="4" fontId="6" fillId="0" borderId="15" xfId="1" applyNumberFormat="1" applyFont="1" applyFill="1" applyBorder="1" applyAlignment="1">
      <alignment horizontal="center" vertical="center" wrapText="1"/>
    </xf>
    <xf numFmtId="4" fontId="6" fillId="0" borderId="15" xfId="1" applyNumberFormat="1" applyFont="1" applyFill="1" applyBorder="1" applyAlignment="1">
      <alignment horizontal="left" vertical="center" wrapText="1"/>
    </xf>
    <xf numFmtId="4" fontId="6" fillId="0" borderId="15" xfId="1" applyNumberFormat="1" applyFont="1" applyFill="1" applyBorder="1" applyAlignment="1">
      <alignment vertical="center" wrapText="1"/>
    </xf>
    <xf numFmtId="4" fontId="7" fillId="0" borderId="4" xfId="1" applyNumberFormat="1" applyFont="1" applyFill="1" applyBorder="1" applyAlignment="1">
      <alignment horizontal="center" vertical="center" wrapText="1"/>
    </xf>
    <xf numFmtId="0" fontId="0" fillId="0" borderId="0" xfId="0" applyFill="1"/>
    <xf numFmtId="4" fontId="4" fillId="2" borderId="1" xfId="1" applyNumberFormat="1" applyFont="1" applyFill="1" applyBorder="1" applyAlignment="1">
      <alignment horizontal="left" vertical="center" wrapText="1"/>
    </xf>
    <xf numFmtId="4" fontId="4" fillId="0" borderId="0" xfId="1" applyNumberFormat="1" applyFont="1" applyAlignment="1">
      <alignment vertical="center" wrapText="1"/>
    </xf>
    <xf numFmtId="4" fontId="0" fillId="0" borderId="0" xfId="0" applyNumberFormat="1"/>
    <xf numFmtId="4" fontId="7" fillId="0" borderId="1" xfId="1" applyNumberFormat="1" applyFont="1" applyFill="1" applyBorder="1" applyAlignment="1">
      <alignment vertical="center" wrapText="1"/>
    </xf>
    <xf numFmtId="167" fontId="6" fillId="0" borderId="2" xfId="1" applyNumberFormat="1" applyFont="1" applyFill="1" applyBorder="1" applyAlignment="1">
      <alignment horizontal="center" vertical="center" wrapText="1"/>
    </xf>
    <xf numFmtId="4" fontId="0" fillId="0" borderId="0" xfId="0" applyNumberFormat="1" applyFill="1"/>
    <xf numFmtId="4" fontId="7" fillId="0" borderId="15" xfId="1" applyNumberFormat="1" applyFont="1" applyFill="1" applyBorder="1" applyAlignment="1">
      <alignment vertical="center" wrapText="1"/>
    </xf>
    <xf numFmtId="4" fontId="6" fillId="0" borderId="17" xfId="1" applyNumberFormat="1" applyFont="1" applyFill="1" applyBorder="1" applyAlignment="1">
      <alignment horizontal="center" vertical="center" wrapText="1"/>
    </xf>
    <xf numFmtId="4" fontId="6" fillId="0" borderId="17" xfId="1" applyNumberFormat="1" applyFont="1" applyFill="1" applyBorder="1" applyAlignment="1">
      <alignment horizontal="left" vertical="center" wrapText="1"/>
    </xf>
    <xf numFmtId="4" fontId="5" fillId="0" borderId="0" xfId="1" applyNumberFormat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4" fontId="6" fillId="2" borderId="14" xfId="1" applyNumberFormat="1" applyFont="1" applyFill="1" applyBorder="1" applyAlignment="1">
      <alignment horizontal="center" vertical="center" wrapText="1"/>
    </xf>
    <xf numFmtId="4" fontId="4" fillId="2" borderId="14" xfId="1" applyNumberFormat="1" applyFont="1" applyFill="1" applyBorder="1" applyAlignment="1">
      <alignment horizontal="left" vertical="center" wrapText="1"/>
    </xf>
    <xf numFmtId="4" fontId="6" fillId="2" borderId="14" xfId="1" applyNumberFormat="1" applyFont="1" applyFill="1" applyBorder="1" applyAlignment="1">
      <alignment horizontal="right" vertical="center" wrapText="1"/>
    </xf>
    <xf numFmtId="4" fontId="6" fillId="2" borderId="14" xfId="1" applyNumberFormat="1" applyFont="1" applyFill="1" applyBorder="1" applyAlignment="1">
      <alignment vertical="center" wrapText="1"/>
    </xf>
    <xf numFmtId="4" fontId="7" fillId="2" borderId="14" xfId="1" applyNumberFormat="1" applyFont="1" applyFill="1" applyBorder="1" applyAlignment="1">
      <alignment horizontal="left" vertical="center" wrapText="1"/>
    </xf>
    <xf numFmtId="4" fontId="4" fillId="0" borderId="0" xfId="1" applyNumberFormat="1" applyFont="1" applyAlignment="1">
      <alignment horizontal="center" vertical="center" wrapText="1"/>
    </xf>
    <xf numFmtId="4" fontId="4" fillId="2" borderId="19" xfId="2" applyNumberFormat="1" applyFont="1" applyFill="1" applyBorder="1" applyAlignment="1">
      <alignment horizontal="center" vertical="center" wrapText="1"/>
    </xf>
    <xf numFmtId="4" fontId="4" fillId="0" borderId="20" xfId="1" applyNumberFormat="1" applyFont="1" applyFill="1" applyBorder="1" applyAlignment="1">
      <alignment horizontal="left" vertical="center" wrapText="1"/>
    </xf>
    <xf numFmtId="4" fontId="4" fillId="0" borderId="20" xfId="1" applyNumberFormat="1" applyFont="1" applyFill="1" applyBorder="1" applyAlignment="1">
      <alignment horizontal="center" vertical="center" wrapText="1"/>
    </xf>
    <xf numFmtId="4" fontId="4" fillId="0" borderId="21" xfId="1" applyNumberFormat="1" applyFont="1" applyFill="1" applyBorder="1" applyAlignment="1">
      <alignment horizontal="center" vertical="center" wrapText="1"/>
    </xf>
    <xf numFmtId="4" fontId="2" fillId="0" borderId="0" xfId="1" applyNumberFormat="1" applyFont="1" applyAlignment="1">
      <alignment vertical="center" wrapText="1"/>
    </xf>
    <xf numFmtId="4" fontId="10" fillId="0" borderId="0" xfId="3" applyNumberFormat="1" applyFont="1" applyAlignment="1">
      <alignment vertical="center" wrapText="1"/>
    </xf>
    <xf numFmtId="4" fontId="3" fillId="0" borderId="0" xfId="2" applyNumberFormat="1" applyFont="1" applyAlignment="1">
      <alignment vertical="center" wrapText="1"/>
    </xf>
    <xf numFmtId="4" fontId="11" fillId="0" borderId="0" xfId="1" applyNumberFormat="1" applyFont="1" applyAlignment="1">
      <alignment vertical="center" wrapText="1"/>
    </xf>
    <xf numFmtId="168" fontId="13" fillId="0" borderId="0" xfId="4" applyNumberFormat="1" applyFont="1" applyAlignment="1">
      <alignment horizontal="center" vertical="center" wrapText="1"/>
    </xf>
    <xf numFmtId="3" fontId="10" fillId="0" borderId="0" xfId="3" applyNumberFormat="1" applyFont="1" applyAlignment="1">
      <alignment horizontal="center" vertical="center" wrapText="1"/>
    </xf>
    <xf numFmtId="4" fontId="15" fillId="5" borderId="1" xfId="3" applyNumberFormat="1" applyFont="1" applyFill="1" applyBorder="1" applyAlignment="1">
      <alignment vertical="center" wrapText="1"/>
    </xf>
    <xf numFmtId="4" fontId="10" fillId="5" borderId="1" xfId="3" applyNumberFormat="1" applyFont="1" applyFill="1" applyBorder="1" applyAlignment="1">
      <alignment vertical="center" wrapText="1"/>
    </xf>
    <xf numFmtId="10" fontId="10" fillId="5" borderId="1" xfId="4" applyNumberFormat="1" applyFont="1" applyFill="1" applyBorder="1" applyAlignment="1">
      <alignment vertical="center" wrapText="1"/>
    </xf>
    <xf numFmtId="4" fontId="10" fillId="0" borderId="0" xfId="3" applyNumberFormat="1" applyFont="1" applyBorder="1" applyAlignment="1">
      <alignment vertical="center" wrapText="1"/>
    </xf>
    <xf numFmtId="4" fontId="15" fillId="0" borderId="1" xfId="3" applyNumberFormat="1" applyFont="1" applyBorder="1" applyAlignment="1">
      <alignment vertical="center" wrapText="1"/>
    </xf>
    <xf numFmtId="4" fontId="10" fillId="0" borderId="1" xfId="3" applyNumberFormat="1" applyFont="1" applyBorder="1" applyAlignment="1">
      <alignment vertical="center" wrapText="1"/>
    </xf>
    <xf numFmtId="10" fontId="10" fillId="0" borderId="1" xfId="4" applyNumberFormat="1" applyFont="1" applyBorder="1" applyAlignment="1">
      <alignment vertical="center" wrapText="1"/>
    </xf>
    <xf numFmtId="169" fontId="10" fillId="0" borderId="0" xfId="3" applyNumberFormat="1" applyFont="1" applyBorder="1" applyAlignment="1">
      <alignment vertical="center" wrapText="1"/>
    </xf>
    <xf numFmtId="170" fontId="10" fillId="0" borderId="0" xfId="5" applyNumberFormat="1" applyFont="1" applyAlignment="1">
      <alignment vertical="center" wrapText="1"/>
    </xf>
    <xf numFmtId="3" fontId="15" fillId="0" borderId="0" xfId="3" applyNumberFormat="1" applyFont="1" applyAlignment="1">
      <alignment horizontal="center" vertical="center" wrapText="1"/>
    </xf>
    <xf numFmtId="4" fontId="15" fillId="0" borderId="0" xfId="3" applyNumberFormat="1" applyFont="1" applyAlignment="1">
      <alignment vertical="center" wrapText="1"/>
    </xf>
    <xf numFmtId="171" fontId="10" fillId="0" borderId="0" xfId="5" applyNumberFormat="1" applyFont="1" applyAlignment="1">
      <alignment vertical="center" wrapText="1"/>
    </xf>
    <xf numFmtId="4" fontId="15" fillId="5" borderId="17" xfId="3" applyNumberFormat="1" applyFont="1" applyFill="1" applyBorder="1" applyAlignment="1">
      <alignment vertical="center" wrapText="1"/>
    </xf>
    <xf numFmtId="172" fontId="15" fillId="0" borderId="0" xfId="5" applyNumberFormat="1" applyFont="1" applyAlignment="1">
      <alignment vertical="center" wrapText="1"/>
    </xf>
    <xf numFmtId="4" fontId="15" fillId="5" borderId="0" xfId="3" applyNumberFormat="1" applyFont="1" applyFill="1" applyBorder="1" applyAlignment="1">
      <alignment horizontal="left" vertical="center" wrapText="1"/>
    </xf>
    <xf numFmtId="173" fontId="10" fillId="0" borderId="0" xfId="3" applyNumberFormat="1" applyFont="1" applyAlignment="1">
      <alignment vertical="center" wrapText="1"/>
    </xf>
    <xf numFmtId="10" fontId="10" fillId="0" borderId="0" xfId="6" applyNumberFormat="1" applyFont="1" applyAlignment="1">
      <alignment vertical="center" wrapText="1"/>
    </xf>
    <xf numFmtId="3" fontId="15" fillId="0" borderId="1" xfId="3" applyNumberFormat="1" applyFont="1" applyBorder="1" applyAlignment="1">
      <alignment horizontal="center" vertical="center" wrapText="1"/>
    </xf>
    <xf numFmtId="4" fontId="15" fillId="0" borderId="0" xfId="3" applyNumberFormat="1" applyFont="1" applyBorder="1" applyAlignment="1">
      <alignment horizontal="center" vertical="center" wrapText="1"/>
    </xf>
    <xf numFmtId="174" fontId="15" fillId="0" borderId="0" xfId="6" applyNumberFormat="1" applyFont="1" applyAlignment="1">
      <alignment horizontal="center" vertical="center" wrapText="1"/>
    </xf>
    <xf numFmtId="172" fontId="15" fillId="0" borderId="0" xfId="6" applyNumberFormat="1" applyFont="1" applyAlignment="1">
      <alignment horizontal="center" vertical="center" wrapText="1"/>
    </xf>
    <xf numFmtId="4" fontId="15" fillId="0" borderId="0" xfId="3" applyNumberFormat="1" applyFont="1" applyBorder="1" applyAlignment="1">
      <alignment horizontal="left" vertical="center" wrapText="1"/>
    </xf>
    <xf numFmtId="4" fontId="10" fillId="0" borderId="1" xfId="3" applyNumberFormat="1" applyFont="1" applyFill="1" applyBorder="1" applyAlignment="1">
      <alignment vertical="center" wrapText="1"/>
    </xf>
    <xf numFmtId="4" fontId="10" fillId="0" borderId="1" xfId="3" applyNumberFormat="1" applyFont="1" applyBorder="1" applyAlignment="1">
      <alignment horizontal="center" vertical="center" wrapText="1"/>
    </xf>
    <xf numFmtId="171" fontId="10" fillId="0" borderId="1" xfId="4" applyNumberFormat="1" applyFont="1" applyBorder="1" applyAlignment="1">
      <alignment vertical="center" wrapText="1"/>
    </xf>
    <xf numFmtId="4" fontId="10" fillId="0" borderId="0" xfId="3" applyNumberFormat="1" applyFont="1" applyAlignment="1">
      <alignment horizontal="center" vertical="center" wrapText="1"/>
    </xf>
    <xf numFmtId="4" fontId="15" fillId="5" borderId="1" xfId="3" applyNumberFormat="1" applyFont="1" applyFill="1" applyBorder="1" applyAlignment="1">
      <alignment horizontal="center" vertical="center" wrapText="1"/>
    </xf>
    <xf numFmtId="171" fontId="15" fillId="5" borderId="1" xfId="5" applyNumberFormat="1" applyFont="1" applyFill="1" applyBorder="1" applyAlignment="1">
      <alignment vertical="center" wrapText="1"/>
    </xf>
    <xf numFmtId="10" fontId="15" fillId="5" borderId="1" xfId="4" applyNumberFormat="1" applyFont="1" applyFill="1" applyBorder="1" applyAlignment="1">
      <alignment vertical="center" wrapText="1"/>
    </xf>
    <xf numFmtId="10" fontId="15" fillId="5" borderId="1" xfId="5" applyNumberFormat="1" applyFont="1" applyFill="1" applyBorder="1" applyAlignment="1">
      <alignment vertical="center" wrapText="1"/>
    </xf>
    <xf numFmtId="4" fontId="10" fillId="0" borderId="17" xfId="3" applyNumberFormat="1" applyFont="1" applyBorder="1" applyAlignment="1">
      <alignment vertical="center" wrapText="1"/>
    </xf>
    <xf numFmtId="10" fontId="15" fillId="0" borderId="1" xfId="4" applyNumberFormat="1" applyFont="1" applyBorder="1" applyAlignment="1">
      <alignment vertical="center" wrapText="1"/>
    </xf>
    <xf numFmtId="4" fontId="15" fillId="0" borderId="8" xfId="3" applyNumberFormat="1" applyFont="1" applyBorder="1" applyAlignment="1">
      <alignment horizontal="center" vertical="center" wrapText="1"/>
    </xf>
    <xf numFmtId="10" fontId="6" fillId="0" borderId="1" xfId="6" applyNumberFormat="1" applyFont="1" applyBorder="1" applyAlignment="1">
      <alignment horizontal="center" vertical="center" wrapText="1"/>
    </xf>
    <xf numFmtId="4" fontId="6" fillId="0" borderId="1" xfId="3" applyNumberFormat="1" applyFont="1" applyBorder="1" applyAlignment="1">
      <alignment horizontal="center" vertical="center" wrapText="1"/>
    </xf>
    <xf numFmtId="10" fontId="15" fillId="5" borderId="0" xfId="6" applyNumberFormat="1" applyFont="1" applyFill="1" applyBorder="1" applyAlignment="1">
      <alignment vertical="center" wrapText="1"/>
    </xf>
    <xf numFmtId="10" fontId="15" fillId="5" borderId="1" xfId="6" applyNumberFormat="1" applyFont="1" applyFill="1" applyBorder="1" applyAlignment="1">
      <alignment vertical="center" wrapText="1"/>
    </xf>
    <xf numFmtId="0" fontId="13" fillId="5" borderId="22" xfId="3" applyFont="1" applyFill="1" applyBorder="1" applyAlignment="1">
      <alignment vertical="center" wrapText="1"/>
    </xf>
    <xf numFmtId="172" fontId="4" fillId="5" borderId="8" xfId="3" applyNumberFormat="1" applyFont="1" applyFill="1" applyBorder="1" applyAlignment="1">
      <alignment vertical="center" wrapText="1"/>
    </xf>
    <xf numFmtId="4" fontId="6" fillId="6" borderId="0" xfId="7" applyNumberFormat="1" applyFont="1" applyFill="1" applyAlignment="1">
      <alignment vertical="center"/>
    </xf>
    <xf numFmtId="174" fontId="15" fillId="0" borderId="0" xfId="4" applyNumberFormat="1" applyFont="1" applyBorder="1" applyAlignment="1">
      <alignment horizontal="left" vertical="center" wrapText="1"/>
    </xf>
    <xf numFmtId="175" fontId="10" fillId="0" borderId="0" xfId="5" applyNumberFormat="1" applyFont="1" applyAlignment="1">
      <alignment vertical="center" wrapText="1"/>
    </xf>
    <xf numFmtId="176" fontId="10" fillId="0" borderId="0" xfId="5" applyNumberFormat="1" applyFont="1" applyAlignment="1">
      <alignment vertical="center" wrapText="1"/>
    </xf>
    <xf numFmtId="172" fontId="17" fillId="0" borderId="0" xfId="5" applyNumberFormat="1" applyFont="1" applyAlignment="1">
      <alignment vertical="center" wrapText="1"/>
    </xf>
    <xf numFmtId="4" fontId="3" fillId="0" borderId="3" xfId="2" applyNumberFormat="1" applyFont="1" applyBorder="1" applyAlignment="1">
      <alignment vertical="center" wrapText="1"/>
    </xf>
    <xf numFmtId="177" fontId="10" fillId="0" borderId="0" xfId="5" applyNumberFormat="1" applyFont="1" applyAlignment="1">
      <alignment vertical="center" wrapText="1"/>
    </xf>
    <xf numFmtId="0" fontId="6" fillId="0" borderId="0" xfId="2" applyFont="1" applyFill="1"/>
    <xf numFmtId="0" fontId="7" fillId="0" borderId="1" xfId="2" applyFont="1" applyFill="1" applyBorder="1" applyAlignment="1">
      <alignment horizontal="center"/>
    </xf>
    <xf numFmtId="0" fontId="6" fillId="0" borderId="0" xfId="2" applyFont="1" applyFill="1" applyAlignment="1">
      <alignment horizontal="center"/>
    </xf>
    <xf numFmtId="178" fontId="6" fillId="0" borderId="0" xfId="2" applyNumberFormat="1" applyFont="1" applyFill="1"/>
    <xf numFmtId="0" fontId="3" fillId="0" borderId="0" xfId="2" applyFont="1" applyFill="1"/>
    <xf numFmtId="0" fontId="6" fillId="0" borderId="0" xfId="2" applyFont="1" applyFill="1" applyAlignment="1">
      <alignment vertical="center" wrapText="1"/>
    </xf>
    <xf numFmtId="179" fontId="6" fillId="0" borderId="14" xfId="8" applyNumberFormat="1" applyFont="1" applyFill="1" applyBorder="1"/>
    <xf numFmtId="4" fontId="6" fillId="0" borderId="0" xfId="2" applyNumberFormat="1" applyFont="1" applyFill="1"/>
    <xf numFmtId="0" fontId="19" fillId="0" borderId="0" xfId="9" applyFont="1" applyFill="1" applyAlignment="1" applyProtection="1">
      <alignment horizontal="left"/>
    </xf>
    <xf numFmtId="0" fontId="17" fillId="0" borderId="0" xfId="2" applyFont="1" applyFill="1"/>
    <xf numFmtId="0" fontId="20" fillId="0" borderId="23" xfId="2" applyFont="1" applyFill="1" applyBorder="1" applyAlignment="1">
      <alignment horizontal="centerContinuous" vertical="center"/>
    </xf>
    <xf numFmtId="0" fontId="20" fillId="0" borderId="24" xfId="2" applyFont="1" applyFill="1" applyBorder="1" applyAlignment="1">
      <alignment horizontal="centerContinuous" vertical="center"/>
    </xf>
    <xf numFmtId="0" fontId="6" fillId="0" borderId="25" xfId="2" applyFont="1" applyFill="1" applyBorder="1" applyAlignment="1">
      <alignment horizontal="centerContinuous" vertical="center"/>
    </xf>
    <xf numFmtId="0" fontId="4" fillId="0" borderId="26" xfId="2" applyFont="1" applyFill="1" applyBorder="1" applyAlignment="1">
      <alignment horizontal="centerContinuous" vertical="center"/>
    </xf>
    <xf numFmtId="0" fontId="20" fillId="0" borderId="0" xfId="2" applyFont="1" applyFill="1" applyBorder="1" applyAlignment="1">
      <alignment horizontal="centerContinuous" vertical="center"/>
    </xf>
    <xf numFmtId="0" fontId="21" fillId="0" borderId="27" xfId="2" applyFont="1" applyFill="1" applyBorder="1" applyAlignment="1">
      <alignment horizontal="centerContinuous" vertical="center"/>
    </xf>
    <xf numFmtId="0" fontId="7" fillId="0" borderId="28" xfId="2" applyFont="1" applyFill="1" applyBorder="1" applyAlignment="1">
      <alignment horizontal="centerContinuous" vertical="center"/>
    </xf>
    <xf numFmtId="0" fontId="21" fillId="0" borderId="29" xfId="2" applyFont="1" applyFill="1" applyBorder="1" applyAlignment="1">
      <alignment horizontal="centerContinuous" vertical="center"/>
    </xf>
    <xf numFmtId="0" fontId="21" fillId="0" borderId="30" xfId="2" applyFont="1" applyFill="1" applyBorder="1" applyAlignment="1">
      <alignment horizontal="centerContinuous" vertical="center"/>
    </xf>
    <xf numFmtId="0" fontId="20" fillId="0" borderId="0" xfId="2" quotePrefix="1" applyFont="1" applyFill="1" applyAlignment="1">
      <alignment horizontal="left" vertical="center"/>
    </xf>
    <xf numFmtId="0" fontId="21" fillId="0" borderId="0" xfId="2" applyFont="1" applyFill="1" applyAlignment="1">
      <alignment vertical="center"/>
    </xf>
    <xf numFmtId="0" fontId="20" fillId="0" borderId="0" xfId="2" quotePrefix="1" applyFont="1" applyFill="1" applyBorder="1" applyAlignment="1">
      <alignment horizontal="left"/>
    </xf>
    <xf numFmtId="0" fontId="20" fillId="0" borderId="0" xfId="2" applyFont="1" applyFill="1" applyBorder="1"/>
    <xf numFmtId="0" fontId="21" fillId="0" borderId="0" xfId="2" applyFont="1" applyFill="1" applyBorder="1"/>
    <xf numFmtId="0" fontId="6" fillId="0" borderId="0" xfId="2" applyFont="1" applyFill="1" applyBorder="1"/>
    <xf numFmtId="0" fontId="20" fillId="0" borderId="0" xfId="2" applyFont="1" applyFill="1" applyBorder="1" applyAlignment="1">
      <alignment horizontal="right"/>
    </xf>
    <xf numFmtId="0" fontId="20" fillId="0" borderId="0" xfId="2" applyFont="1" applyFill="1" applyBorder="1" applyAlignment="1">
      <alignment horizontal="right" vertical="center"/>
    </xf>
    <xf numFmtId="0" fontId="17" fillId="0" borderId="0" xfId="2" applyFont="1" applyFill="1" applyBorder="1"/>
    <xf numFmtId="0" fontId="3" fillId="0" borderId="0" xfId="2" applyFont="1" applyFill="1" applyBorder="1"/>
    <xf numFmtId="0" fontId="20" fillId="0" borderId="0" xfId="2" applyFont="1" applyFill="1"/>
    <xf numFmtId="0" fontId="21" fillId="0" borderId="0" xfId="2" applyFont="1" applyFill="1"/>
    <xf numFmtId="0" fontId="7" fillId="0" borderId="0" xfId="2" applyFont="1" applyFill="1"/>
    <xf numFmtId="0" fontId="21" fillId="0" borderId="33" xfId="2" applyFont="1" applyFill="1" applyBorder="1" applyAlignment="1">
      <alignment horizontal="center"/>
    </xf>
    <xf numFmtId="0" fontId="21" fillId="0" borderId="33" xfId="2" quotePrefix="1" applyFont="1" applyFill="1" applyBorder="1" applyAlignment="1">
      <alignment horizontal="center"/>
    </xf>
    <xf numFmtId="0" fontId="21" fillId="0" borderId="32" xfId="2" applyFont="1" applyFill="1" applyBorder="1" applyAlignment="1">
      <alignment horizontal="center"/>
    </xf>
    <xf numFmtId="0" fontId="21" fillId="0" borderId="34" xfId="2" applyFont="1" applyFill="1" applyBorder="1"/>
    <xf numFmtId="3" fontId="21" fillId="0" borderId="1" xfId="2" applyNumberFormat="1" applyFont="1" applyFill="1" applyBorder="1" applyAlignment="1">
      <alignment horizontal="center"/>
    </xf>
    <xf numFmtId="3" fontId="21" fillId="0" borderId="1" xfId="2" applyNumberFormat="1" applyFont="1" applyFill="1" applyBorder="1"/>
    <xf numFmtId="4" fontId="21" fillId="0" borderId="1" xfId="2" applyNumberFormat="1" applyFont="1" applyFill="1" applyBorder="1"/>
    <xf numFmtId="4" fontId="21" fillId="0" borderId="7" xfId="2" applyNumberFormat="1" applyFont="1" applyFill="1" applyBorder="1"/>
    <xf numFmtId="0" fontId="21" fillId="0" borderId="36" xfId="2" applyFont="1" applyFill="1" applyBorder="1"/>
    <xf numFmtId="4" fontId="17" fillId="0" borderId="0" xfId="2" applyNumberFormat="1" applyFont="1" applyFill="1"/>
    <xf numFmtId="0" fontId="21" fillId="0" borderId="35" xfId="2" applyFont="1" applyFill="1" applyBorder="1" applyAlignment="1">
      <alignment horizontal="left"/>
    </xf>
    <xf numFmtId="0" fontId="21" fillId="0" borderId="22" xfId="2" applyFont="1" applyFill="1" applyBorder="1" applyAlignment="1">
      <alignment horizontal="left"/>
    </xf>
    <xf numFmtId="0" fontId="21" fillId="0" borderId="8" xfId="2" applyFont="1" applyFill="1" applyBorder="1" applyAlignment="1">
      <alignment horizontal="left"/>
    </xf>
    <xf numFmtId="3" fontId="21" fillId="0" borderId="17" xfId="2" applyNumberFormat="1" applyFont="1" applyFill="1" applyBorder="1" applyAlignment="1">
      <alignment horizontal="center"/>
    </xf>
    <xf numFmtId="4" fontId="21" fillId="0" borderId="17" xfId="2" applyNumberFormat="1" applyFont="1" applyFill="1" applyBorder="1"/>
    <xf numFmtId="4" fontId="21" fillId="0" borderId="37" xfId="2" applyNumberFormat="1" applyFont="1" applyFill="1" applyBorder="1"/>
    <xf numFmtId="3" fontId="21" fillId="0" borderId="41" xfId="2" applyNumberFormat="1" applyFont="1" applyFill="1" applyBorder="1" applyAlignment="1">
      <alignment horizontal="center"/>
    </xf>
    <xf numFmtId="3" fontId="21" fillId="0" borderId="41" xfId="2" applyNumberFormat="1" applyFont="1" applyFill="1" applyBorder="1"/>
    <xf numFmtId="4" fontId="21" fillId="0" borderId="41" xfId="2" applyNumberFormat="1" applyFont="1" applyFill="1" applyBorder="1"/>
    <xf numFmtId="4" fontId="21" fillId="0" borderId="42" xfId="2" applyNumberFormat="1" applyFont="1" applyFill="1" applyBorder="1"/>
    <xf numFmtId="0" fontId="21" fillId="0" borderId="43" xfId="2" applyFont="1" applyFill="1" applyBorder="1"/>
    <xf numFmtId="0" fontId="20" fillId="0" borderId="0" xfId="2" applyFont="1" applyFill="1" applyAlignment="1">
      <alignment horizontal="center"/>
    </xf>
    <xf numFmtId="4" fontId="21" fillId="0" borderId="44" xfId="2" applyNumberFormat="1" applyFont="1" applyFill="1" applyBorder="1"/>
    <xf numFmtId="0" fontId="21" fillId="0" borderId="35" xfId="2" applyFont="1" applyFill="1" applyBorder="1" applyAlignment="1">
      <alignment horizontal="center"/>
    </xf>
    <xf numFmtId="0" fontId="21" fillId="0" borderId="22" xfId="2" applyFont="1" applyFill="1" applyBorder="1" applyAlignment="1">
      <alignment horizontal="center"/>
    </xf>
    <xf numFmtId="0" fontId="21" fillId="0" borderId="8" xfId="2" applyFont="1" applyFill="1" applyBorder="1" applyAlignment="1">
      <alignment horizontal="center"/>
    </xf>
    <xf numFmtId="0" fontId="21" fillId="0" borderId="13" xfId="2" applyFont="1" applyFill="1" applyBorder="1" applyAlignment="1">
      <alignment horizontal="center"/>
    </xf>
    <xf numFmtId="0" fontId="21" fillId="0" borderId="3" xfId="2" applyFont="1" applyFill="1" applyBorder="1" applyAlignment="1">
      <alignment horizontal="center"/>
    </xf>
    <xf numFmtId="0" fontId="21" fillId="0" borderId="35" xfId="2" applyFont="1" applyFill="1" applyBorder="1"/>
    <xf numFmtId="0" fontId="21" fillId="0" borderId="22" xfId="2" applyFont="1" applyFill="1" applyBorder="1"/>
    <xf numFmtId="0" fontId="21" fillId="0" borderId="8" xfId="2" applyFont="1" applyFill="1" applyBorder="1"/>
    <xf numFmtId="181" fontId="21" fillId="0" borderId="1" xfId="2" applyNumberFormat="1" applyFont="1" applyFill="1" applyBorder="1"/>
    <xf numFmtId="3" fontId="21" fillId="0" borderId="17" xfId="2" applyNumberFormat="1" applyFont="1" applyFill="1" applyBorder="1"/>
    <xf numFmtId="181" fontId="21" fillId="0" borderId="17" xfId="2" applyNumberFormat="1" applyFont="1" applyFill="1" applyBorder="1"/>
    <xf numFmtId="0" fontId="21" fillId="0" borderId="38" xfId="2" applyFont="1" applyFill="1" applyBorder="1"/>
    <xf numFmtId="0" fontId="21" fillId="0" borderId="39" xfId="2" applyFont="1" applyFill="1" applyBorder="1"/>
    <xf numFmtId="0" fontId="21" fillId="0" borderId="40" xfId="2" applyFont="1" applyFill="1" applyBorder="1"/>
    <xf numFmtId="0" fontId="7" fillId="0" borderId="0" xfId="2" applyFont="1" applyFill="1" applyBorder="1"/>
    <xf numFmtId="0" fontId="21" fillId="0" borderId="45" xfId="2" applyFont="1" applyFill="1" applyBorder="1"/>
    <xf numFmtId="0" fontId="21" fillId="0" borderId="31" xfId="2" applyFont="1" applyFill="1" applyBorder="1"/>
    <xf numFmtId="0" fontId="21" fillId="0" borderId="33" xfId="2" applyFont="1" applyFill="1" applyBorder="1"/>
    <xf numFmtId="0" fontId="21" fillId="0" borderId="13" xfId="2" applyFont="1" applyFill="1" applyBorder="1" applyAlignment="1"/>
    <xf numFmtId="0" fontId="21" fillId="0" borderId="46" xfId="2" applyFont="1" applyFill="1" applyBorder="1" applyAlignment="1">
      <alignment horizontal="center"/>
    </xf>
    <xf numFmtId="167" fontId="21" fillId="0" borderId="8" xfId="2" applyNumberFormat="1" applyFont="1" applyFill="1" applyBorder="1" applyAlignment="1">
      <alignment horizontal="center"/>
    </xf>
    <xf numFmtId="167" fontId="21" fillId="0" borderId="1" xfId="2" applyNumberFormat="1" applyFont="1" applyFill="1" applyBorder="1" applyAlignment="1">
      <alignment horizontal="center"/>
    </xf>
    <xf numFmtId="3" fontId="21" fillId="0" borderId="1" xfId="2" applyNumberFormat="1" applyFont="1" applyFill="1" applyBorder="1" applyAlignment="1">
      <alignment horizontal="right"/>
    </xf>
    <xf numFmtId="4" fontId="21" fillId="0" borderId="1" xfId="2" applyNumberFormat="1" applyFont="1" applyFill="1" applyBorder="1" applyAlignment="1">
      <alignment horizontal="center"/>
    </xf>
    <xf numFmtId="167" fontId="21" fillId="0" borderId="1" xfId="2" applyNumberFormat="1" applyFont="1" applyFill="1" applyBorder="1"/>
    <xf numFmtId="3" fontId="21" fillId="0" borderId="40" xfId="2" applyNumberFormat="1" applyFont="1" applyFill="1" applyBorder="1" applyAlignment="1">
      <alignment horizontal="center"/>
    </xf>
    <xf numFmtId="0" fontId="21" fillId="0" borderId="47" xfId="2" applyFont="1" applyFill="1" applyBorder="1" applyAlignment="1">
      <alignment horizontal="center"/>
    </xf>
    <xf numFmtId="182" fontId="21" fillId="0" borderId="8" xfId="2" applyNumberFormat="1" applyFont="1" applyFill="1" applyBorder="1" applyAlignment="1">
      <alignment horizontal="left"/>
    </xf>
    <xf numFmtId="184" fontId="21" fillId="0" borderId="8" xfId="10" applyNumberFormat="1" applyFont="1" applyFill="1" applyBorder="1"/>
    <xf numFmtId="9" fontId="21" fillId="0" borderId="1" xfId="6" applyFont="1" applyFill="1" applyBorder="1" applyAlignment="1">
      <alignment horizontal="center"/>
    </xf>
    <xf numFmtId="4" fontId="21" fillId="0" borderId="48" xfId="2" applyNumberFormat="1" applyFont="1" applyFill="1" applyBorder="1"/>
    <xf numFmtId="185" fontId="21" fillId="0" borderId="8" xfId="10" applyNumberFormat="1" applyFont="1" applyFill="1" applyBorder="1"/>
    <xf numFmtId="3" fontId="21" fillId="0" borderId="40" xfId="2" applyNumberFormat="1" applyFont="1" applyFill="1" applyBorder="1"/>
    <xf numFmtId="0" fontId="21" fillId="0" borderId="49" xfId="2" applyFont="1" applyFill="1" applyBorder="1"/>
    <xf numFmtId="0" fontId="21" fillId="0" borderId="0" xfId="2" applyFont="1" applyFill="1" applyAlignment="1">
      <alignment horizontal="center"/>
    </xf>
    <xf numFmtId="0" fontId="20" fillId="0" borderId="0" xfId="2" applyFont="1" applyFill="1" applyAlignment="1">
      <alignment horizontal="centerContinuous"/>
    </xf>
    <xf numFmtId="0" fontId="21" fillId="0" borderId="0" xfId="2" applyFont="1" applyFill="1" applyAlignment="1">
      <alignment horizontal="centerContinuous"/>
    </xf>
    <xf numFmtId="0" fontId="21" fillId="0" borderId="50" xfId="2" applyFont="1" applyFill="1" applyBorder="1" applyAlignment="1">
      <alignment horizontal="centerContinuous"/>
    </xf>
    <xf numFmtId="0" fontId="21" fillId="0" borderId="32" xfId="2" applyFont="1" applyFill="1" applyBorder="1" applyAlignment="1">
      <alignment horizontal="centerContinuous"/>
    </xf>
    <xf numFmtId="0" fontId="21" fillId="0" borderId="33" xfId="2" applyFont="1" applyFill="1" applyBorder="1" applyAlignment="1">
      <alignment horizontal="centerContinuous"/>
    </xf>
    <xf numFmtId="0" fontId="21" fillId="0" borderId="51" xfId="2" applyFont="1" applyFill="1" applyBorder="1" applyAlignment="1">
      <alignment horizontal="center"/>
    </xf>
    <xf numFmtId="0" fontId="21" fillId="0" borderId="52" xfId="2" applyFont="1" applyFill="1" applyBorder="1" applyAlignment="1">
      <alignment horizontal="center"/>
    </xf>
    <xf numFmtId="9" fontId="21" fillId="0" borderId="8" xfId="2" applyNumberFormat="1" applyFont="1" applyFill="1" applyBorder="1"/>
    <xf numFmtId="4" fontId="21" fillId="0" borderId="22" xfId="2" applyNumberFormat="1" applyFont="1" applyFill="1" applyBorder="1"/>
    <xf numFmtId="0" fontId="21" fillId="0" borderId="53" xfId="2" applyFont="1" applyFill="1" applyBorder="1"/>
    <xf numFmtId="9" fontId="21" fillId="0" borderId="41" xfId="2" applyNumberFormat="1" applyFont="1" applyFill="1" applyBorder="1"/>
    <xf numFmtId="4" fontId="21" fillId="0" borderId="45" xfId="2" applyNumberFormat="1" applyFont="1" applyFill="1" applyBorder="1"/>
    <xf numFmtId="4" fontId="21" fillId="0" borderId="43" xfId="2" applyNumberFormat="1" applyFont="1" applyFill="1" applyBorder="1"/>
    <xf numFmtId="178" fontId="20" fillId="0" borderId="54" xfId="8" applyFont="1" applyFill="1" applyBorder="1"/>
    <xf numFmtId="0" fontId="22" fillId="0" borderId="0" xfId="2" applyFont="1" applyFill="1"/>
    <xf numFmtId="4" fontId="6" fillId="0" borderId="0" xfId="2" applyNumberFormat="1" applyFont="1" applyFill="1" applyAlignment="1">
      <alignment horizontal="center"/>
    </xf>
    <xf numFmtId="4" fontId="7" fillId="0" borderId="0" xfId="2" applyNumberFormat="1" applyFont="1" applyFill="1" applyBorder="1" applyAlignment="1">
      <alignment horizontal="center"/>
    </xf>
    <xf numFmtId="4" fontId="3" fillId="0" borderId="0" xfId="6" applyNumberFormat="1" applyFont="1" applyFill="1" applyBorder="1"/>
    <xf numFmtId="3" fontId="23" fillId="0" borderId="1" xfId="0" applyNumberFormat="1" applyFont="1" applyFill="1" applyBorder="1" applyAlignment="1">
      <alignment horizontal="center" vertical="center" wrapText="1"/>
    </xf>
    <xf numFmtId="4" fontId="23" fillId="0" borderId="1" xfId="0" applyNumberFormat="1" applyFont="1" applyFill="1" applyBorder="1" applyAlignment="1">
      <alignment horizontal="center" vertical="center" wrapText="1"/>
    </xf>
    <xf numFmtId="0" fontId="21" fillId="0" borderId="32" xfId="2" applyFont="1" applyFill="1" applyBorder="1" applyAlignment="1">
      <alignment horizontal="center"/>
    </xf>
    <xf numFmtId="0" fontId="21" fillId="0" borderId="33" xfId="2" applyFont="1" applyFill="1" applyBorder="1" applyAlignment="1">
      <alignment horizontal="center"/>
    </xf>
    <xf numFmtId="0" fontId="21" fillId="0" borderId="35" xfId="2" applyFont="1" applyFill="1" applyBorder="1" applyAlignment="1">
      <alignment horizontal="left"/>
    </xf>
    <xf numFmtId="0" fontId="6" fillId="0" borderId="0" xfId="11" applyFont="1" applyFill="1"/>
    <xf numFmtId="0" fontId="20" fillId="0" borderId="0" xfId="11" quotePrefix="1" applyFont="1" applyFill="1" applyAlignment="1">
      <alignment horizontal="left" vertical="center"/>
    </xf>
    <xf numFmtId="0" fontId="21" fillId="0" borderId="0" xfId="11" applyFont="1" applyFill="1" applyAlignment="1">
      <alignment vertical="center"/>
    </xf>
    <xf numFmtId="0" fontId="20" fillId="0" borderId="0" xfId="11" quotePrefix="1" applyFont="1" applyFill="1" applyBorder="1" applyAlignment="1">
      <alignment horizontal="left"/>
    </xf>
    <xf numFmtId="0" fontId="20" fillId="0" borderId="0" xfId="11" applyFont="1" applyFill="1" applyBorder="1"/>
    <xf numFmtId="0" fontId="21" fillId="0" borderId="0" xfId="11" applyFont="1" applyFill="1" applyBorder="1"/>
    <xf numFmtId="0" fontId="6" fillId="0" borderId="0" xfId="11" applyFont="1" applyFill="1" applyBorder="1"/>
    <xf numFmtId="0" fontId="20" fillId="0" borderId="0" xfId="11" applyFont="1" applyFill="1" applyBorder="1" applyAlignment="1">
      <alignment horizontal="right"/>
    </xf>
    <xf numFmtId="0" fontId="20" fillId="0" borderId="0" xfId="11" applyFont="1" applyFill="1" applyBorder="1" applyAlignment="1">
      <alignment horizontal="right" vertical="center"/>
    </xf>
    <xf numFmtId="0" fontId="20" fillId="0" borderId="0" xfId="11" applyFont="1" applyFill="1"/>
    <xf numFmtId="0" fontId="21" fillId="0" borderId="0" xfId="11" applyFont="1" applyFill="1"/>
    <xf numFmtId="0" fontId="7" fillId="0" borderId="0" xfId="11" applyFont="1" applyFill="1"/>
    <xf numFmtId="0" fontId="21" fillId="0" borderId="31" xfId="11" applyFont="1" applyFill="1" applyBorder="1" applyAlignment="1">
      <alignment horizontal="center"/>
    </xf>
    <xf numFmtId="0" fontId="21" fillId="0" borderId="33" xfId="11" applyFont="1" applyFill="1" applyBorder="1" applyAlignment="1">
      <alignment horizontal="center"/>
    </xf>
    <xf numFmtId="0" fontId="21" fillId="0" borderId="33" xfId="11" quotePrefix="1" applyFont="1" applyFill="1" applyBorder="1" applyAlignment="1">
      <alignment horizontal="center"/>
    </xf>
    <xf numFmtId="0" fontId="21" fillId="0" borderId="32" xfId="11" applyFont="1" applyFill="1" applyBorder="1" applyAlignment="1">
      <alignment horizontal="center"/>
    </xf>
    <xf numFmtId="0" fontId="21" fillId="0" borderId="34" xfId="11" applyFont="1" applyFill="1" applyBorder="1"/>
    <xf numFmtId="0" fontId="21" fillId="0" borderId="35" xfId="11" applyFont="1" applyFill="1" applyBorder="1" applyAlignment="1">
      <alignment horizontal="left"/>
    </xf>
    <xf numFmtId="0" fontId="21" fillId="0" borderId="22" xfId="11" applyFont="1" applyFill="1" applyBorder="1" applyAlignment="1">
      <alignment horizontal="left"/>
    </xf>
    <xf numFmtId="0" fontId="21" fillId="0" borderId="8" xfId="11" applyFont="1" applyFill="1" applyBorder="1" applyAlignment="1">
      <alignment horizontal="left"/>
    </xf>
    <xf numFmtId="3" fontId="21" fillId="0" borderId="1" xfId="11" applyNumberFormat="1" applyFont="1" applyFill="1" applyBorder="1" applyAlignment="1">
      <alignment horizontal="center"/>
    </xf>
    <xf numFmtId="3" fontId="21" fillId="0" borderId="1" xfId="11" applyNumberFormat="1" applyFont="1" applyFill="1" applyBorder="1"/>
    <xf numFmtId="4" fontId="21" fillId="0" borderId="1" xfId="11" applyNumberFormat="1" applyFont="1" applyFill="1" applyBorder="1"/>
    <xf numFmtId="4" fontId="21" fillId="0" borderId="7" xfId="11" applyNumberFormat="1" applyFont="1" applyFill="1" applyBorder="1"/>
    <xf numFmtId="0" fontId="21" fillId="0" borderId="36" xfId="11" applyFont="1" applyFill="1" applyBorder="1"/>
    <xf numFmtId="0" fontId="21" fillId="0" borderId="35" xfId="11" applyFont="1" applyFill="1" applyBorder="1" applyAlignment="1">
      <alignment horizontal="justify" vertical="justify" wrapText="1"/>
    </xf>
    <xf numFmtId="0" fontId="21" fillId="0" borderId="22" xfId="11" applyFont="1" applyFill="1" applyBorder="1" applyAlignment="1">
      <alignment horizontal="justify" vertical="justify" wrapText="1"/>
    </xf>
    <xf numFmtId="0" fontId="21" fillId="0" borderId="8" xfId="11" applyFont="1" applyFill="1" applyBorder="1" applyAlignment="1">
      <alignment horizontal="justify" vertical="justify" wrapText="1"/>
    </xf>
    <xf numFmtId="3" fontId="21" fillId="0" borderId="17" xfId="11" applyNumberFormat="1" applyFont="1" applyFill="1" applyBorder="1" applyAlignment="1">
      <alignment horizontal="center"/>
    </xf>
    <xf numFmtId="4" fontId="21" fillId="0" borderId="17" xfId="11" applyNumberFormat="1" applyFont="1" applyFill="1" applyBorder="1"/>
    <xf numFmtId="181" fontId="21" fillId="0" borderId="1" xfId="11" applyNumberFormat="1" applyFont="1" applyFill="1" applyBorder="1"/>
    <xf numFmtId="3" fontId="21" fillId="0" borderId="17" xfId="11" applyNumberFormat="1" applyFont="1" applyFill="1" applyBorder="1"/>
    <xf numFmtId="186" fontId="21" fillId="0" borderId="1" xfId="11" applyNumberFormat="1" applyFont="1" applyFill="1" applyBorder="1"/>
    <xf numFmtId="3" fontId="21" fillId="0" borderId="41" xfId="11" applyNumberFormat="1" applyFont="1" applyFill="1" applyBorder="1" applyAlignment="1">
      <alignment horizontal="center"/>
    </xf>
    <xf numFmtId="3" fontId="21" fillId="0" borderId="41" xfId="11" applyNumberFormat="1" applyFont="1" applyFill="1" applyBorder="1"/>
    <xf numFmtId="4" fontId="21" fillId="0" borderId="41" xfId="11" applyNumberFormat="1" applyFont="1" applyFill="1" applyBorder="1"/>
    <xf numFmtId="4" fontId="21" fillId="0" borderId="42" xfId="11" applyNumberFormat="1" applyFont="1" applyFill="1" applyBorder="1"/>
    <xf numFmtId="0" fontId="21" fillId="0" borderId="43" xfId="11" applyFont="1" applyFill="1" applyBorder="1"/>
    <xf numFmtId="0" fontId="20" fillId="0" borderId="0" xfId="11" applyFont="1" applyFill="1" applyAlignment="1">
      <alignment horizontal="center"/>
    </xf>
    <xf numFmtId="4" fontId="21" fillId="0" borderId="44" xfId="11" applyNumberFormat="1" applyFont="1" applyFill="1" applyBorder="1"/>
    <xf numFmtId="0" fontId="21" fillId="0" borderId="35" xfId="11" applyFont="1" applyFill="1" applyBorder="1"/>
    <xf numFmtId="0" fontId="21" fillId="0" borderId="22" xfId="11" applyFont="1" applyFill="1" applyBorder="1"/>
    <xf numFmtId="0" fontId="21" fillId="0" borderId="8" xfId="11" applyFont="1" applyFill="1" applyBorder="1"/>
    <xf numFmtId="181" fontId="21" fillId="0" borderId="17" xfId="11" applyNumberFormat="1" applyFont="1" applyFill="1" applyBorder="1"/>
    <xf numFmtId="4" fontId="21" fillId="0" borderId="37" xfId="11" applyNumberFormat="1" applyFont="1" applyFill="1" applyBorder="1"/>
    <xf numFmtId="0" fontId="21" fillId="0" borderId="38" xfId="11" applyFont="1" applyFill="1" applyBorder="1"/>
    <xf numFmtId="0" fontId="21" fillId="0" borderId="39" xfId="11" applyFont="1" applyFill="1" applyBorder="1"/>
    <xf numFmtId="0" fontId="21" fillId="0" borderId="40" xfId="11" applyFont="1" applyFill="1" applyBorder="1"/>
    <xf numFmtId="0" fontId="7" fillId="0" borderId="0" xfId="11" applyFont="1" applyFill="1" applyBorder="1"/>
    <xf numFmtId="0" fontId="21" fillId="0" borderId="45" xfId="11" applyFont="1" applyFill="1" applyBorder="1"/>
    <xf numFmtId="0" fontId="21" fillId="0" borderId="31" xfId="11" applyFont="1" applyFill="1" applyBorder="1"/>
    <xf numFmtId="0" fontId="21" fillId="0" borderId="33" xfId="11" applyFont="1" applyFill="1" applyBorder="1"/>
    <xf numFmtId="0" fontId="21" fillId="0" borderId="13" xfId="11" applyFont="1" applyFill="1" applyBorder="1" applyAlignment="1"/>
    <xf numFmtId="0" fontId="21" fillId="0" borderId="46" xfId="11" applyFont="1" applyFill="1" applyBorder="1" applyAlignment="1">
      <alignment horizontal="center"/>
    </xf>
    <xf numFmtId="167" fontId="21" fillId="0" borderId="8" xfId="11" applyNumberFormat="1" applyFont="1" applyFill="1" applyBorder="1" applyAlignment="1">
      <alignment horizontal="center"/>
    </xf>
    <xf numFmtId="167" fontId="21" fillId="0" borderId="1" xfId="11" applyNumberFormat="1" applyFont="1" applyFill="1" applyBorder="1" applyAlignment="1">
      <alignment horizontal="center"/>
    </xf>
    <xf numFmtId="3" fontId="21" fillId="0" borderId="1" xfId="11" applyNumberFormat="1" applyFont="1" applyFill="1" applyBorder="1" applyAlignment="1">
      <alignment horizontal="right"/>
    </xf>
    <xf numFmtId="4" fontId="21" fillId="0" borderId="1" xfId="11" applyNumberFormat="1" applyFont="1" applyFill="1" applyBorder="1" applyAlignment="1">
      <alignment horizontal="center"/>
    </xf>
    <xf numFmtId="167" fontId="21" fillId="0" borderId="1" xfId="11" applyNumberFormat="1" applyFont="1" applyFill="1" applyBorder="1"/>
    <xf numFmtId="3" fontId="21" fillId="0" borderId="40" xfId="11" applyNumberFormat="1" applyFont="1" applyFill="1" applyBorder="1" applyAlignment="1">
      <alignment horizontal="center"/>
    </xf>
    <xf numFmtId="0" fontId="21" fillId="0" borderId="47" xfId="11" applyFont="1" applyFill="1" applyBorder="1" applyAlignment="1">
      <alignment horizontal="center"/>
    </xf>
    <xf numFmtId="182" fontId="21" fillId="0" borderId="8" xfId="11" applyNumberFormat="1" applyFont="1" applyFill="1" applyBorder="1" applyAlignment="1">
      <alignment horizontal="left"/>
    </xf>
    <xf numFmtId="184" fontId="21" fillId="0" borderId="8" xfId="12" applyNumberFormat="1" applyFont="1" applyFill="1" applyBorder="1"/>
    <xf numFmtId="9" fontId="21" fillId="0" borderId="1" xfId="13" applyFont="1" applyFill="1" applyBorder="1" applyAlignment="1">
      <alignment horizontal="center"/>
    </xf>
    <xf numFmtId="4" fontId="21" fillId="0" borderId="48" xfId="11" applyNumberFormat="1" applyFont="1" applyFill="1" applyBorder="1"/>
    <xf numFmtId="185" fontId="21" fillId="0" borderId="8" xfId="12" applyNumberFormat="1" applyFont="1" applyFill="1" applyBorder="1"/>
    <xf numFmtId="3" fontId="21" fillId="0" borderId="40" xfId="11" applyNumberFormat="1" applyFont="1" applyFill="1" applyBorder="1"/>
    <xf numFmtId="0" fontId="21" fillId="0" borderId="49" xfId="11" applyFont="1" applyFill="1" applyBorder="1"/>
    <xf numFmtId="0" fontId="21" fillId="0" borderId="0" xfId="11" applyFont="1" applyFill="1" applyAlignment="1">
      <alignment horizontal="center"/>
    </xf>
    <xf numFmtId="0" fontId="20" fillId="0" borderId="0" xfId="11" applyFont="1" applyFill="1" applyAlignment="1">
      <alignment horizontal="centerContinuous"/>
    </xf>
    <xf numFmtId="0" fontId="21" fillId="0" borderId="0" xfId="11" applyFont="1" applyFill="1" applyAlignment="1">
      <alignment horizontal="centerContinuous"/>
    </xf>
    <xf numFmtId="0" fontId="21" fillId="0" borderId="50" xfId="11" applyFont="1" applyFill="1" applyBorder="1" applyAlignment="1">
      <alignment horizontal="centerContinuous"/>
    </xf>
    <xf numFmtId="0" fontId="21" fillId="0" borderId="32" xfId="11" applyFont="1" applyFill="1" applyBorder="1" applyAlignment="1">
      <alignment horizontal="centerContinuous"/>
    </xf>
    <xf numFmtId="0" fontId="21" fillId="0" borderId="33" xfId="11" applyFont="1" applyFill="1" applyBorder="1" applyAlignment="1">
      <alignment horizontal="centerContinuous"/>
    </xf>
    <xf numFmtId="0" fontId="21" fillId="0" borderId="51" xfId="11" applyFont="1" applyFill="1" applyBorder="1" applyAlignment="1">
      <alignment horizontal="center"/>
    </xf>
    <xf numFmtId="0" fontId="21" fillId="0" borderId="52" xfId="11" applyFont="1" applyFill="1" applyBorder="1" applyAlignment="1">
      <alignment horizontal="center"/>
    </xf>
    <xf numFmtId="9" fontId="21" fillId="0" borderId="8" xfId="11" applyNumberFormat="1" applyFont="1" applyFill="1" applyBorder="1"/>
    <xf numFmtId="4" fontId="21" fillId="0" borderId="22" xfId="11" applyNumberFormat="1" applyFont="1" applyFill="1" applyBorder="1"/>
    <xf numFmtId="0" fontId="21" fillId="0" borderId="53" xfId="11" applyFont="1" applyFill="1" applyBorder="1"/>
    <xf numFmtId="9" fontId="21" fillId="0" borderId="41" xfId="11" applyNumberFormat="1" applyFont="1" applyFill="1" applyBorder="1"/>
    <xf numFmtId="4" fontId="21" fillId="0" borderId="45" xfId="11" applyNumberFormat="1" applyFont="1" applyFill="1" applyBorder="1"/>
    <xf numFmtId="4" fontId="21" fillId="0" borderId="43" xfId="11" applyNumberFormat="1" applyFont="1" applyFill="1" applyBorder="1"/>
    <xf numFmtId="4" fontId="20" fillId="0" borderId="54" xfId="11" applyNumberFormat="1" applyFont="1" applyFill="1" applyBorder="1"/>
    <xf numFmtId="4" fontId="21" fillId="0" borderId="0" xfId="2" applyNumberFormat="1" applyFont="1" applyFill="1" applyBorder="1" applyAlignment="1">
      <alignment horizontal="right" vertical="center"/>
    </xf>
    <xf numFmtId="0" fontId="21" fillId="0" borderId="31" xfId="11" applyFont="1" applyFill="1" applyBorder="1" applyAlignment="1">
      <alignment horizontal="left"/>
    </xf>
    <xf numFmtId="167" fontId="6" fillId="0" borderId="1" xfId="11" applyNumberFormat="1" applyFont="1" applyFill="1" applyBorder="1" applyAlignment="1">
      <alignment horizontal="center"/>
    </xf>
    <xf numFmtId="167" fontId="6" fillId="0" borderId="1" xfId="11" applyNumberFormat="1" applyFont="1" applyFill="1" applyBorder="1"/>
    <xf numFmtId="0" fontId="21" fillId="0" borderId="57" xfId="11" applyFont="1" applyFill="1" applyBorder="1"/>
    <xf numFmtId="3" fontId="21" fillId="0" borderId="8" xfId="11" applyNumberFormat="1" applyFont="1" applyFill="1" applyBorder="1"/>
    <xf numFmtId="0" fontId="21" fillId="0" borderId="58" xfId="11" applyFont="1" applyFill="1" applyBorder="1"/>
    <xf numFmtId="0" fontId="21" fillId="0" borderId="59" xfId="11" applyFont="1" applyFill="1" applyBorder="1"/>
    <xf numFmtId="4" fontId="21" fillId="0" borderId="60" xfId="11" applyNumberFormat="1" applyFont="1" applyFill="1" applyBorder="1"/>
    <xf numFmtId="0" fontId="21" fillId="0" borderId="61" xfId="11" applyFont="1" applyFill="1" applyBorder="1"/>
    <xf numFmtId="167" fontId="21" fillId="0" borderId="8" xfId="11" applyNumberFormat="1" applyFont="1" applyFill="1" applyBorder="1"/>
    <xf numFmtId="0" fontId="21" fillId="0" borderId="62" xfId="11" applyFont="1" applyFill="1" applyBorder="1" applyAlignment="1">
      <alignment horizontal="center"/>
    </xf>
    <xf numFmtId="167" fontId="21" fillId="0" borderId="13" xfId="2" applyNumberFormat="1" applyFont="1" applyFill="1" applyBorder="1" applyAlignment="1">
      <alignment horizontal="center"/>
    </xf>
    <xf numFmtId="167" fontId="21" fillId="0" borderId="33" xfId="2" applyNumberFormat="1" applyFont="1" applyFill="1" applyBorder="1" applyAlignment="1">
      <alignment horizontal="center"/>
    </xf>
    <xf numFmtId="3" fontId="21" fillId="0" borderId="33" xfId="2" applyNumberFormat="1" applyFont="1" applyFill="1" applyBorder="1" applyAlignment="1">
      <alignment horizontal="right"/>
    </xf>
    <xf numFmtId="4" fontId="21" fillId="0" borderId="18" xfId="2" applyNumberFormat="1" applyFont="1" applyFill="1" applyBorder="1" applyAlignment="1">
      <alignment horizontal="center"/>
    </xf>
    <xf numFmtId="167" fontId="21" fillId="0" borderId="17" xfId="2" applyNumberFormat="1" applyFont="1" applyFill="1" applyBorder="1" applyAlignment="1">
      <alignment horizontal="center"/>
    </xf>
    <xf numFmtId="4" fontId="21" fillId="0" borderId="37" xfId="2" applyNumberFormat="1" applyFont="1" applyFill="1" applyBorder="1" applyAlignment="1">
      <alignment horizontal="center"/>
    </xf>
    <xf numFmtId="3" fontId="21" fillId="0" borderId="8" xfId="2" applyNumberFormat="1" applyFont="1" applyFill="1" applyBorder="1"/>
    <xf numFmtId="4" fontId="20" fillId="0" borderId="54" xfId="2" applyNumberFormat="1" applyFont="1" applyFill="1" applyBorder="1"/>
    <xf numFmtId="0" fontId="21" fillId="0" borderId="35" xfId="2" applyFont="1" applyFill="1" applyBorder="1" applyAlignment="1">
      <alignment horizontal="left"/>
    </xf>
    <xf numFmtId="4" fontId="20" fillId="0" borderId="0" xfId="2" applyNumberFormat="1" applyFont="1" applyFill="1" applyBorder="1" applyAlignment="1">
      <alignment horizontal="right" vertical="center"/>
    </xf>
    <xf numFmtId="4" fontId="21" fillId="0" borderId="1" xfId="0" applyNumberFormat="1" applyFont="1" applyFill="1" applyBorder="1"/>
    <xf numFmtId="4" fontId="6" fillId="5" borderId="9" xfId="1" applyNumberFormat="1" applyFont="1" applyFill="1" applyBorder="1" applyAlignment="1">
      <alignment horizontal="center" vertical="center" wrapText="1"/>
    </xf>
    <xf numFmtId="4" fontId="4" fillId="5" borderId="9" xfId="1" applyNumberFormat="1" applyFont="1" applyFill="1" applyBorder="1" applyAlignment="1">
      <alignment horizontal="left" vertical="center" wrapText="1"/>
    </xf>
    <xf numFmtId="4" fontId="6" fillId="5" borderId="9" xfId="1" applyNumberFormat="1" applyFont="1" applyFill="1" applyBorder="1" applyAlignment="1">
      <alignment horizontal="right" vertical="center" wrapText="1"/>
    </xf>
    <xf numFmtId="4" fontId="6" fillId="5" borderId="9" xfId="1" applyNumberFormat="1" applyFont="1" applyFill="1" applyBorder="1" applyAlignment="1">
      <alignment vertical="center" wrapText="1"/>
    </xf>
    <xf numFmtId="4" fontId="6" fillId="5" borderId="6" xfId="1" applyNumberFormat="1" applyFont="1" applyFill="1" applyBorder="1" applyAlignment="1">
      <alignment horizontal="center" vertical="center" wrapText="1"/>
    </xf>
    <xf numFmtId="4" fontId="4" fillId="5" borderId="6" xfId="1" applyNumberFormat="1" applyFont="1" applyFill="1" applyBorder="1" applyAlignment="1">
      <alignment horizontal="left" vertical="center" wrapText="1"/>
    </xf>
    <xf numFmtId="4" fontId="6" fillId="5" borderId="6" xfId="1" applyNumberFormat="1" applyFont="1" applyFill="1" applyBorder="1" applyAlignment="1">
      <alignment horizontal="right" vertical="center" wrapText="1"/>
    </xf>
    <xf numFmtId="4" fontId="6" fillId="5" borderId="6" xfId="1" applyNumberFormat="1" applyFont="1" applyFill="1" applyBorder="1" applyAlignment="1">
      <alignment vertical="center" wrapText="1"/>
    </xf>
    <xf numFmtId="4" fontId="7" fillId="5" borderId="6" xfId="1" applyNumberFormat="1" applyFont="1" applyFill="1" applyBorder="1" applyAlignment="1">
      <alignment horizontal="left" vertical="center" wrapText="1"/>
    </xf>
    <xf numFmtId="4" fontId="6" fillId="2" borderId="17" xfId="1" applyNumberFormat="1" applyFont="1" applyFill="1" applyBorder="1" applyAlignment="1">
      <alignment horizontal="center" vertical="center" wrapText="1"/>
    </xf>
    <xf numFmtId="4" fontId="7" fillId="2" borderId="17" xfId="1" applyNumberFormat="1" applyFont="1" applyFill="1" applyBorder="1" applyAlignment="1">
      <alignment horizontal="left" vertical="center" wrapText="1"/>
    </xf>
    <xf numFmtId="4" fontId="6" fillId="2" borderId="17" xfId="1" applyNumberFormat="1" applyFont="1" applyFill="1" applyBorder="1" applyAlignment="1">
      <alignment horizontal="right" vertical="center" wrapText="1"/>
    </xf>
    <xf numFmtId="4" fontId="6" fillId="2" borderId="17" xfId="1" applyNumberFormat="1" applyFont="1" applyFill="1" applyBorder="1" applyAlignment="1">
      <alignment vertical="center" wrapText="1"/>
    </xf>
    <xf numFmtId="4" fontId="12" fillId="0" borderId="0" xfId="3" applyNumberFormat="1" applyFont="1" applyAlignment="1">
      <alignment horizontal="center" vertical="center" wrapText="1"/>
    </xf>
    <xf numFmtId="2" fontId="0" fillId="0" borderId="0" xfId="0" applyNumberFormat="1"/>
    <xf numFmtId="3" fontId="0" fillId="0" borderId="0" xfId="0" applyNumberFormat="1"/>
    <xf numFmtId="4" fontId="4" fillId="7" borderId="63" xfId="2" applyNumberFormat="1" applyFont="1" applyFill="1" applyBorder="1" applyAlignment="1">
      <alignment horizontal="center" vertical="center" wrapText="1"/>
    </xf>
    <xf numFmtId="4" fontId="4" fillId="7" borderId="64" xfId="1" applyNumberFormat="1" applyFont="1" applyFill="1" applyBorder="1" applyAlignment="1">
      <alignment horizontal="center" vertical="center" wrapText="1"/>
    </xf>
    <xf numFmtId="4" fontId="4" fillId="7" borderId="64" xfId="1" applyNumberFormat="1" applyFont="1" applyFill="1" applyBorder="1" applyAlignment="1">
      <alignment horizontal="left" vertical="center" wrapText="1"/>
    </xf>
    <xf numFmtId="4" fontId="4" fillId="7" borderId="65" xfId="1" applyNumberFormat="1" applyFont="1" applyFill="1" applyBorder="1" applyAlignment="1">
      <alignment horizontal="center" vertical="center" wrapText="1"/>
    </xf>
    <xf numFmtId="4" fontId="4" fillId="8" borderId="1" xfId="1" applyNumberFormat="1" applyFont="1" applyFill="1" applyBorder="1" applyAlignment="1">
      <alignment vertical="center" wrapText="1"/>
    </xf>
    <xf numFmtId="4" fontId="4" fillId="7" borderId="1" xfId="1" applyNumberFormat="1" applyFont="1" applyFill="1" applyBorder="1" applyAlignment="1">
      <alignment vertical="center" wrapText="1"/>
    </xf>
    <xf numFmtId="0" fontId="27" fillId="0" borderId="66" xfId="1" applyFont="1" applyFill="1" applyBorder="1" applyAlignment="1">
      <alignment vertical="center" wrapText="1"/>
    </xf>
    <xf numFmtId="0" fontId="27" fillId="0" borderId="52" xfId="1" applyFont="1" applyFill="1" applyBorder="1" applyAlignment="1">
      <alignment vertical="center" wrapText="1"/>
    </xf>
    <xf numFmtId="0" fontId="27" fillId="0" borderId="58" xfId="1" applyFont="1" applyFill="1" applyBorder="1" applyAlignment="1">
      <alignment vertical="center" wrapText="1"/>
    </xf>
    <xf numFmtId="0" fontId="4" fillId="2" borderId="66" xfId="2" applyFont="1" applyFill="1" applyBorder="1" applyAlignment="1">
      <alignment horizontal="center" vertical="center" wrapText="1"/>
    </xf>
    <xf numFmtId="0" fontId="4" fillId="2" borderId="62" xfId="2" applyFont="1" applyFill="1" applyBorder="1" applyAlignment="1">
      <alignment horizontal="center" vertical="center" wrapText="1"/>
    </xf>
    <xf numFmtId="3" fontId="4" fillId="2" borderId="62" xfId="14" applyNumberFormat="1" applyFont="1" applyFill="1" applyBorder="1" applyAlignment="1">
      <alignment horizontal="center" vertical="center" wrapText="1" shrinkToFit="1"/>
    </xf>
    <xf numFmtId="187" fontId="4" fillId="2" borderId="62" xfId="2" applyNumberFormat="1" applyFont="1" applyFill="1" applyBorder="1" applyAlignment="1">
      <alignment horizontal="center" vertical="center" wrapText="1" shrinkToFit="1"/>
    </xf>
    <xf numFmtId="3" fontId="4" fillId="2" borderId="69" xfId="2" applyNumberFormat="1" applyFont="1" applyFill="1" applyBorder="1" applyAlignment="1">
      <alignment horizontal="center" vertical="center" wrapText="1" shrinkToFit="1"/>
    </xf>
    <xf numFmtId="0" fontId="3" fillId="0" borderId="7" xfId="2" applyFont="1" applyFill="1" applyBorder="1" applyAlignment="1">
      <alignment horizontal="center" vertical="center" wrapText="1"/>
    </xf>
    <xf numFmtId="4" fontId="28" fillId="0" borderId="1" xfId="2" applyNumberFormat="1" applyFont="1" applyFill="1" applyBorder="1" applyAlignment="1">
      <alignment horizontal="right" vertical="center"/>
    </xf>
    <xf numFmtId="3" fontId="28" fillId="0" borderId="1" xfId="15" applyNumberFormat="1" applyFont="1" applyFill="1" applyBorder="1" applyAlignment="1">
      <alignment horizontal="right" vertical="center"/>
    </xf>
    <xf numFmtId="4" fontId="28" fillId="0" borderId="1" xfId="15" applyNumberFormat="1" applyFont="1" applyFill="1" applyBorder="1" applyAlignment="1">
      <alignment horizontal="center" vertical="center"/>
    </xf>
    <xf numFmtId="0" fontId="3" fillId="6" borderId="7" xfId="2" applyFont="1" applyFill="1" applyBorder="1" applyAlignment="1">
      <alignment horizontal="center" vertical="center" wrapText="1"/>
    </xf>
    <xf numFmtId="0" fontId="28" fillId="6" borderId="1" xfId="2" applyFont="1" applyFill="1" applyBorder="1" applyAlignment="1">
      <alignment horizontal="right" vertical="center"/>
    </xf>
    <xf numFmtId="3" fontId="28" fillId="6" borderId="1" xfId="15" applyNumberFormat="1" applyFont="1" applyFill="1" applyBorder="1" applyAlignment="1">
      <alignment horizontal="right" vertical="center"/>
    </xf>
    <xf numFmtId="0" fontId="28" fillId="6" borderId="17" xfId="2" applyFont="1" applyFill="1" applyBorder="1" applyAlignment="1">
      <alignment horizontal="justify"/>
    </xf>
    <xf numFmtId="0" fontId="28" fillId="6" borderId="16" xfId="2" applyFont="1" applyFill="1" applyBorder="1" applyAlignment="1">
      <alignment horizontal="justify"/>
    </xf>
    <xf numFmtId="0" fontId="3" fillId="6" borderId="22" xfId="2" applyFont="1" applyFill="1" applyBorder="1" applyAlignment="1">
      <alignment horizontal="center" vertical="center" wrapText="1"/>
    </xf>
    <xf numFmtId="0" fontId="28" fillId="6" borderId="22" xfId="2" applyFont="1" applyFill="1" applyBorder="1" applyAlignment="1">
      <alignment horizontal="right" vertical="center"/>
    </xf>
    <xf numFmtId="0" fontId="0" fillId="0" borderId="67" xfId="0" applyBorder="1"/>
    <xf numFmtId="4" fontId="3" fillId="0" borderId="0" xfId="1" applyNumberFormat="1" applyFont="1" applyBorder="1" applyAlignment="1">
      <alignment vertical="center" wrapText="1"/>
    </xf>
    <xf numFmtId="4" fontId="3" fillId="0" borderId="59" xfId="1" applyNumberFormat="1" applyFont="1" applyBorder="1" applyAlignment="1">
      <alignment vertical="center" wrapText="1"/>
    </xf>
    <xf numFmtId="4" fontId="4" fillId="0" borderId="70" xfId="2" applyNumberFormat="1" applyFont="1" applyFill="1" applyBorder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188" fontId="6" fillId="0" borderId="0" xfId="2" applyNumberFormat="1" applyFont="1" applyAlignment="1">
      <alignment vertical="center" wrapText="1"/>
    </xf>
    <xf numFmtId="9" fontId="6" fillId="0" borderId="0" xfId="5" applyFont="1" applyAlignment="1">
      <alignment vertical="center" wrapText="1"/>
    </xf>
    <xf numFmtId="4" fontId="33" fillId="0" borderId="1" xfId="2" applyNumberFormat="1" applyFont="1" applyBorder="1" applyAlignment="1">
      <alignment horizontal="center" vertical="center" wrapText="1"/>
    </xf>
    <xf numFmtId="9" fontId="33" fillId="0" borderId="1" xfId="6" applyFont="1" applyBorder="1" applyAlignment="1">
      <alignment horizontal="center" vertical="center" wrapText="1"/>
    </xf>
    <xf numFmtId="2" fontId="33" fillId="0" borderId="1" xfId="2" applyNumberFormat="1" applyFont="1" applyBorder="1" applyAlignment="1">
      <alignment horizontal="center" vertical="center" wrapText="1"/>
    </xf>
    <xf numFmtId="4" fontId="33" fillId="0" borderId="76" xfId="2" applyNumberFormat="1" applyFont="1" applyBorder="1" applyAlignment="1">
      <alignment horizontal="center" vertical="center" wrapText="1"/>
    </xf>
    <xf numFmtId="9" fontId="33" fillId="0" borderId="76" xfId="6" applyFont="1" applyBorder="1" applyAlignment="1">
      <alignment horizontal="center" vertical="center" wrapText="1"/>
    </xf>
    <xf numFmtId="4" fontId="33" fillId="0" borderId="17" xfId="2" applyNumberFormat="1" applyFont="1" applyBorder="1" applyAlignment="1">
      <alignment horizontal="center" vertical="center" wrapText="1"/>
    </xf>
    <xf numFmtId="188" fontId="33" fillId="0" borderId="17" xfId="2" applyNumberFormat="1" applyFont="1" applyBorder="1" applyAlignment="1">
      <alignment horizontal="center" vertical="center" wrapText="1"/>
    </xf>
    <xf numFmtId="9" fontId="33" fillId="0" borderId="17" xfId="6" applyFont="1" applyBorder="1" applyAlignment="1">
      <alignment horizontal="center" vertical="center" wrapText="1"/>
    </xf>
    <xf numFmtId="4" fontId="6" fillId="0" borderId="3" xfId="2" applyNumberFormat="1" applyFont="1" applyBorder="1" applyAlignment="1">
      <alignment vertical="center" wrapText="1"/>
    </xf>
    <xf numFmtId="0" fontId="6" fillId="0" borderId="52" xfId="2" applyFont="1" applyBorder="1" applyAlignment="1">
      <alignment vertical="center" wrapText="1"/>
    </xf>
    <xf numFmtId="0" fontId="30" fillId="0" borderId="0" xfId="2" applyFont="1" applyBorder="1" applyAlignment="1">
      <alignment vertical="center" wrapText="1"/>
    </xf>
    <xf numFmtId="0" fontId="6" fillId="0" borderId="68" xfId="2" applyFont="1" applyBorder="1" applyAlignment="1">
      <alignment vertical="center" wrapText="1"/>
    </xf>
    <xf numFmtId="0" fontId="6" fillId="0" borderId="45" xfId="2" applyFont="1" applyBorder="1" applyAlignment="1">
      <alignment vertical="center" wrapText="1"/>
    </xf>
    <xf numFmtId="188" fontId="6" fillId="0" borderId="45" xfId="2" applyNumberFormat="1" applyFont="1" applyBorder="1" applyAlignment="1">
      <alignment vertical="center" wrapText="1"/>
    </xf>
    <xf numFmtId="9" fontId="6" fillId="0" borderId="45" xfId="5" applyFont="1" applyBorder="1" applyAlignment="1">
      <alignment vertical="center" wrapText="1"/>
    </xf>
    <xf numFmtId="0" fontId="34" fillId="0" borderId="0" xfId="16" applyFont="1" applyBorder="1" applyAlignment="1">
      <alignment vertical="center" wrapText="1"/>
    </xf>
    <xf numFmtId="0" fontId="6" fillId="0" borderId="0" xfId="16" applyFont="1" applyAlignment="1">
      <alignment vertical="center" wrapText="1"/>
    </xf>
    <xf numFmtId="0" fontId="6" fillId="0" borderId="0" xfId="16" applyFont="1"/>
    <xf numFmtId="0" fontId="7" fillId="0" borderId="0" xfId="16" applyFont="1" applyAlignment="1">
      <alignment vertical="center"/>
    </xf>
    <xf numFmtId="4" fontId="4" fillId="0" borderId="0" xfId="2" applyNumberFormat="1" applyFont="1" applyAlignment="1">
      <alignment vertical="center" wrapText="1"/>
    </xf>
    <xf numFmtId="0" fontId="15" fillId="0" borderId="0" xfId="16" applyFont="1" applyAlignment="1">
      <alignment vertical="center" wrapText="1"/>
    </xf>
    <xf numFmtId="0" fontId="15" fillId="0" borderId="66" xfId="16" applyFont="1" applyBorder="1" applyAlignment="1">
      <alignment vertical="center" wrapText="1"/>
    </xf>
    <xf numFmtId="0" fontId="15" fillId="0" borderId="58" xfId="16" applyFont="1" applyBorder="1" applyAlignment="1">
      <alignment vertical="center" wrapText="1"/>
    </xf>
    <xf numFmtId="0" fontId="29" fillId="0" borderId="67" xfId="16" applyFont="1" applyBorder="1" applyAlignment="1">
      <alignment vertical="center" wrapText="1"/>
    </xf>
    <xf numFmtId="0" fontId="34" fillId="0" borderId="59" xfId="16" applyFont="1" applyBorder="1" applyAlignment="1">
      <alignment vertical="center" wrapText="1"/>
    </xf>
    <xf numFmtId="0" fontId="30" fillId="0" borderId="67" xfId="16" applyFont="1" applyBorder="1"/>
    <xf numFmtId="0" fontId="6" fillId="0" borderId="59" xfId="16" applyFont="1" applyBorder="1"/>
    <xf numFmtId="0" fontId="6" fillId="0" borderId="67" xfId="16" applyFont="1" applyBorder="1"/>
    <xf numFmtId="0" fontId="6" fillId="0" borderId="68" xfId="16" applyFont="1" applyBorder="1"/>
    <xf numFmtId="0" fontId="6" fillId="0" borderId="61" xfId="16" applyFont="1" applyBorder="1"/>
    <xf numFmtId="10" fontId="7" fillId="0" borderId="48" xfId="6" applyNumberFormat="1" applyFont="1" applyBorder="1" applyAlignment="1">
      <alignment horizontal="right"/>
    </xf>
    <xf numFmtId="0" fontId="7" fillId="0" borderId="78" xfId="16" applyFont="1" applyBorder="1" applyAlignment="1">
      <alignment horizontal="right"/>
    </xf>
    <xf numFmtId="0" fontId="6" fillId="0" borderId="78" xfId="16" applyFont="1" applyBorder="1"/>
    <xf numFmtId="10" fontId="6" fillId="0" borderId="48" xfId="6" applyNumberFormat="1" applyFont="1" applyBorder="1" applyAlignment="1">
      <alignment horizontal="right"/>
    </xf>
    <xf numFmtId="0" fontId="6" fillId="0" borderId="78" xfId="16" applyFont="1" applyBorder="1" applyAlignment="1">
      <alignment wrapText="1"/>
    </xf>
    <xf numFmtId="0" fontId="7" fillId="0" borderId="78" xfId="16" applyFont="1" applyFill="1" applyBorder="1" applyAlignment="1">
      <alignment horizontal="right"/>
    </xf>
    <xf numFmtId="2" fontId="7" fillId="0" borderId="60" xfId="16" applyNumberFormat="1" applyFont="1" applyBorder="1" applyAlignment="1">
      <alignment horizontal="center"/>
    </xf>
    <xf numFmtId="0" fontId="7" fillId="0" borderId="50" xfId="16" applyFont="1" applyBorder="1" applyAlignment="1">
      <alignment horizontal="center"/>
    </xf>
    <xf numFmtId="0" fontId="7" fillId="0" borderId="78" xfId="16" applyFont="1" applyBorder="1" applyAlignment="1">
      <alignment horizontal="center"/>
    </xf>
    <xf numFmtId="0" fontId="7" fillId="0" borderId="79" xfId="16" applyFont="1" applyBorder="1" applyAlignment="1">
      <alignment horizontal="center"/>
    </xf>
    <xf numFmtId="10" fontId="7" fillId="0" borderId="48" xfId="6" applyNumberFormat="1" applyFont="1" applyBorder="1" applyAlignment="1">
      <alignment horizontal="center"/>
    </xf>
    <xf numFmtId="10" fontId="7" fillId="0" borderId="77" xfId="6" applyNumberFormat="1" applyFont="1" applyBorder="1" applyAlignment="1">
      <alignment horizontal="center"/>
    </xf>
    <xf numFmtId="0" fontId="0" fillId="0" borderId="3" xfId="0" applyBorder="1"/>
    <xf numFmtId="4" fontId="13" fillId="0" borderId="0" xfId="0" applyNumberFormat="1" applyFont="1"/>
    <xf numFmtId="10" fontId="15" fillId="5" borderId="0" xfId="4" applyNumberFormat="1" applyFont="1" applyFill="1" applyBorder="1" applyAlignment="1">
      <alignment horizontal="center" vertical="center" wrapText="1"/>
    </xf>
    <xf numFmtId="10" fontId="15" fillId="5" borderId="1" xfId="4" applyNumberFormat="1" applyFont="1" applyFill="1" applyBorder="1" applyAlignment="1">
      <alignment horizontal="right" vertical="center" wrapText="1"/>
    </xf>
    <xf numFmtId="3" fontId="10" fillId="7" borderId="1" xfId="3" applyNumberFormat="1" applyFont="1" applyFill="1" applyBorder="1" applyAlignment="1">
      <alignment horizontal="center" vertical="center" wrapText="1"/>
    </xf>
    <xf numFmtId="4" fontId="10" fillId="7" borderId="1" xfId="3" applyNumberFormat="1" applyFont="1" applyFill="1" applyBorder="1" applyAlignment="1">
      <alignment vertical="center" wrapText="1"/>
    </xf>
    <xf numFmtId="4" fontId="10" fillId="7" borderId="1" xfId="3" applyNumberFormat="1" applyFont="1" applyFill="1" applyBorder="1" applyAlignment="1">
      <alignment horizontal="center" vertical="center" wrapText="1"/>
    </xf>
    <xf numFmtId="9" fontId="10" fillId="7" borderId="1" xfId="5" applyFont="1" applyFill="1" applyBorder="1" applyAlignment="1">
      <alignment horizontal="center" vertical="center" wrapText="1"/>
    </xf>
    <xf numFmtId="10" fontId="10" fillId="5" borderId="0" xfId="4" applyNumberFormat="1" applyFont="1" applyFill="1" applyBorder="1" applyAlignment="1">
      <alignment vertical="center" wrapText="1"/>
    </xf>
    <xf numFmtId="10" fontId="10" fillId="0" borderId="0" xfId="4" applyNumberFormat="1" applyFont="1" applyBorder="1" applyAlignment="1">
      <alignment vertical="center" wrapText="1"/>
    </xf>
    <xf numFmtId="4" fontId="15" fillId="0" borderId="0" xfId="3" applyNumberFormat="1" applyFont="1" applyBorder="1" applyAlignment="1">
      <alignment horizontal="right" vertical="center" wrapText="1"/>
    </xf>
    <xf numFmtId="9" fontId="15" fillId="0" borderId="1" xfId="3" applyNumberFormat="1" applyFont="1" applyBorder="1" applyAlignment="1">
      <alignment horizontal="left" vertical="center" wrapText="1"/>
    </xf>
    <xf numFmtId="171" fontId="10" fillId="0" borderId="0" xfId="4" applyNumberFormat="1" applyFont="1" applyBorder="1" applyAlignment="1">
      <alignment vertical="center" wrapText="1"/>
    </xf>
    <xf numFmtId="189" fontId="10" fillId="0" borderId="0" xfId="3" applyNumberFormat="1" applyFont="1" applyAlignment="1">
      <alignment vertical="center" wrapText="1"/>
    </xf>
    <xf numFmtId="4" fontId="10" fillId="0" borderId="3" xfId="3" applyNumberFormat="1" applyFont="1" applyBorder="1" applyAlignment="1">
      <alignment vertical="center" wrapText="1"/>
    </xf>
    <xf numFmtId="4" fontId="15" fillId="5" borderId="0" xfId="3" applyNumberFormat="1" applyFont="1" applyFill="1" applyBorder="1" applyAlignment="1">
      <alignment horizontal="center" vertical="center" wrapText="1"/>
    </xf>
    <xf numFmtId="173" fontId="15" fillId="0" borderId="0" xfId="3" applyNumberFormat="1" applyFont="1" applyBorder="1" applyAlignment="1">
      <alignment horizontal="right" vertical="center" wrapText="1"/>
    </xf>
    <xf numFmtId="1" fontId="10" fillId="0" borderId="0" xfId="4" applyNumberFormat="1" applyFont="1" applyBorder="1" applyAlignment="1">
      <alignment horizontal="center" vertical="center" wrapText="1"/>
    </xf>
    <xf numFmtId="171" fontId="15" fillId="5" borderId="0" xfId="5" applyNumberFormat="1" applyFont="1" applyFill="1" applyBorder="1" applyAlignment="1">
      <alignment vertical="center" wrapText="1"/>
    </xf>
    <xf numFmtId="4" fontId="15" fillId="0" borderId="1" xfId="3" applyNumberFormat="1" applyFont="1" applyBorder="1" applyAlignment="1">
      <alignment horizontal="right" vertical="center" wrapText="1"/>
    </xf>
    <xf numFmtId="171" fontId="15" fillId="5" borderId="1" xfId="4" applyNumberFormat="1" applyFont="1" applyFill="1" applyBorder="1" applyAlignment="1">
      <alignment horizontal="right" vertical="center" wrapText="1"/>
    </xf>
    <xf numFmtId="4" fontId="15" fillId="5" borderId="0" xfId="4" applyNumberFormat="1" applyFont="1" applyFill="1" applyBorder="1" applyAlignment="1">
      <alignment vertical="center" wrapText="1"/>
    </xf>
    <xf numFmtId="10" fontId="15" fillId="5" borderId="0" xfId="4" applyNumberFormat="1" applyFont="1" applyFill="1" applyBorder="1" applyAlignment="1">
      <alignment vertical="center" wrapText="1"/>
    </xf>
    <xf numFmtId="4" fontId="10" fillId="0" borderId="0" xfId="4" applyNumberFormat="1" applyFont="1" applyBorder="1" applyAlignment="1">
      <alignment vertical="center" wrapText="1"/>
    </xf>
    <xf numFmtId="10" fontId="15" fillId="0" borderId="0" xfId="4" applyNumberFormat="1" applyFont="1" applyBorder="1" applyAlignment="1">
      <alignment vertical="center" wrapText="1"/>
    </xf>
    <xf numFmtId="10" fontId="15" fillId="5" borderId="0" xfId="5" applyNumberFormat="1" applyFont="1" applyFill="1" applyBorder="1" applyAlignment="1">
      <alignment vertical="center" wrapText="1"/>
    </xf>
    <xf numFmtId="4" fontId="3" fillId="0" borderId="0" xfId="2" applyNumberFormat="1" applyFont="1" applyBorder="1" applyAlignment="1">
      <alignment vertical="center" wrapText="1"/>
    </xf>
    <xf numFmtId="4" fontId="4" fillId="0" borderId="0" xfId="2" applyNumberFormat="1" applyFont="1" applyBorder="1" applyAlignment="1">
      <alignment horizontal="center" vertical="center" wrapText="1"/>
    </xf>
    <xf numFmtId="4" fontId="6" fillId="0" borderId="1" xfId="3" applyNumberFormat="1" applyFont="1" applyBorder="1" applyAlignment="1">
      <alignment vertical="center" wrapText="1"/>
    </xf>
    <xf numFmtId="4" fontId="7" fillId="5" borderId="17" xfId="3" applyNumberFormat="1" applyFont="1" applyFill="1" applyBorder="1" applyAlignment="1">
      <alignment vertical="center" wrapText="1"/>
    </xf>
    <xf numFmtId="4" fontId="4" fillId="0" borderId="1" xfId="16" applyNumberFormat="1" applyFont="1" applyFill="1" applyBorder="1" applyAlignment="1">
      <alignment horizontal="center" vertical="center" wrapText="1"/>
    </xf>
    <xf numFmtId="4" fontId="3" fillId="0" borderId="0" xfId="16" applyNumberFormat="1" applyFont="1" applyAlignment="1">
      <alignment vertical="center" wrapText="1"/>
    </xf>
    <xf numFmtId="190" fontId="6" fillId="0" borderId="1" xfId="16" applyNumberFormat="1" applyFont="1" applyFill="1" applyBorder="1" applyAlignment="1">
      <alignment vertical="center" wrapText="1"/>
    </xf>
    <xf numFmtId="10" fontId="6" fillId="0" borderId="1" xfId="16" applyNumberFormat="1" applyFont="1" applyFill="1" applyBorder="1" applyAlignment="1">
      <alignment vertical="center" wrapText="1"/>
    </xf>
    <xf numFmtId="4" fontId="6" fillId="0" borderId="1" xfId="16" applyNumberFormat="1" applyFont="1" applyFill="1" applyBorder="1" applyAlignment="1">
      <alignment vertical="center" wrapText="1"/>
    </xf>
    <xf numFmtId="4" fontId="21" fillId="0" borderId="17" xfId="16" applyNumberFormat="1" applyFont="1" applyFill="1" applyBorder="1" applyAlignment="1">
      <alignment vertical="center" wrapText="1"/>
    </xf>
    <xf numFmtId="4" fontId="6" fillId="0" borderId="0" xfId="16" applyNumberFormat="1" applyFont="1" applyFill="1" applyBorder="1" applyAlignment="1">
      <alignment horizontal="center" vertical="center" wrapText="1"/>
    </xf>
    <xf numFmtId="191" fontId="6" fillId="0" borderId="0" xfId="16" applyNumberFormat="1" applyFont="1" applyFill="1" applyBorder="1" applyAlignment="1">
      <alignment horizontal="center" vertical="center" wrapText="1"/>
    </xf>
    <xf numFmtId="10" fontId="6" fillId="0" borderId="0" xfId="16" applyNumberFormat="1" applyFont="1" applyFill="1" applyBorder="1" applyAlignment="1">
      <alignment horizontal="center" vertical="center" wrapText="1"/>
    </xf>
    <xf numFmtId="10" fontId="21" fillId="0" borderId="0" xfId="16" applyNumberFormat="1" applyFont="1" applyFill="1" applyBorder="1" applyAlignment="1">
      <alignment horizontal="center" vertical="center" wrapText="1"/>
    </xf>
    <xf numFmtId="4" fontId="21" fillId="0" borderId="0" xfId="16" applyNumberFormat="1" applyFont="1" applyFill="1" applyBorder="1" applyAlignment="1">
      <alignment horizontal="center" vertical="center" wrapText="1"/>
    </xf>
    <xf numFmtId="4" fontId="21" fillId="0" borderId="0" xfId="16" applyNumberFormat="1" applyFont="1" applyFill="1" applyBorder="1" applyAlignment="1">
      <alignment vertical="center" wrapText="1"/>
    </xf>
    <xf numFmtId="4" fontId="3" fillId="0" borderId="0" xfId="16" applyNumberFormat="1" applyFont="1" applyAlignment="1">
      <alignment horizontal="center" vertical="center" wrapText="1"/>
    </xf>
    <xf numFmtId="10" fontId="21" fillId="0" borderId="75" xfId="16" applyNumberFormat="1" applyFont="1" applyBorder="1" applyAlignment="1">
      <alignment horizontal="right" vertical="center" wrapText="1"/>
    </xf>
    <xf numFmtId="3" fontId="21" fillId="0" borderId="83" xfId="16" applyNumberFormat="1" applyFont="1" applyBorder="1" applyAlignment="1">
      <alignment horizontal="right" vertical="center" wrapText="1"/>
    </xf>
    <xf numFmtId="4" fontId="4" fillId="0" borderId="0" xfId="16" applyNumberFormat="1" applyFont="1" applyBorder="1" applyAlignment="1">
      <alignment horizontal="center" vertical="center" wrapText="1"/>
    </xf>
    <xf numFmtId="191" fontId="3" fillId="0" borderId="0" xfId="16" applyNumberFormat="1" applyFont="1" applyBorder="1" applyAlignment="1">
      <alignment horizontal="center" vertical="center" wrapText="1"/>
    </xf>
    <xf numFmtId="10" fontId="3" fillId="0" borderId="0" xfId="16" applyNumberFormat="1" applyFont="1" applyBorder="1" applyAlignment="1">
      <alignment horizontal="center" vertical="center" wrapText="1"/>
    </xf>
    <xf numFmtId="4" fontId="21" fillId="0" borderId="0" xfId="16" applyNumberFormat="1" applyFont="1" applyBorder="1" applyAlignment="1">
      <alignment horizontal="right" vertical="center" wrapText="1"/>
    </xf>
    <xf numFmtId="4" fontId="21" fillId="0" borderId="0" xfId="16" applyNumberFormat="1" applyFont="1" applyBorder="1" applyAlignment="1">
      <alignment vertical="center" wrapText="1"/>
    </xf>
    <xf numFmtId="4" fontId="21" fillId="0" borderId="83" xfId="16" applyNumberFormat="1" applyFont="1" applyBorder="1" applyAlignment="1">
      <alignment horizontal="right" vertical="center" wrapText="1"/>
    </xf>
    <xf numFmtId="4" fontId="21" fillId="0" borderId="0" xfId="16" applyNumberFormat="1" applyFont="1" applyAlignment="1">
      <alignment vertical="center" wrapText="1"/>
    </xf>
    <xf numFmtId="4" fontId="6" fillId="0" borderId="0" xfId="16" applyNumberFormat="1" applyFont="1" applyAlignment="1">
      <alignment horizontal="center" vertical="center" wrapText="1"/>
    </xf>
    <xf numFmtId="4" fontId="6" fillId="0" borderId="0" xfId="16" applyNumberFormat="1" applyFont="1" applyAlignment="1">
      <alignment vertical="center" wrapText="1"/>
    </xf>
    <xf numFmtId="4" fontId="3" fillId="0" borderId="75" xfId="16" applyNumberFormat="1" applyFont="1" applyBorder="1" applyAlignment="1">
      <alignment horizontal="center" vertical="center" wrapText="1"/>
    </xf>
    <xf numFmtId="10" fontId="21" fillId="0" borderId="75" xfId="16" applyNumberFormat="1" applyFont="1" applyBorder="1" applyAlignment="1">
      <alignment horizontal="center" vertical="center" wrapText="1"/>
    </xf>
    <xf numFmtId="4" fontId="6" fillId="0" borderId="1" xfId="16" applyNumberFormat="1" applyFont="1" applyBorder="1" applyAlignment="1">
      <alignment horizontal="center" vertical="center" wrapText="1"/>
    </xf>
    <xf numFmtId="4" fontId="21" fillId="0" borderId="1" xfId="16" applyNumberFormat="1" applyFont="1" applyBorder="1" applyAlignment="1">
      <alignment horizontal="center" vertical="center" wrapText="1"/>
    </xf>
    <xf numFmtId="4" fontId="3" fillId="0" borderId="1" xfId="16" applyNumberFormat="1" applyFont="1" applyBorder="1" applyAlignment="1">
      <alignment horizontal="center" vertical="center" wrapText="1"/>
    </xf>
    <xf numFmtId="4" fontId="6" fillId="0" borderId="76" xfId="16" applyNumberFormat="1" applyFont="1" applyBorder="1" applyAlignment="1">
      <alignment horizontal="center" vertical="center" wrapText="1"/>
    </xf>
    <xf numFmtId="4" fontId="21" fillId="0" borderId="76" xfId="16" applyNumberFormat="1" applyFont="1" applyBorder="1" applyAlignment="1">
      <alignment vertical="center" wrapText="1"/>
    </xf>
    <xf numFmtId="171" fontId="0" fillId="0" borderId="0" xfId="0" applyNumberFormat="1"/>
    <xf numFmtId="174" fontId="0" fillId="0" borderId="0" xfId="0" applyNumberFormat="1"/>
    <xf numFmtId="168" fontId="0" fillId="0" borderId="0" xfId="0" applyNumberFormat="1"/>
    <xf numFmtId="171" fontId="0" fillId="0" borderId="0" xfId="17" applyNumberFormat="1" applyFont="1"/>
    <xf numFmtId="170" fontId="0" fillId="0" borderId="0" xfId="17" applyNumberFormat="1" applyFont="1"/>
    <xf numFmtId="168" fontId="0" fillId="0" borderId="0" xfId="17" applyNumberFormat="1" applyFont="1"/>
    <xf numFmtId="176" fontId="21" fillId="0" borderId="0" xfId="17" applyNumberFormat="1" applyFont="1" applyFill="1" applyAlignment="1">
      <alignment vertical="center" wrapText="1"/>
    </xf>
    <xf numFmtId="174" fontId="21" fillId="0" borderId="0" xfId="17" applyNumberFormat="1" applyFont="1" applyFill="1" applyAlignment="1">
      <alignment vertical="center" wrapText="1"/>
    </xf>
    <xf numFmtId="192" fontId="0" fillId="0" borderId="0" xfId="17" applyNumberFormat="1" applyFont="1"/>
    <xf numFmtId="174" fontId="3" fillId="0" borderId="0" xfId="17" applyNumberFormat="1" applyFont="1" applyFill="1" applyAlignment="1">
      <alignment vertical="center" wrapText="1"/>
    </xf>
    <xf numFmtId="193" fontId="0" fillId="0" borderId="0" xfId="0" applyNumberFormat="1"/>
    <xf numFmtId="194" fontId="0" fillId="0" borderId="0" xfId="17" applyNumberFormat="1" applyFont="1"/>
    <xf numFmtId="197" fontId="0" fillId="0" borderId="0" xfId="0" applyNumberFormat="1"/>
    <xf numFmtId="199" fontId="0" fillId="0" borderId="0" xfId="0" applyNumberFormat="1"/>
    <xf numFmtId="196" fontId="0" fillId="0" borderId="0" xfId="17" applyNumberFormat="1" applyFont="1"/>
    <xf numFmtId="0" fontId="0" fillId="12" borderId="0" xfId="0" applyFill="1"/>
    <xf numFmtId="195" fontId="0" fillId="12" borderId="0" xfId="0" applyNumberFormat="1" applyFill="1"/>
    <xf numFmtId="2" fontId="21" fillId="0" borderId="0" xfId="17" applyNumberFormat="1" applyFont="1" applyFill="1" applyAlignment="1">
      <alignment horizontal="center" vertical="center" wrapText="1"/>
    </xf>
    <xf numFmtId="174" fontId="21" fillId="0" borderId="0" xfId="17" applyNumberFormat="1" applyFont="1" applyFill="1" applyAlignment="1">
      <alignment horizontal="center" vertical="center" wrapText="1"/>
    </xf>
    <xf numFmtId="19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97" fontId="35" fillId="0" borderId="0" xfId="0" applyNumberFormat="1" applyFont="1"/>
    <xf numFmtId="198" fontId="36" fillId="0" borderId="0" xfId="0" applyNumberFormat="1" applyFont="1"/>
    <xf numFmtId="195" fontId="36" fillId="0" borderId="0" xfId="0" applyNumberFormat="1" applyFont="1"/>
    <xf numFmtId="200" fontId="0" fillId="0" borderId="0" xfId="17" applyNumberFormat="1" applyFont="1"/>
    <xf numFmtId="170" fontId="21" fillId="0" borderId="0" xfId="17" applyNumberFormat="1" applyFont="1" applyFill="1" applyAlignment="1">
      <alignment horizontal="center" vertical="center" wrapText="1"/>
    </xf>
    <xf numFmtId="186" fontId="0" fillId="0" borderId="0" xfId="0" applyNumberFormat="1"/>
    <xf numFmtId="4" fontId="3" fillId="0" borderId="29" xfId="16" applyNumberFormat="1" applyFont="1" applyBorder="1" applyAlignment="1">
      <alignment horizontal="center" vertical="center" wrapText="1"/>
    </xf>
    <xf numFmtId="4" fontId="4" fillId="0" borderId="29" xfId="16" applyNumberFormat="1" applyFont="1" applyBorder="1" applyAlignment="1">
      <alignment horizontal="center" vertical="center" wrapText="1"/>
    </xf>
    <xf numFmtId="4" fontId="3" fillId="0" borderId="73" xfId="16" applyNumberFormat="1" applyFont="1" applyBorder="1" applyAlignment="1">
      <alignment horizontal="center" vertical="center" wrapText="1"/>
    </xf>
    <xf numFmtId="4" fontId="21" fillId="0" borderId="8" xfId="11" applyNumberFormat="1" applyFont="1" applyFill="1" applyBorder="1" applyAlignment="1">
      <alignment horizontal="center"/>
    </xf>
    <xf numFmtId="4" fontId="21" fillId="0" borderId="13" xfId="2" applyNumberFormat="1" applyFont="1" applyFill="1" applyBorder="1" applyAlignment="1">
      <alignment horizontal="center"/>
    </xf>
    <xf numFmtId="4" fontId="6" fillId="0" borderId="6" xfId="1" applyNumberFormat="1" applyFont="1" applyFill="1" applyBorder="1" applyAlignment="1">
      <alignment horizontal="right" vertical="center" wrapText="1"/>
    </xf>
    <xf numFmtId="2" fontId="6" fillId="0" borderId="1" xfId="1" applyNumberFormat="1" applyFont="1" applyFill="1" applyBorder="1" applyAlignment="1">
      <alignment horizontal="right" vertical="center" wrapText="1"/>
    </xf>
    <xf numFmtId="2" fontId="6" fillId="0" borderId="1" xfId="1" applyNumberFormat="1" applyFont="1" applyFill="1" applyBorder="1" applyAlignment="1">
      <alignment vertical="center" wrapText="1"/>
    </xf>
    <xf numFmtId="199" fontId="35" fillId="0" borderId="0" xfId="0" applyNumberFormat="1" applyFont="1" applyAlignment="1">
      <alignment horizontal="center"/>
    </xf>
    <xf numFmtId="0" fontId="35" fillId="0" borderId="0" xfId="0" applyFont="1"/>
    <xf numFmtId="196" fontId="35" fillId="0" borderId="0" xfId="17" applyNumberFormat="1" applyFont="1"/>
    <xf numFmtId="0" fontId="6" fillId="0" borderId="0" xfId="1" applyFont="1"/>
    <xf numFmtId="191" fontId="0" fillId="0" borderId="0" xfId="0" applyNumberFormat="1"/>
    <xf numFmtId="4" fontId="7" fillId="0" borderId="0" xfId="1" applyNumberFormat="1" applyFont="1" applyFill="1" applyBorder="1" applyAlignment="1">
      <alignment vertical="center" wrapText="1"/>
    </xf>
    <xf numFmtId="4" fontId="6" fillId="0" borderId="5" xfId="9" applyNumberFormat="1" applyFont="1" applyFill="1" applyBorder="1" applyAlignment="1" applyProtection="1">
      <alignment horizontal="left" vertical="center" wrapText="1"/>
    </xf>
    <xf numFmtId="4" fontId="6" fillId="0" borderId="2" xfId="9" applyNumberFormat="1" applyFont="1" applyFill="1" applyBorder="1" applyAlignment="1" applyProtection="1">
      <alignment horizontal="left" vertical="center" wrapText="1"/>
      <protection locked="0"/>
    </xf>
    <xf numFmtId="4" fontId="6" fillId="0" borderId="2" xfId="9" applyNumberFormat="1" applyFont="1" applyFill="1" applyBorder="1" applyAlignment="1" applyProtection="1">
      <alignment horizontal="left" vertical="center" wrapText="1"/>
    </xf>
    <xf numFmtId="4" fontId="6" fillId="0" borderId="9" xfId="9" applyNumberFormat="1" applyFont="1" applyFill="1" applyBorder="1" applyAlignment="1" applyProtection="1">
      <alignment horizontal="left" vertical="center" wrapText="1"/>
    </xf>
    <xf numFmtId="4" fontId="6" fillId="0" borderId="0" xfId="9" applyNumberFormat="1" applyFont="1" applyFill="1" applyBorder="1" applyAlignment="1" applyProtection="1">
      <alignment horizontal="left" vertical="center"/>
    </xf>
    <xf numFmtId="3" fontId="3" fillId="6" borderId="1" xfId="2" applyNumberFormat="1" applyFont="1" applyFill="1" applyBorder="1" applyAlignment="1">
      <alignment horizontal="right" vertical="center"/>
    </xf>
    <xf numFmtId="3" fontId="3" fillId="0" borderId="1" xfId="2" applyNumberFormat="1" applyFont="1" applyFill="1" applyBorder="1" applyAlignment="1">
      <alignment horizontal="right" vertical="center"/>
    </xf>
    <xf numFmtId="4" fontId="20" fillId="0" borderId="0" xfId="2" applyNumberFormat="1" applyFont="1" applyFill="1" applyBorder="1"/>
    <xf numFmtId="4" fontId="20" fillId="0" borderId="0" xfId="11" applyNumberFormat="1" applyFont="1" applyFill="1" applyBorder="1"/>
    <xf numFmtId="10" fontId="21" fillId="0" borderId="8" xfId="2" applyNumberFormat="1" applyFont="1" applyFill="1" applyBorder="1"/>
    <xf numFmtId="10" fontId="21" fillId="0" borderId="8" xfId="11" applyNumberFormat="1" applyFont="1" applyFill="1" applyBorder="1"/>
    <xf numFmtId="172" fontId="0" fillId="0" borderId="0" xfId="17" applyNumberFormat="1" applyFont="1"/>
    <xf numFmtId="199" fontId="35" fillId="0" borderId="0" xfId="0" applyNumberFormat="1" applyFont="1"/>
    <xf numFmtId="201" fontId="37" fillId="0" borderId="0" xfId="0" applyNumberFormat="1" applyFont="1"/>
    <xf numFmtId="202" fontId="0" fillId="0" borderId="0" xfId="0" applyNumberFormat="1"/>
    <xf numFmtId="196" fontId="35" fillId="0" borderId="0" xfId="0" applyNumberFormat="1" applyFont="1"/>
    <xf numFmtId="202" fontId="35" fillId="0" borderId="0" xfId="0" applyNumberFormat="1" applyFont="1"/>
    <xf numFmtId="4" fontId="6" fillId="0" borderId="1" xfId="16" applyNumberFormat="1" applyFont="1" applyFill="1" applyBorder="1" applyAlignment="1">
      <alignment horizontal="center" vertical="center" wrapText="1"/>
    </xf>
    <xf numFmtId="0" fontId="21" fillId="0" borderId="35" xfId="11" applyFont="1" applyFill="1" applyBorder="1" applyAlignment="1">
      <alignment horizontal="left"/>
    </xf>
    <xf numFmtId="0" fontId="21" fillId="0" borderId="22" xfId="11" applyFont="1" applyFill="1" applyBorder="1" applyAlignment="1">
      <alignment horizontal="left"/>
    </xf>
    <xf numFmtId="0" fontId="21" fillId="0" borderId="8" xfId="11" applyFont="1" applyFill="1" applyBorder="1" applyAlignment="1">
      <alignment horizontal="left"/>
    </xf>
    <xf numFmtId="0" fontId="21" fillId="0" borderId="32" xfId="11" applyFont="1" applyFill="1" applyBorder="1" applyAlignment="1">
      <alignment horizontal="center"/>
    </xf>
    <xf numFmtId="0" fontId="21" fillId="0" borderId="33" xfId="11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188" fontId="33" fillId="0" borderId="1" xfId="2" applyNumberFormat="1" applyFont="1" applyBorder="1" applyAlignment="1">
      <alignment horizontal="center" vertical="center" wrapText="1"/>
    </xf>
    <xf numFmtId="188" fontId="33" fillId="0" borderId="76" xfId="2" applyNumberFormat="1" applyFont="1" applyBorder="1" applyAlignment="1">
      <alignment horizontal="center" vertical="center" wrapText="1"/>
    </xf>
    <xf numFmtId="0" fontId="31" fillId="0" borderId="75" xfId="2" applyFont="1" applyBorder="1" applyAlignment="1">
      <alignment horizontal="center" vertical="center" wrapText="1"/>
    </xf>
    <xf numFmtId="0" fontId="31" fillId="0" borderId="1" xfId="2" applyFont="1" applyBorder="1" applyAlignment="1">
      <alignment horizontal="center" vertical="center" wrapText="1"/>
    </xf>
    <xf numFmtId="0" fontId="0" fillId="0" borderId="3" xfId="0" applyFill="1" applyBorder="1"/>
    <xf numFmtId="0" fontId="32" fillId="9" borderId="93" xfId="2" applyFont="1" applyFill="1" applyBorder="1" applyAlignment="1">
      <alignment horizontal="center" vertical="center" wrapText="1"/>
    </xf>
    <xf numFmtId="0" fontId="31" fillId="0" borderId="95" xfId="2" applyFont="1" applyBorder="1" applyAlignment="1">
      <alignment horizontal="center" vertical="center" wrapText="1"/>
    </xf>
    <xf numFmtId="0" fontId="31" fillId="0" borderId="96" xfId="2" applyFont="1" applyBorder="1" applyAlignment="1">
      <alignment horizontal="center" vertical="center" wrapText="1"/>
    </xf>
    <xf numFmtId="0" fontId="31" fillId="0" borderId="48" xfId="2" applyFont="1" applyBorder="1" applyAlignment="1">
      <alignment horizontal="center" vertical="center" wrapText="1"/>
    </xf>
    <xf numFmtId="0" fontId="33" fillId="0" borderId="78" xfId="2" applyFont="1" applyBorder="1" applyAlignment="1">
      <alignment horizontal="left" vertical="center" wrapText="1"/>
    </xf>
    <xf numFmtId="188" fontId="33" fillId="0" borderId="48" xfId="2" applyNumberFormat="1" applyFont="1" applyBorder="1" applyAlignment="1">
      <alignment horizontal="right" vertical="center" wrapText="1"/>
    </xf>
    <xf numFmtId="0" fontId="33" fillId="0" borderId="97" xfId="2" applyFont="1" applyBorder="1" applyAlignment="1">
      <alignment horizontal="left" vertical="center" wrapText="1"/>
    </xf>
    <xf numFmtId="188" fontId="33" fillId="0" borderId="98" xfId="2" applyNumberFormat="1" applyFont="1" applyBorder="1" applyAlignment="1">
      <alignment horizontal="right" vertical="center" wrapText="1"/>
    </xf>
    <xf numFmtId="0" fontId="33" fillId="0" borderId="101" xfId="2" applyFont="1" applyBorder="1" applyAlignment="1">
      <alignment horizontal="left" vertical="center" wrapText="1"/>
    </xf>
    <xf numFmtId="188" fontId="33" fillId="0" borderId="96" xfId="2" applyNumberFormat="1" applyFont="1" applyBorder="1" applyAlignment="1">
      <alignment horizontal="right" vertical="center" wrapText="1"/>
    </xf>
    <xf numFmtId="0" fontId="6" fillId="0" borderId="58" xfId="2" applyFont="1" applyBorder="1" applyAlignment="1">
      <alignment vertical="center" wrapText="1"/>
    </xf>
    <xf numFmtId="0" fontId="30" fillId="0" borderId="59" xfId="2" applyFont="1" applyBorder="1" applyAlignment="1">
      <alignment vertical="center" wrapText="1"/>
    </xf>
    <xf numFmtId="0" fontId="6" fillId="0" borderId="61" xfId="2" applyFont="1" applyBorder="1" applyAlignment="1">
      <alignment vertical="center" wrapText="1"/>
    </xf>
    <xf numFmtId="165" fontId="0" fillId="0" borderId="0" xfId="18" applyFont="1"/>
    <xf numFmtId="4" fontId="3" fillId="0" borderId="0" xfId="1" applyNumberFormat="1" applyFont="1" applyAlignment="1">
      <alignment horizontal="center" vertical="center" wrapText="1"/>
    </xf>
    <xf numFmtId="4" fontId="5" fillId="14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" fontId="23" fillId="13" borderId="1" xfId="0" applyNumberFormat="1" applyFont="1" applyFill="1" applyBorder="1" applyAlignment="1">
      <alignment horizontal="center" vertical="center" wrapText="1"/>
    </xf>
    <xf numFmtId="171" fontId="6" fillId="0" borderId="1" xfId="17" applyNumberFormat="1" applyFont="1" applyFill="1" applyBorder="1" applyAlignment="1">
      <alignment horizontal="right" vertical="center" wrapText="1"/>
    </xf>
    <xf numFmtId="171" fontId="0" fillId="0" borderId="1" xfId="17" applyNumberFormat="1" applyFont="1" applyBorder="1"/>
    <xf numFmtId="165" fontId="0" fillId="15" borderId="1" xfId="18" applyFont="1" applyFill="1" applyBorder="1"/>
    <xf numFmtId="171" fontId="7" fillId="0" borderId="1" xfId="17" applyNumberFormat="1" applyFont="1" applyFill="1" applyBorder="1" applyAlignment="1">
      <alignment horizontal="right" vertical="center" wrapText="1"/>
    </xf>
    <xf numFmtId="171" fontId="35" fillId="0" borderId="1" xfId="17" applyNumberFormat="1" applyFont="1" applyBorder="1"/>
    <xf numFmtId="174" fontId="7" fillId="0" borderId="1" xfId="17" applyNumberFormat="1" applyFont="1" applyFill="1" applyBorder="1" applyAlignment="1">
      <alignment horizontal="right" vertical="center" wrapText="1"/>
    </xf>
    <xf numFmtId="165" fontId="35" fillId="15" borderId="1" xfId="18" applyFont="1" applyFill="1" applyBorder="1"/>
    <xf numFmtId="171" fontId="6" fillId="2" borderId="22" xfId="17" applyNumberFormat="1" applyFont="1" applyFill="1" applyBorder="1" applyAlignment="1">
      <alignment horizontal="right" vertical="center" wrapText="1"/>
    </xf>
    <xf numFmtId="171" fontId="6" fillId="2" borderId="8" xfId="17" applyNumberFormat="1" applyFont="1" applyFill="1" applyBorder="1" applyAlignment="1">
      <alignment horizontal="right" vertical="center" wrapText="1"/>
    </xf>
    <xf numFmtId="171" fontId="35" fillId="0" borderId="1" xfId="17" applyNumberFormat="1" applyFont="1" applyBorder="1" applyAlignment="1">
      <alignment vertical="center"/>
    </xf>
    <xf numFmtId="165" fontId="35" fillId="15" borderId="1" xfId="18" applyFont="1" applyFill="1" applyBorder="1" applyAlignment="1">
      <alignment vertical="center"/>
    </xf>
    <xf numFmtId="171" fontId="6" fillId="0" borderId="22" xfId="17" applyNumberFormat="1" applyFont="1" applyFill="1" applyBorder="1" applyAlignment="1">
      <alignment horizontal="right" vertical="center" wrapText="1"/>
    </xf>
    <xf numFmtId="0" fontId="0" fillId="16" borderId="37" xfId="0" applyFill="1" applyBorder="1"/>
    <xf numFmtId="0" fontId="0" fillId="16" borderId="16" xfId="0" applyFill="1" applyBorder="1"/>
    <xf numFmtId="0" fontId="0" fillId="16" borderId="18" xfId="0" applyFill="1" applyBorder="1"/>
    <xf numFmtId="0" fontId="0" fillId="16" borderId="10" xfId="0" applyFill="1" applyBorder="1"/>
    <xf numFmtId="0" fontId="0" fillId="16" borderId="0" xfId="0" applyFill="1" applyBorder="1"/>
    <xf numFmtId="0" fontId="0" fillId="16" borderId="11" xfId="0" applyFill="1" applyBorder="1"/>
    <xf numFmtId="4" fontId="0" fillId="16" borderId="10" xfId="0" applyNumberFormat="1" applyFill="1" applyBorder="1"/>
    <xf numFmtId="165" fontId="35" fillId="16" borderId="11" xfId="18" applyFont="1" applyFill="1" applyBorder="1"/>
    <xf numFmtId="0" fontId="35" fillId="16" borderId="11" xfId="0" applyFont="1" applyFill="1" applyBorder="1"/>
    <xf numFmtId="0" fontId="0" fillId="16" borderId="12" xfId="0" applyFill="1" applyBorder="1"/>
    <xf numFmtId="0" fontId="0" fillId="16" borderId="3" xfId="0" applyFill="1" applyBorder="1"/>
    <xf numFmtId="165" fontId="35" fillId="16" borderId="13" xfId="0" applyNumberFormat="1" applyFont="1" applyFill="1" applyBorder="1"/>
    <xf numFmtId="1" fontId="28" fillId="6" borderId="1" xfId="2" applyNumberFormat="1" applyFont="1" applyFill="1" applyBorder="1" applyAlignment="1">
      <alignment horizontal="right" vertical="center"/>
    </xf>
    <xf numFmtId="4" fontId="7" fillId="0" borderId="28" xfId="2" applyNumberFormat="1" applyFont="1" applyFill="1" applyBorder="1" applyAlignment="1">
      <alignment horizontal="centerContinuous" vertical="center"/>
    </xf>
    <xf numFmtId="0" fontId="0" fillId="0" borderId="1" xfId="0" applyBorder="1"/>
    <xf numFmtId="4" fontId="7" fillId="0" borderId="12" xfId="1" applyNumberFormat="1" applyFont="1" applyFill="1" applyBorder="1" applyAlignment="1">
      <alignment horizontal="center" vertical="center" wrapText="1"/>
    </xf>
    <xf numFmtId="4" fontId="7" fillId="0" borderId="13" xfId="1" applyNumberFormat="1" applyFont="1" applyFill="1" applyBorder="1" applyAlignment="1">
      <alignment horizontal="center" vertical="center" wrapText="1"/>
    </xf>
    <xf numFmtId="4" fontId="3" fillId="0" borderId="0" xfId="1" applyNumberFormat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4" fontId="5" fillId="0" borderId="0" xfId="1" applyNumberFormat="1" applyFont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4" fillId="0" borderId="0" xfId="1" applyNumberFormat="1" applyFont="1" applyFill="1" applyBorder="1" applyAlignment="1">
      <alignment horizontal="left" vertical="center" wrapText="1"/>
    </xf>
    <xf numFmtId="4" fontId="4" fillId="0" borderId="0" xfId="1" applyNumberFormat="1" applyFont="1" applyFill="1" applyBorder="1" applyAlignment="1">
      <alignment horizontal="center" vertical="center" wrapText="1"/>
    </xf>
    <xf numFmtId="4" fontId="3" fillId="0" borderId="0" xfId="1" applyNumberFormat="1" applyFont="1" applyFill="1" applyBorder="1" applyAlignment="1">
      <alignment horizontal="center" vertical="center" wrapText="1"/>
    </xf>
    <xf numFmtId="4" fontId="3" fillId="0" borderId="0" xfId="16" applyNumberFormat="1" applyFont="1" applyBorder="1" applyAlignment="1">
      <alignment vertical="center" wrapText="1"/>
    </xf>
    <xf numFmtId="4" fontId="40" fillId="0" borderId="1" xfId="1" applyNumberFormat="1" applyFont="1" applyFill="1" applyBorder="1" applyAlignment="1" applyProtection="1">
      <alignment horizontal="right" vertical="center" wrapText="1"/>
      <protection locked="0"/>
    </xf>
    <xf numFmtId="165" fontId="0" fillId="17" borderId="22" xfId="18" applyFont="1" applyFill="1" applyBorder="1"/>
    <xf numFmtId="165" fontId="0" fillId="17" borderId="8" xfId="18" applyFont="1" applyFill="1" applyBorder="1"/>
    <xf numFmtId="165" fontId="0" fillId="17" borderId="1" xfId="18" applyFont="1" applyFill="1" applyBorder="1"/>
    <xf numFmtId="165" fontId="35" fillId="17" borderId="1" xfId="18" applyFont="1" applyFill="1" applyBorder="1"/>
    <xf numFmtId="165" fontId="35" fillId="17" borderId="1" xfId="18" applyFont="1" applyFill="1" applyBorder="1" applyAlignment="1">
      <alignment vertical="center"/>
    </xf>
    <xf numFmtId="171" fontId="6" fillId="17" borderId="22" xfId="17" applyNumberFormat="1" applyFont="1" applyFill="1" applyBorder="1" applyAlignment="1">
      <alignment horizontal="right" vertical="center" wrapText="1"/>
    </xf>
    <xf numFmtId="171" fontId="6" fillId="17" borderId="8" xfId="17" applyNumberFormat="1" applyFont="1" applyFill="1" applyBorder="1" applyAlignment="1">
      <alignment horizontal="right" vertical="center" wrapText="1"/>
    </xf>
    <xf numFmtId="4" fontId="7" fillId="0" borderId="12" xfId="1" applyNumberFormat="1" applyFont="1" applyFill="1" applyBorder="1" applyAlignment="1">
      <alignment horizontal="center" vertical="center" wrapText="1"/>
    </xf>
    <xf numFmtId="4" fontId="7" fillId="0" borderId="13" xfId="1" applyNumberFormat="1" applyFont="1" applyFill="1" applyBorder="1" applyAlignment="1">
      <alignment horizontal="center"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4" fontId="7" fillId="0" borderId="0" xfId="1" applyNumberFormat="1" applyFont="1" applyFill="1" applyBorder="1" applyAlignment="1">
      <alignment horizontal="center" vertical="center" wrapText="1"/>
    </xf>
    <xf numFmtId="4" fontId="6" fillId="0" borderId="11" xfId="1" applyNumberFormat="1" applyFont="1" applyFill="1" applyBorder="1" applyAlignment="1">
      <alignment horizontal="left" vertical="center" wrapText="1"/>
    </xf>
    <xf numFmtId="4" fontId="6" fillId="0" borderId="16" xfId="1" applyNumberFormat="1" applyFont="1" applyFill="1" applyBorder="1" applyAlignment="1">
      <alignment horizontal="center" vertical="center" wrapText="1"/>
    </xf>
    <xf numFmtId="4" fontId="7" fillId="0" borderId="3" xfId="1" applyNumberFormat="1" applyFont="1" applyFill="1" applyBorder="1" applyAlignment="1">
      <alignment vertical="center" wrapText="1"/>
    </xf>
    <xf numFmtId="4" fontId="6" fillId="0" borderId="11" xfId="1" applyNumberFormat="1" applyFont="1" applyFill="1" applyBorder="1" applyAlignment="1">
      <alignment horizontal="center" vertical="center" wrapText="1"/>
    </xf>
    <xf numFmtId="4" fontId="5" fillId="4" borderId="7" xfId="1" applyNumberFormat="1" applyFont="1" applyFill="1" applyBorder="1" applyAlignment="1">
      <alignment horizontal="center" vertical="center" wrapText="1"/>
    </xf>
    <xf numFmtId="2" fontId="6" fillId="0" borderId="7" xfId="1" applyNumberFormat="1" applyFont="1" applyFill="1" applyBorder="1" applyAlignment="1">
      <alignment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1" fontId="6" fillId="0" borderId="7" xfId="1" applyNumberFormat="1" applyFont="1" applyFill="1" applyBorder="1" applyAlignment="1">
      <alignment vertical="center" wrapText="1"/>
    </xf>
    <xf numFmtId="3" fontId="6" fillId="0" borderId="7" xfId="1" applyNumberFormat="1" applyFont="1" applyFill="1" applyBorder="1" applyAlignment="1">
      <alignment vertical="center" wrapText="1"/>
    </xf>
    <xf numFmtId="4" fontId="6" fillId="0" borderId="7" xfId="1" applyNumberFormat="1" applyFont="1" applyFill="1" applyBorder="1" applyAlignment="1">
      <alignment vertical="center" wrapText="1"/>
    </xf>
    <xf numFmtId="181" fontId="6" fillId="0" borderId="1" xfId="1" applyNumberFormat="1" applyFont="1" applyFill="1" applyBorder="1" applyAlignment="1">
      <alignment vertical="center" wrapText="1"/>
    </xf>
    <xf numFmtId="0" fontId="21" fillId="0" borderId="32" xfId="2" applyFont="1" applyFill="1" applyBorder="1" applyAlignment="1">
      <alignment horizontal="center"/>
    </xf>
    <xf numFmtId="0" fontId="21" fillId="0" borderId="33" xfId="2" applyFont="1" applyFill="1" applyBorder="1" applyAlignment="1">
      <alignment horizontal="center"/>
    </xf>
    <xf numFmtId="0" fontId="21" fillId="0" borderId="35" xfId="2" applyFont="1" applyFill="1" applyBorder="1" applyAlignment="1">
      <alignment horizontal="left"/>
    </xf>
    <xf numFmtId="0" fontId="21" fillId="0" borderId="32" xfId="2" applyFont="1" applyFill="1" applyBorder="1" applyAlignment="1">
      <alignment horizontal="center"/>
    </xf>
    <xf numFmtId="0" fontId="21" fillId="0" borderId="33" xfId="2" applyFont="1" applyFill="1" applyBorder="1" applyAlignment="1">
      <alignment horizontal="center"/>
    </xf>
    <xf numFmtId="0" fontId="21" fillId="0" borderId="35" xfId="2" applyFont="1" applyFill="1" applyBorder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191" fontId="6" fillId="0" borderId="1" xfId="16" applyNumberFormat="1" applyFont="1" applyFill="1" applyBorder="1" applyAlignment="1">
      <alignment horizontal="center" vertical="center" wrapText="1"/>
    </xf>
    <xf numFmtId="10" fontId="6" fillId="0" borderId="82" xfId="16" applyNumberFormat="1" applyFont="1" applyBorder="1" applyAlignment="1">
      <alignment horizontal="center" vertical="center" wrapText="1"/>
    </xf>
    <xf numFmtId="10" fontId="6" fillId="0" borderId="83" xfId="16" applyNumberFormat="1" applyFont="1" applyBorder="1" applyAlignment="1">
      <alignment horizontal="center" vertical="center" wrapText="1"/>
    </xf>
    <xf numFmtId="4" fontId="4" fillId="0" borderId="7" xfId="16" applyNumberFormat="1" applyFont="1" applyFill="1" applyBorder="1" applyAlignment="1">
      <alignment horizontal="center" vertical="center" wrapText="1"/>
    </xf>
    <xf numFmtId="4" fontId="4" fillId="0" borderId="1" xfId="16" applyNumberFormat="1" applyFont="1" applyFill="1" applyBorder="1" applyAlignment="1">
      <alignment horizontal="center" vertical="center" wrapText="1"/>
    </xf>
    <xf numFmtId="0" fontId="1" fillId="0" borderId="1" xfId="9" applyFont="1" applyFill="1" applyBorder="1" applyAlignment="1" applyProtection="1">
      <alignment horizontal="left" wrapText="1"/>
    </xf>
    <xf numFmtId="0" fontId="1" fillId="0" borderId="1" xfId="9" applyFont="1" applyFill="1" applyBorder="1" applyAlignment="1" applyProtection="1">
      <alignment horizontal="justify"/>
    </xf>
    <xf numFmtId="0" fontId="1" fillId="6" borderId="1" xfId="9" applyFont="1" applyFill="1" applyBorder="1" applyAlignment="1" applyProtection="1">
      <alignment horizontal="left" wrapText="1"/>
    </xf>
    <xf numFmtId="0" fontId="1" fillId="6" borderId="1" xfId="9" applyFont="1" applyFill="1" applyBorder="1" applyAlignment="1" applyProtection="1">
      <alignment horizontal="justify"/>
    </xf>
    <xf numFmtId="0" fontId="1" fillId="6" borderId="17" xfId="9" applyFont="1" applyFill="1" applyBorder="1" applyAlignment="1" applyProtection="1">
      <alignment horizontal="justify"/>
    </xf>
    <xf numFmtId="4" fontId="3" fillId="0" borderId="15" xfId="16" applyNumberFormat="1" applyFont="1" applyBorder="1" applyAlignment="1">
      <alignment horizontal="center" vertical="center" wrapText="1"/>
    </xf>
    <xf numFmtId="4" fontId="21" fillId="0" borderId="1" xfId="16" applyNumberFormat="1" applyFont="1" applyFill="1" applyBorder="1" applyAlignment="1">
      <alignment vertical="center" wrapText="1"/>
    </xf>
    <xf numFmtId="4" fontId="13" fillId="0" borderId="0" xfId="0" applyNumberFormat="1" applyFont="1" applyAlignment="1"/>
    <xf numFmtId="10" fontId="21" fillId="0" borderId="1" xfId="16" applyNumberFormat="1" applyFont="1" applyFill="1" applyBorder="1" applyAlignment="1">
      <alignment horizontal="center" vertical="center" wrapText="1"/>
    </xf>
    <xf numFmtId="4" fontId="4" fillId="0" borderId="0" xfId="1" applyNumberFormat="1" applyFont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center" vertical="center" wrapText="1"/>
    </xf>
    <xf numFmtId="0" fontId="4" fillId="2" borderId="78" xfId="2" applyFont="1" applyFill="1" applyBorder="1" applyAlignment="1">
      <alignment horizontal="center" vertical="center"/>
    </xf>
    <xf numFmtId="0" fontId="3" fillId="0" borderId="78" xfId="2" applyFont="1" applyFill="1" applyBorder="1" applyAlignment="1">
      <alignment horizontal="center" vertical="center"/>
    </xf>
    <xf numFmtId="3" fontId="3" fillId="0" borderId="48" xfId="2" applyNumberFormat="1" applyFont="1" applyFill="1" applyBorder="1" applyAlignment="1">
      <alignment horizontal="right" vertical="center" wrapText="1"/>
    </xf>
    <xf numFmtId="0" fontId="4" fillId="2" borderId="105" xfId="2" applyFont="1" applyFill="1" applyBorder="1" applyAlignment="1">
      <alignment horizontal="center" vertical="center" wrapText="1"/>
    </xf>
    <xf numFmtId="0" fontId="3" fillId="0" borderId="35" xfId="2" applyFont="1" applyFill="1" applyBorder="1" applyAlignment="1">
      <alignment horizontal="center" vertical="center"/>
    </xf>
    <xf numFmtId="184" fontId="5" fillId="2" borderId="60" xfId="15" applyNumberFormat="1" applyFont="1" applyFill="1" applyBorder="1" applyAlignment="1">
      <alignment horizontal="right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Fill="1" applyBorder="1" applyAlignment="1">
      <alignment horizontal="center"/>
    </xf>
    <xf numFmtId="4" fontId="6" fillId="0" borderId="1" xfId="6" applyNumberFormat="1" applyFont="1" applyFill="1" applyBorder="1"/>
    <xf numFmtId="0" fontId="6" fillId="0" borderId="1" xfId="2" applyFont="1" applyFill="1" applyBorder="1" applyAlignment="1">
      <alignment vertical="center"/>
    </xf>
    <xf numFmtId="179" fontId="6" fillId="0" borderId="1" xfId="8" applyNumberFormat="1" applyFont="1" applyFill="1" applyBorder="1"/>
    <xf numFmtId="0" fontId="6" fillId="0" borderId="0" xfId="2" applyFont="1" applyFill="1" applyBorder="1" applyAlignment="1">
      <alignment vertical="center" wrapText="1"/>
    </xf>
    <xf numFmtId="4" fontId="6" fillId="0" borderId="0" xfId="2" applyNumberFormat="1" applyFont="1" applyFill="1" applyBorder="1"/>
    <xf numFmtId="0" fontId="6" fillId="0" borderId="1" xfId="2" applyFont="1" applyFill="1" applyBorder="1"/>
    <xf numFmtId="10" fontId="6" fillId="0" borderId="1" xfId="6" applyNumberFormat="1" applyFont="1" applyFill="1" applyBorder="1"/>
    <xf numFmtId="9" fontId="6" fillId="0" borderId="1" xfId="6" applyFont="1" applyFill="1" applyBorder="1"/>
    <xf numFmtId="0" fontId="6" fillId="0" borderId="1" xfId="2" applyFont="1" applyFill="1" applyBorder="1" applyAlignment="1">
      <alignment wrapText="1"/>
    </xf>
    <xf numFmtId="4" fontId="4" fillId="4" borderId="1" xfId="1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4" fontId="21" fillId="0" borderId="1" xfId="1" applyNumberFormat="1" applyFont="1" applyFill="1" applyBorder="1" applyAlignment="1" applyProtection="1">
      <alignment horizontal="right" vertical="center" wrapText="1"/>
      <protection locked="0"/>
    </xf>
    <xf numFmtId="4" fontId="4" fillId="0" borderId="0" xfId="1" applyNumberFormat="1" applyFont="1" applyAlignment="1">
      <alignment horizontal="center" vertical="center" wrapText="1"/>
    </xf>
    <xf numFmtId="4" fontId="5" fillId="0" borderId="0" xfId="1" applyNumberFormat="1" applyFont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4" fillId="0" borderId="0" xfId="1" applyNumberFormat="1" applyFont="1" applyFill="1" applyBorder="1" applyAlignment="1">
      <alignment horizontal="center"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2" fontId="6" fillId="0" borderId="7" xfId="1" applyNumberFormat="1" applyFont="1" applyFill="1" applyBorder="1" applyAlignment="1">
      <alignment horizontal="center" vertical="center" wrapText="1"/>
    </xf>
    <xf numFmtId="0" fontId="41" fillId="0" borderId="1" xfId="0" applyFont="1" applyBorder="1"/>
    <xf numFmtId="0" fontId="42" fillId="0" borderId="15" xfId="0" applyFont="1" applyBorder="1"/>
    <xf numFmtId="0" fontId="43" fillId="0" borderId="1" xfId="0" applyFont="1" applyBorder="1" applyAlignment="1">
      <alignment horizontal="right"/>
    </xf>
    <xf numFmtId="0" fontId="44" fillId="0" borderId="1" xfId="0" applyFont="1" applyBorder="1"/>
    <xf numFmtId="0" fontId="45" fillId="0" borderId="1" xfId="0" applyFont="1" applyBorder="1" applyAlignment="1">
      <alignment horizontal="center"/>
    </xf>
    <xf numFmtId="0" fontId="45" fillId="0" borderId="1" xfId="0" applyFont="1" applyBorder="1"/>
    <xf numFmtId="4" fontId="7" fillId="0" borderId="1" xfId="1" applyNumberFormat="1" applyFont="1" applyFill="1" applyBorder="1" applyAlignment="1" applyProtection="1">
      <alignment horizontal="right" vertical="center" wrapText="1"/>
      <protection locked="0"/>
    </xf>
    <xf numFmtId="4" fontId="4" fillId="4" borderId="1" xfId="1" applyNumberFormat="1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/>
    </xf>
    <xf numFmtId="2" fontId="41" fillId="0" borderId="1" xfId="0" applyNumberFormat="1" applyFont="1" applyBorder="1"/>
    <xf numFmtId="4" fontId="46" fillId="0" borderId="1" xfId="1" applyNumberFormat="1" applyFont="1" applyFill="1" applyBorder="1" applyAlignment="1" applyProtection="1">
      <alignment horizontal="right" vertical="center" wrapText="1"/>
      <protection locked="0"/>
    </xf>
    <xf numFmtId="4" fontId="46" fillId="0" borderId="1" xfId="1" applyNumberFormat="1" applyFont="1" applyFill="1" applyBorder="1" applyAlignment="1">
      <alignment horizontal="right" vertical="center" wrapText="1"/>
    </xf>
    <xf numFmtId="4" fontId="46" fillId="0" borderId="1" xfId="1" applyNumberFormat="1" applyFont="1" applyFill="1" applyBorder="1" applyAlignment="1">
      <alignment vertical="center" wrapText="1"/>
    </xf>
    <xf numFmtId="4" fontId="46" fillId="0" borderId="1" xfId="1" applyNumberFormat="1" applyFont="1" applyFill="1" applyBorder="1" applyAlignment="1">
      <alignment horizontal="center" vertical="center" wrapText="1"/>
    </xf>
    <xf numFmtId="0" fontId="41" fillId="0" borderId="15" xfId="0" applyFont="1" applyFill="1" applyBorder="1"/>
    <xf numFmtId="0" fontId="41" fillId="0" borderId="1" xfId="0" applyFont="1" applyFill="1" applyBorder="1"/>
    <xf numFmtId="0" fontId="42" fillId="0" borderId="1" xfId="0" applyFont="1" applyFill="1" applyBorder="1"/>
    <xf numFmtId="2" fontId="41" fillId="0" borderId="15" xfId="0" applyNumberFormat="1" applyFont="1" applyFill="1" applyBorder="1"/>
    <xf numFmtId="2" fontId="41" fillId="0" borderId="1" xfId="0" applyNumberFormat="1" applyFont="1" applyFill="1" applyBorder="1"/>
    <xf numFmtId="2" fontId="42" fillId="0" borderId="1" xfId="0" applyNumberFormat="1" applyFont="1" applyFill="1" applyBorder="1" applyAlignment="1">
      <alignment horizontal="center"/>
    </xf>
    <xf numFmtId="0" fontId="41" fillId="0" borderId="0" xfId="0" applyFont="1"/>
    <xf numFmtId="0" fontId="41" fillId="0" borderId="17" xfId="0" applyFont="1" applyBorder="1"/>
    <xf numFmtId="0" fontId="43" fillId="0" borderId="0" xfId="0" applyFont="1" applyAlignment="1">
      <alignment horizontal="right"/>
    </xf>
    <xf numFmtId="0" fontId="0" fillId="0" borderId="1" xfId="0" applyFill="1" applyBorder="1" applyAlignment="1">
      <alignment horizontal="center"/>
    </xf>
    <xf numFmtId="4" fontId="0" fillId="0" borderId="1" xfId="0" applyNumberFormat="1" applyBorder="1"/>
    <xf numFmtId="2" fontId="0" fillId="0" borderId="1" xfId="0" applyNumberFormat="1" applyBorder="1"/>
    <xf numFmtId="0" fontId="42" fillId="0" borderId="1" xfId="0" applyFont="1" applyBorder="1"/>
    <xf numFmtId="0" fontId="42" fillId="0" borderId="1" xfId="0" applyFont="1" applyBorder="1" applyAlignment="1">
      <alignment horizont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0" fontId="47" fillId="0" borderId="0" xfId="2" applyFont="1" applyFill="1"/>
    <xf numFmtId="4" fontId="4" fillId="0" borderId="1" xfId="1" applyNumberFormat="1" applyFont="1" applyFill="1" applyBorder="1" applyAlignment="1">
      <alignment horizontal="center" vertical="center" wrapText="1"/>
    </xf>
    <xf numFmtId="4" fontId="6" fillId="0" borderId="2" xfId="1" applyNumberFormat="1" applyFont="1" applyFill="1" applyBorder="1" applyAlignment="1">
      <alignment vertical="center" wrapText="1"/>
    </xf>
    <xf numFmtId="4" fontId="6" fillId="0" borderId="1" xfId="1" applyNumberFormat="1" applyFont="1" applyFill="1" applyBorder="1" applyAlignment="1">
      <alignment horizontal="left" vertical="center" wrapText="1"/>
    </xf>
    <xf numFmtId="0" fontId="0" fillId="0" borderId="0" xfId="0" applyFill="1"/>
    <xf numFmtId="4" fontId="0" fillId="0" borderId="0" xfId="0" applyNumberFormat="1"/>
    <xf numFmtId="0" fontId="6" fillId="0" borderId="0" xfId="2" applyFont="1" applyFill="1"/>
    <xf numFmtId="178" fontId="6" fillId="0" borderId="0" xfId="2" applyNumberFormat="1" applyFont="1" applyFill="1"/>
    <xf numFmtId="9" fontId="6" fillId="0" borderId="0" xfId="6" applyFont="1" applyFill="1"/>
    <xf numFmtId="0" fontId="3" fillId="0" borderId="0" xfId="2" applyFont="1" applyFill="1"/>
    <xf numFmtId="179" fontId="6" fillId="0" borderId="0" xfId="2" applyNumberFormat="1" applyFont="1" applyFill="1"/>
    <xf numFmtId="179" fontId="6" fillId="0" borderId="2" xfId="8" applyNumberFormat="1" applyFont="1" applyFill="1" applyBorder="1"/>
    <xf numFmtId="4" fontId="6" fillId="0" borderId="0" xfId="2" applyNumberFormat="1" applyFont="1" applyFill="1"/>
    <xf numFmtId="178" fontId="6" fillId="0" borderId="0" xfId="8" applyFont="1" applyFill="1" applyAlignment="1">
      <alignment horizontal="center"/>
    </xf>
    <xf numFmtId="4" fontId="21" fillId="0" borderId="1" xfId="2" applyNumberFormat="1" applyFont="1" applyFill="1" applyBorder="1"/>
    <xf numFmtId="4" fontId="6" fillId="0" borderId="0" xfId="6" applyNumberFormat="1" applyFont="1" applyFill="1"/>
    <xf numFmtId="4" fontId="6" fillId="0" borderId="0" xfId="6" applyNumberFormat="1" applyFont="1" applyFill="1" applyBorder="1"/>
    <xf numFmtId="3" fontId="0" fillId="0" borderId="0" xfId="0" applyNumberFormat="1"/>
    <xf numFmtId="0" fontId="6" fillId="0" borderId="1" xfId="2" applyFont="1" applyFill="1" applyBorder="1" applyAlignment="1">
      <alignment vertical="center" wrapText="1"/>
    </xf>
    <xf numFmtId="0" fontId="6" fillId="0" borderId="1" xfId="2" applyFont="1" applyFill="1" applyBorder="1" applyAlignment="1">
      <alignment horizontal="center"/>
    </xf>
    <xf numFmtId="4" fontId="6" fillId="0" borderId="1" xfId="6" applyNumberFormat="1" applyFont="1" applyFill="1" applyBorder="1"/>
    <xf numFmtId="0" fontId="6" fillId="0" borderId="1" xfId="2" applyFont="1" applyFill="1" applyBorder="1" applyAlignment="1">
      <alignment vertical="center"/>
    </xf>
    <xf numFmtId="0" fontId="6" fillId="0" borderId="0" xfId="2" applyFont="1" applyFill="1" applyBorder="1" applyAlignment="1">
      <alignment horizontal="center"/>
    </xf>
    <xf numFmtId="179" fontId="6" fillId="0" borderId="1" xfId="8" applyNumberFormat="1" applyFont="1" applyFill="1" applyBorder="1"/>
    <xf numFmtId="0" fontId="6" fillId="0" borderId="0" xfId="2" applyFont="1" applyFill="1" applyBorder="1" applyAlignment="1">
      <alignment vertical="center" wrapText="1"/>
    </xf>
    <xf numFmtId="4" fontId="6" fillId="0" borderId="0" xfId="2" applyNumberFormat="1" applyFont="1" applyFill="1" applyBorder="1"/>
    <xf numFmtId="3" fontId="6" fillId="0" borderId="1" xfId="2" applyNumberFormat="1" applyFont="1" applyFill="1" applyBorder="1" applyAlignment="1">
      <alignment horizontal="center"/>
    </xf>
    <xf numFmtId="0" fontId="6" fillId="0" borderId="1" xfId="2" applyFont="1" applyFill="1" applyBorder="1"/>
    <xf numFmtId="9" fontId="6" fillId="0" borderId="1" xfId="6" applyFont="1" applyFill="1" applyBorder="1"/>
    <xf numFmtId="0" fontId="6" fillId="0" borderId="1" xfId="2" applyFont="1" applyFill="1" applyBorder="1" applyAlignment="1">
      <alignment wrapText="1"/>
    </xf>
    <xf numFmtId="3" fontId="15" fillId="0" borderId="0" xfId="3" applyNumberFormat="1" applyFont="1" applyBorder="1" applyAlignment="1">
      <alignment horizontal="left" vertical="center" wrapText="1"/>
    </xf>
    <xf numFmtId="4" fontId="15" fillId="0" borderId="0" xfId="3" applyNumberFormat="1" applyFont="1" applyBorder="1" applyAlignment="1">
      <alignment vertical="center" wrapText="1"/>
    </xf>
    <xf numFmtId="0" fontId="0" fillId="2" borderId="0" xfId="0" applyFill="1"/>
    <xf numFmtId="165" fontId="0" fillId="2" borderId="0" xfId="18" applyFont="1" applyFill="1"/>
    <xf numFmtId="4" fontId="0" fillId="2" borderId="0" xfId="0" applyNumberFormat="1" applyFill="1"/>
    <xf numFmtId="4" fontId="4" fillId="2" borderId="63" xfId="2" applyNumberFormat="1" applyFont="1" applyFill="1" applyBorder="1" applyAlignment="1">
      <alignment horizontal="center" vertical="center" wrapText="1"/>
    </xf>
    <xf numFmtId="4" fontId="4" fillId="2" borderId="1" xfId="1" applyNumberFormat="1" applyFont="1" applyFill="1" applyBorder="1" applyAlignment="1">
      <alignment vertical="center" wrapText="1"/>
    </xf>
    <xf numFmtId="0" fontId="35" fillId="2" borderId="0" xfId="0" applyFont="1" applyFill="1"/>
    <xf numFmtId="4" fontId="4" fillId="0" borderId="15" xfId="1" applyNumberFormat="1" applyFont="1" applyFill="1" applyBorder="1" applyAlignment="1">
      <alignment vertical="center" wrapText="1"/>
    </xf>
    <xf numFmtId="4" fontId="4" fillId="0" borderId="106" xfId="1" applyNumberFormat="1" applyFont="1" applyFill="1" applyBorder="1" applyAlignment="1">
      <alignment horizontal="center" vertical="center" wrapText="1"/>
    </xf>
    <xf numFmtId="4" fontId="4" fillId="2" borderId="63" xfId="1" applyNumberFormat="1" applyFont="1" applyFill="1" applyBorder="1" applyAlignment="1">
      <alignment horizontal="center" vertical="center" wrapText="1"/>
    </xf>
    <xf numFmtId="4" fontId="7" fillId="0" borderId="1" xfId="1" applyNumberFormat="1" applyFont="1" applyFill="1" applyBorder="1" applyAlignment="1">
      <alignment horizontal="left" vertical="center" wrapText="1"/>
    </xf>
    <xf numFmtId="1" fontId="6" fillId="0" borderId="1" xfId="1" applyNumberFormat="1" applyFont="1" applyFill="1" applyBorder="1" applyAlignment="1">
      <alignment horizontal="center" vertical="center" wrapText="1"/>
    </xf>
    <xf numFmtId="4" fontId="5" fillId="4" borderId="1" xfId="1" applyNumberFormat="1" applyFont="1" applyFill="1" applyBorder="1" applyAlignment="1">
      <alignment horizontal="right" vertical="center" wrapText="1"/>
    </xf>
    <xf numFmtId="4" fontId="7" fillId="11" borderId="1" xfId="1" applyNumberFormat="1" applyFont="1" applyFill="1" applyBorder="1" applyAlignment="1">
      <alignment horizontal="right" vertical="center" wrapText="1"/>
    </xf>
    <xf numFmtId="4" fontId="7" fillId="11" borderId="1" xfId="1" applyNumberFormat="1" applyFont="1" applyFill="1" applyBorder="1" applyAlignment="1">
      <alignment horizontal="center" vertical="center" wrapText="1"/>
    </xf>
    <xf numFmtId="4" fontId="6" fillId="0" borderId="7" xfId="1" applyNumberFormat="1" applyFont="1" applyFill="1" applyBorder="1" applyAlignment="1">
      <alignment horizontal="center" vertical="center" wrapText="1"/>
    </xf>
    <xf numFmtId="164" fontId="6" fillId="0" borderId="0" xfId="21" applyFont="1" applyFill="1"/>
    <xf numFmtId="164" fontId="6" fillId="0" borderId="0" xfId="2" applyNumberFormat="1" applyFont="1" applyFill="1"/>
    <xf numFmtId="4" fontId="5" fillId="0" borderId="0" xfId="1" applyNumberFormat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" fontId="7" fillId="11" borderId="7" xfId="1" applyNumberFormat="1" applyFont="1" applyFill="1" applyBorder="1" applyAlignment="1">
      <alignment horizontal="center" vertical="center" wrapText="1"/>
    </xf>
    <xf numFmtId="4" fontId="5" fillId="3" borderId="0" xfId="1" applyNumberFormat="1" applyFont="1" applyFill="1" applyAlignment="1">
      <alignment horizontal="left" vertical="center"/>
    </xf>
    <xf numFmtId="4" fontId="4" fillId="0" borderId="0" xfId="1" applyNumberFormat="1" applyFont="1" applyBorder="1" applyAlignment="1">
      <alignment vertical="center" wrapText="1"/>
    </xf>
    <xf numFmtId="4" fontId="7" fillId="0" borderId="0" xfId="1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4" fontId="4" fillId="4" borderId="1" xfId="1" applyNumberFormat="1" applyFont="1" applyFill="1" applyBorder="1" applyAlignment="1">
      <alignment horizontal="center" vertical="center" wrapText="1"/>
    </xf>
    <xf numFmtId="4" fontId="7" fillId="0" borderId="0" xfId="1" applyNumberFormat="1" applyFont="1" applyFill="1" applyBorder="1" applyAlignment="1">
      <alignment horizontal="left" vertical="top" wrapText="1"/>
    </xf>
    <xf numFmtId="4" fontId="4" fillId="2" borderId="65" xfId="1" applyNumberFormat="1" applyFont="1" applyFill="1" applyBorder="1" applyAlignment="1" applyProtection="1">
      <alignment horizontal="left" vertical="center" wrapText="1"/>
      <protection locked="0"/>
    </xf>
    <xf numFmtId="0" fontId="49" fillId="0" borderId="0" xfId="0" applyFont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49" fillId="0" borderId="0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53" fillId="0" borderId="78" xfId="0" applyFont="1" applyBorder="1" applyAlignment="1">
      <alignment horizontal="center" vertical="center" wrapText="1"/>
    </xf>
    <xf numFmtId="0" fontId="53" fillId="0" borderId="48" xfId="0" applyFont="1" applyBorder="1" applyAlignment="1">
      <alignment horizontal="center" vertical="center" wrapText="1"/>
    </xf>
    <xf numFmtId="0" fontId="49" fillId="0" borderId="78" xfId="0" applyFont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0" fontId="49" fillId="0" borderId="48" xfId="0" applyFont="1" applyBorder="1" applyAlignment="1">
      <alignment horizontal="center" vertical="center" wrapText="1"/>
    </xf>
    <xf numFmtId="0" fontId="49" fillId="18" borderId="78" xfId="0" applyFont="1" applyFill="1" applyBorder="1" applyAlignment="1">
      <alignment horizontal="center" vertical="center" wrapText="1"/>
    </xf>
    <xf numFmtId="0" fontId="49" fillId="18" borderId="1" xfId="0" applyFont="1" applyFill="1" applyBorder="1" applyAlignment="1">
      <alignment horizontal="center" vertical="center" wrapText="1"/>
    </xf>
    <xf numFmtId="0" fontId="49" fillId="18" borderId="48" xfId="0" applyFont="1" applyFill="1" applyBorder="1" applyAlignment="1">
      <alignment horizontal="center" vertical="center" wrapText="1"/>
    </xf>
    <xf numFmtId="0" fontId="49" fillId="0" borderId="78" xfId="0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wrapText="1"/>
    </xf>
    <xf numFmtId="0" fontId="49" fillId="0" borderId="48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 wrapText="1"/>
    </xf>
    <xf numFmtId="4" fontId="54" fillId="11" borderId="78" xfId="1" applyNumberFormat="1" applyFont="1" applyFill="1" applyBorder="1" applyAlignment="1">
      <alignment horizontal="center" vertical="center" wrapText="1"/>
    </xf>
    <xf numFmtId="4" fontId="54" fillId="11" borderId="1" xfId="1" applyNumberFormat="1" applyFont="1" applyFill="1" applyBorder="1" applyAlignment="1">
      <alignment horizontal="center" vertical="center" wrapText="1"/>
    </xf>
    <xf numFmtId="4" fontId="54" fillId="11" borderId="48" xfId="1" applyNumberFormat="1" applyFont="1" applyFill="1" applyBorder="1" applyAlignment="1">
      <alignment horizontal="center" vertical="center" wrapText="1"/>
    </xf>
    <xf numFmtId="0" fontId="49" fillId="11" borderId="78" xfId="0" applyFont="1" applyFill="1" applyBorder="1" applyAlignment="1">
      <alignment horizontal="center" vertical="center" wrapText="1"/>
    </xf>
    <xf numFmtId="0" fontId="49" fillId="11" borderId="1" xfId="0" applyFont="1" applyFill="1" applyBorder="1" applyAlignment="1">
      <alignment horizontal="center" vertical="center" wrapText="1"/>
    </xf>
    <xf numFmtId="0" fontId="49" fillId="11" borderId="48" xfId="0" applyFont="1" applyFill="1" applyBorder="1" applyAlignment="1">
      <alignment horizontal="center" vertical="center" wrapText="1"/>
    </xf>
    <xf numFmtId="4" fontId="55" fillId="0" borderId="78" xfId="1" applyNumberFormat="1" applyFont="1" applyFill="1" applyBorder="1" applyAlignment="1">
      <alignment horizontal="center" vertical="center" wrapText="1"/>
    </xf>
    <xf numFmtId="4" fontId="55" fillId="0" borderId="48" xfId="1" applyNumberFormat="1" applyFont="1" applyFill="1" applyBorder="1" applyAlignment="1">
      <alignment horizontal="left" vertical="center" wrapText="1"/>
    </xf>
    <xf numFmtId="4" fontId="55" fillId="0" borderId="78" xfId="1" applyNumberFormat="1" applyFont="1" applyFill="1" applyBorder="1" applyAlignment="1">
      <alignment horizontal="left" vertical="center" wrapText="1"/>
    </xf>
    <xf numFmtId="4" fontId="55" fillId="0" borderId="1" xfId="1" applyNumberFormat="1" applyFont="1" applyFill="1" applyBorder="1" applyAlignment="1">
      <alignment horizontal="left" vertical="center" wrapText="1"/>
    </xf>
    <xf numFmtId="4" fontId="54" fillId="19" borderId="78" xfId="1" applyNumberFormat="1" applyFont="1" applyFill="1" applyBorder="1" applyAlignment="1">
      <alignment horizontal="center" vertical="center" wrapText="1"/>
    </xf>
    <xf numFmtId="4" fontId="54" fillId="19" borderId="1" xfId="1" applyNumberFormat="1" applyFont="1" applyFill="1" applyBorder="1" applyAlignment="1">
      <alignment horizontal="center" vertical="center" wrapText="1"/>
    </xf>
    <xf numFmtId="4" fontId="54" fillId="19" borderId="48" xfId="1" applyNumberFormat="1" applyFont="1" applyFill="1" applyBorder="1" applyAlignment="1">
      <alignment horizontal="center" vertical="center" wrapText="1"/>
    </xf>
    <xf numFmtId="0" fontId="49" fillId="19" borderId="78" xfId="0" applyFont="1" applyFill="1" applyBorder="1" applyAlignment="1">
      <alignment horizontal="center" vertical="center" wrapText="1"/>
    </xf>
    <xf numFmtId="0" fontId="49" fillId="19" borderId="1" xfId="0" applyFont="1" applyFill="1" applyBorder="1" applyAlignment="1">
      <alignment horizontal="center" vertical="center" wrapText="1"/>
    </xf>
    <xf numFmtId="0" fontId="49" fillId="19" borderId="48" xfId="0" applyFont="1" applyFill="1" applyBorder="1" applyAlignment="1">
      <alignment horizontal="center" vertical="center" wrapText="1"/>
    </xf>
    <xf numFmtId="0" fontId="49" fillId="19" borderId="0" xfId="0" applyFont="1" applyFill="1" applyAlignment="1">
      <alignment horizontal="center" vertical="center" wrapText="1"/>
    </xf>
    <xf numFmtId="167" fontId="55" fillId="0" borderId="78" xfId="1" applyNumberFormat="1" applyFont="1" applyFill="1" applyBorder="1" applyAlignment="1">
      <alignment horizontal="center" vertical="center" wrapText="1"/>
    </xf>
    <xf numFmtId="0" fontId="49" fillId="0" borderId="79" xfId="0" applyFont="1" applyBorder="1" applyAlignment="1">
      <alignment vertical="center" wrapText="1"/>
    </xf>
    <xf numFmtId="0" fontId="49" fillId="0" borderId="41" xfId="0" applyFont="1" applyBorder="1" applyAlignment="1">
      <alignment vertical="center" wrapText="1"/>
    </xf>
    <xf numFmtId="0" fontId="49" fillId="0" borderId="60" xfId="0" applyFont="1" applyBorder="1" applyAlignment="1">
      <alignment vertical="center" wrapText="1"/>
    </xf>
    <xf numFmtId="0" fontId="49" fillId="0" borderId="79" xfId="0" applyFont="1" applyBorder="1" applyAlignment="1">
      <alignment horizontal="center" vertical="center" wrapText="1"/>
    </xf>
    <xf numFmtId="0" fontId="49" fillId="0" borderId="41" xfId="0" applyFont="1" applyBorder="1" applyAlignment="1">
      <alignment horizontal="center" vertical="center" wrapText="1"/>
    </xf>
    <xf numFmtId="0" fontId="49" fillId="0" borderId="60" xfId="0" applyFont="1" applyBorder="1" applyAlignment="1">
      <alignment horizontal="center" vertical="center" wrapText="1"/>
    </xf>
    <xf numFmtId="0" fontId="49" fillId="18" borderId="79" xfId="0" applyFont="1" applyFill="1" applyBorder="1" applyAlignment="1">
      <alignment horizontal="center" vertical="center" wrapText="1"/>
    </xf>
    <xf numFmtId="0" fontId="49" fillId="18" borderId="41" xfId="0" applyFont="1" applyFill="1" applyBorder="1" applyAlignment="1">
      <alignment horizontal="center" vertical="center" wrapText="1"/>
    </xf>
    <xf numFmtId="0" fontId="49" fillId="18" borderId="60" xfId="0" applyFont="1" applyFill="1" applyBorder="1" applyAlignment="1">
      <alignment horizontal="center" vertical="center" wrapText="1"/>
    </xf>
    <xf numFmtId="0" fontId="53" fillId="0" borderId="0" xfId="0" applyFont="1" applyAlignment="1">
      <alignment vertical="center" wrapText="1"/>
    </xf>
    <xf numFmtId="0" fontId="49" fillId="0" borderId="0" xfId="0" applyFont="1" applyAlignment="1">
      <alignment vertical="center" wrapText="1"/>
    </xf>
    <xf numFmtId="0" fontId="53" fillId="0" borderId="0" xfId="0" applyFont="1" applyAlignment="1">
      <alignment horizontal="center" vertical="center" wrapText="1"/>
    </xf>
    <xf numFmtId="0" fontId="16" fillId="0" borderId="0" xfId="0" applyFont="1" applyAlignment="1"/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/>
    <xf numFmtId="0" fontId="16" fillId="0" borderId="1" xfId="0" applyFont="1" applyFill="1" applyBorder="1" applyAlignment="1"/>
    <xf numFmtId="0" fontId="13" fillId="0" borderId="1" xfId="0" applyFont="1" applyBorder="1" applyAlignment="1"/>
    <xf numFmtId="185" fontId="16" fillId="0" borderId="1" xfId="0" applyNumberFormat="1" applyFont="1" applyBorder="1" applyAlignment="1"/>
    <xf numFmtId="0" fontId="13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wrapText="1"/>
    </xf>
    <xf numFmtId="0" fontId="16" fillId="0" borderId="1" xfId="0" applyFont="1" applyFill="1" applyBorder="1" applyAlignment="1">
      <alignment horizontal="center" vertical="center"/>
    </xf>
    <xf numFmtId="185" fontId="16" fillId="0" borderId="1" xfId="0" applyNumberFormat="1" applyFont="1" applyFill="1" applyBorder="1" applyAlignment="1">
      <alignment horizontal="right" vertical="center"/>
    </xf>
    <xf numFmtId="0" fontId="16" fillId="0" borderId="0" xfId="0" applyFont="1" applyFill="1" applyAlignment="1"/>
    <xf numFmtId="0" fontId="16" fillId="0" borderId="1" xfId="0" applyFont="1" applyFill="1" applyBorder="1" applyAlignment="1">
      <alignment horizontal="left" vertical="center" wrapText="1"/>
    </xf>
    <xf numFmtId="185" fontId="16" fillId="0" borderId="1" xfId="0" applyNumberFormat="1" applyFont="1" applyFill="1" applyBorder="1" applyAlignment="1"/>
    <xf numFmtId="2" fontId="16" fillId="0" borderId="1" xfId="0" applyNumberFormat="1" applyFont="1" applyBorder="1" applyAlignment="1">
      <alignment horizontal="center"/>
    </xf>
    <xf numFmtId="2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91" fontId="13" fillId="0" borderId="1" xfId="0" applyNumberFormat="1" applyFont="1" applyBorder="1" applyAlignment="1"/>
    <xf numFmtId="191" fontId="13" fillId="11" borderId="1" xfId="0" applyNumberFormat="1" applyFont="1" applyFill="1" applyBorder="1" applyAlignment="1"/>
    <xf numFmtId="0" fontId="16" fillId="11" borderId="1" xfId="0" applyFont="1" applyFill="1" applyBorder="1" applyAlignment="1">
      <alignment horizontal="center"/>
    </xf>
    <xf numFmtId="0" fontId="16" fillId="0" borderId="0" xfId="0" applyFont="1" applyAlignment="1">
      <alignment horizontal="right"/>
    </xf>
    <xf numFmtId="0" fontId="13" fillId="0" borderId="0" xfId="0" applyFont="1" applyAlignment="1"/>
    <xf numFmtId="191" fontId="16" fillId="0" borderId="0" xfId="0" applyNumberFormat="1" applyFont="1" applyAlignment="1"/>
    <xf numFmtId="4" fontId="35" fillId="2" borderId="0" xfId="0" applyNumberFormat="1" applyFont="1" applyFill="1"/>
    <xf numFmtId="0" fontId="56" fillId="0" borderId="0" xfId="0" applyFont="1" applyBorder="1"/>
    <xf numFmtId="0" fontId="56" fillId="0" borderId="0" xfId="0" applyFont="1" applyFill="1" applyBorder="1"/>
    <xf numFmtId="4" fontId="56" fillId="0" borderId="0" xfId="0" applyNumberFormat="1" applyFont="1" applyFill="1" applyBorder="1"/>
    <xf numFmtId="4" fontId="57" fillId="0" borderId="0" xfId="1" applyNumberFormat="1" applyFont="1" applyFill="1" applyBorder="1" applyAlignment="1">
      <alignment vertical="center" wrapText="1"/>
    </xf>
    <xf numFmtId="0" fontId="61" fillId="0" borderId="0" xfId="57" applyFont="1"/>
    <xf numFmtId="0" fontId="61" fillId="0" borderId="0" xfId="57" applyFont="1" applyAlignment="1">
      <alignment horizontal="center"/>
    </xf>
    <xf numFmtId="0" fontId="61" fillId="0" borderId="1" xfId="57" applyFont="1" applyBorder="1" applyAlignment="1">
      <alignment horizontal="center"/>
    </xf>
    <xf numFmtId="0" fontId="59" fillId="0" borderId="0" xfId="57" applyFont="1" applyFill="1" applyBorder="1" applyAlignment="1">
      <alignment horizontal="center" vertical="center" wrapText="1"/>
    </xf>
    <xf numFmtId="0" fontId="61" fillId="0" borderId="0" xfId="57" applyFont="1" applyBorder="1" applyAlignment="1">
      <alignment horizontal="center"/>
    </xf>
    <xf numFmtId="0" fontId="61" fillId="0" borderId="15" xfId="57" applyFont="1" applyBorder="1" applyAlignment="1">
      <alignment horizontal="center" vertical="center"/>
    </xf>
    <xf numFmtId="49" fontId="61" fillId="0" borderId="78" xfId="57" applyNumberFormat="1" applyFont="1" applyBorder="1" applyAlignment="1">
      <alignment wrapText="1"/>
    </xf>
    <xf numFmtId="0" fontId="61" fillId="0" borderId="1" xfId="57" applyFont="1" applyBorder="1" applyAlignment="1">
      <alignment horizontal="center" vertical="center"/>
    </xf>
    <xf numFmtId="0" fontId="61" fillId="0" borderId="17" xfId="57" applyFont="1" applyBorder="1" applyAlignment="1">
      <alignment horizontal="center"/>
    </xf>
    <xf numFmtId="0" fontId="0" fillId="0" borderId="0" xfId="0" applyAlignment="1">
      <alignment wrapText="1"/>
    </xf>
    <xf numFmtId="0" fontId="61" fillId="0" borderId="0" xfId="57" applyFont="1" applyAlignment="1">
      <alignment wrapText="1"/>
    </xf>
    <xf numFmtId="0" fontId="61" fillId="0" borderId="0" xfId="57" applyFont="1" applyBorder="1" applyAlignment="1">
      <alignment horizontal="center" wrapText="1"/>
    </xf>
    <xf numFmtId="49" fontId="61" fillId="0" borderId="110" xfId="57" applyNumberFormat="1" applyFont="1" applyBorder="1" applyAlignment="1">
      <alignment horizontal="center" vertical="center" wrapText="1"/>
    </xf>
    <xf numFmtId="49" fontId="61" fillId="0" borderId="101" xfId="57" applyNumberFormat="1" applyFont="1" applyBorder="1" applyAlignment="1">
      <alignment wrapText="1"/>
    </xf>
    <xf numFmtId="0" fontId="61" fillId="0" borderId="50" xfId="57" applyFont="1" applyBorder="1" applyAlignment="1">
      <alignment horizontal="center" vertical="center" wrapText="1"/>
    </xf>
    <xf numFmtId="0" fontId="61" fillId="0" borderId="47" xfId="57" applyFont="1" applyBorder="1" applyAlignment="1">
      <alignment horizontal="center" vertical="center" wrapText="1"/>
    </xf>
    <xf numFmtId="0" fontId="61" fillId="0" borderId="77" xfId="57" applyFont="1" applyBorder="1" applyAlignment="1">
      <alignment horizontal="center" vertical="center" wrapText="1"/>
    </xf>
    <xf numFmtId="0" fontId="61" fillId="0" borderId="48" xfId="57" applyFont="1" applyBorder="1" applyAlignment="1">
      <alignment horizontal="center"/>
    </xf>
    <xf numFmtId="0" fontId="61" fillId="0" borderId="112" xfId="57" applyFont="1" applyBorder="1" applyAlignment="1">
      <alignment horizontal="center" vertical="center"/>
    </xf>
    <xf numFmtId="0" fontId="61" fillId="0" borderId="48" xfId="57" applyFont="1" applyBorder="1" applyAlignment="1">
      <alignment horizontal="center" vertical="center"/>
    </xf>
    <xf numFmtId="0" fontId="61" fillId="0" borderId="111" xfId="57" applyFont="1" applyBorder="1" applyAlignment="1">
      <alignment horizontal="center"/>
    </xf>
    <xf numFmtId="0" fontId="59" fillId="6" borderId="78" xfId="59" applyFont="1" applyFill="1" applyBorder="1" applyAlignment="1">
      <alignment horizontal="center" vertical="center" wrapText="1"/>
    </xf>
    <xf numFmtId="0" fontId="59" fillId="6" borderId="1" xfId="59" applyFont="1" applyFill="1" applyBorder="1" applyAlignment="1">
      <alignment vertical="center" wrapText="1"/>
    </xf>
    <xf numFmtId="174" fontId="1" fillId="6" borderId="1" xfId="60" applyNumberFormat="1" applyFont="1" applyFill="1" applyBorder="1" applyAlignment="1">
      <alignment vertical="center" wrapText="1"/>
    </xf>
    <xf numFmtId="10" fontId="59" fillId="6" borderId="48" xfId="59" applyNumberFormat="1" applyFont="1" applyFill="1" applyBorder="1" applyAlignment="1">
      <alignment vertical="center" wrapText="1"/>
    </xf>
    <xf numFmtId="0" fontId="1" fillId="6" borderId="78" xfId="59" applyFont="1" applyFill="1" applyBorder="1" applyAlignment="1">
      <alignment horizontal="center" vertical="center" wrapText="1"/>
    </xf>
    <xf numFmtId="0" fontId="0" fillId="6" borderId="1" xfId="59" applyFont="1" applyFill="1" applyBorder="1" applyAlignment="1" applyProtection="1">
      <alignment horizontal="left" vertical="center" wrapText="1"/>
    </xf>
    <xf numFmtId="174" fontId="1" fillId="6" borderId="1" xfId="60" applyNumberFormat="1" applyFont="1" applyFill="1" applyBorder="1" applyAlignment="1" applyProtection="1">
      <alignment horizontal="right" vertical="center" wrapText="1"/>
    </xf>
    <xf numFmtId="2" fontId="59" fillId="6" borderId="48" xfId="59" applyNumberFormat="1" applyFont="1" applyFill="1" applyBorder="1" applyAlignment="1" applyProtection="1">
      <alignment vertical="center" wrapText="1"/>
    </xf>
    <xf numFmtId="0" fontId="1" fillId="6" borderId="1" xfId="59" applyFont="1" applyFill="1" applyBorder="1" applyAlignment="1" applyProtection="1">
      <alignment horizontal="left" vertical="center" wrapText="1"/>
    </xf>
    <xf numFmtId="174" fontId="1" fillId="0" borderId="1" xfId="60" applyNumberFormat="1" applyFont="1" applyFill="1" applyBorder="1" applyAlignment="1" applyProtection="1">
      <alignment horizontal="right" vertical="center" wrapText="1"/>
    </xf>
    <xf numFmtId="2" fontId="1" fillId="6" borderId="78" xfId="59" applyNumberFormat="1" applyFont="1" applyFill="1" applyBorder="1" applyAlignment="1">
      <alignment horizontal="center" vertical="center" wrapText="1"/>
    </xf>
    <xf numFmtId="4" fontId="59" fillId="6" borderId="113" xfId="59" applyNumberFormat="1" applyFont="1" applyFill="1" applyBorder="1" applyAlignment="1">
      <alignment horizontal="center" vertical="center" wrapText="1"/>
    </xf>
    <xf numFmtId="4" fontId="59" fillId="6" borderId="114" xfId="59" applyNumberFormat="1" applyFont="1" applyFill="1" applyBorder="1" applyAlignment="1">
      <alignment vertical="center" wrapText="1"/>
    </xf>
    <xf numFmtId="4" fontId="59" fillId="6" borderId="114" xfId="60" applyNumberFormat="1" applyFont="1" applyFill="1" applyBorder="1" applyAlignment="1">
      <alignment vertical="center" wrapText="1"/>
    </xf>
    <xf numFmtId="10" fontId="59" fillId="6" borderId="115" xfId="59" applyNumberFormat="1" applyFont="1" applyFill="1" applyBorder="1" applyAlignment="1">
      <alignment vertical="center" wrapText="1"/>
    </xf>
    <xf numFmtId="10" fontId="6" fillId="0" borderId="7" xfId="6" applyNumberFormat="1" applyFont="1" applyBorder="1" applyAlignment="1">
      <alignment horizontal="right"/>
    </xf>
    <xf numFmtId="0" fontId="7" fillId="0" borderId="78" xfId="16" applyFont="1" applyFill="1" applyBorder="1" applyAlignment="1">
      <alignment horizontal="center" wrapText="1"/>
    </xf>
    <xf numFmtId="10" fontId="7" fillId="0" borderId="48" xfId="6" applyNumberFormat="1" applyFont="1" applyFill="1" applyBorder="1" applyAlignment="1">
      <alignment horizontal="center"/>
    </xf>
    <xf numFmtId="10" fontId="6" fillId="0" borderId="48" xfId="6" applyNumberFormat="1" applyFont="1" applyFill="1" applyBorder="1" applyAlignment="1">
      <alignment horizontal="right"/>
    </xf>
    <xf numFmtId="188" fontId="31" fillId="0" borderId="29" xfId="2" applyNumberFormat="1" applyFont="1" applyBorder="1" applyAlignment="1">
      <alignment horizontal="right" vertical="center" wrapText="1"/>
    </xf>
    <xf numFmtId="188" fontId="31" fillId="0" borderId="100" xfId="2" applyNumberFormat="1" applyFont="1" applyBorder="1" applyAlignment="1">
      <alignment horizontal="right" vertical="center" wrapText="1"/>
    </xf>
    <xf numFmtId="188" fontId="31" fillId="0" borderId="94" xfId="2" applyNumberFormat="1" applyFont="1" applyBorder="1" applyAlignment="1">
      <alignment horizontal="right" vertical="center" wrapText="1"/>
    </xf>
    <xf numFmtId="0" fontId="0" fillId="0" borderId="1" xfId="0" applyBorder="1" applyAlignment="1">
      <alignment wrapText="1"/>
    </xf>
    <xf numFmtId="0" fontId="6" fillId="0" borderId="1" xfId="2" applyFont="1" applyFill="1" applyBorder="1" applyAlignment="1">
      <alignment horizontal="center" vertical="center" wrapText="1"/>
    </xf>
    <xf numFmtId="4" fontId="6" fillId="0" borderId="1" xfId="2" applyNumberFormat="1" applyFont="1" applyFill="1" applyBorder="1" applyAlignment="1">
      <alignment horizontal="center" vertical="center" wrapText="1"/>
    </xf>
    <xf numFmtId="188" fontId="6" fillId="0" borderId="48" xfId="2" applyNumberFormat="1" applyFont="1" applyFill="1" applyBorder="1" applyAlignment="1">
      <alignment horizontal="right" vertical="center" wrapText="1"/>
    </xf>
    <xf numFmtId="4" fontId="5" fillId="0" borderId="50" xfId="1" applyNumberFormat="1" applyFont="1" applyBorder="1" applyAlignment="1">
      <alignment vertical="center"/>
    </xf>
    <xf numFmtId="10" fontId="5" fillId="0" borderId="77" xfId="1" applyNumberFormat="1" applyFont="1" applyBorder="1" applyAlignment="1">
      <alignment vertical="center" wrapText="1"/>
    </xf>
    <xf numFmtId="4" fontId="5" fillId="0" borderId="79" xfId="1" applyNumberFormat="1" applyFont="1" applyBorder="1" applyAlignment="1">
      <alignment vertical="center"/>
    </xf>
    <xf numFmtId="10" fontId="14" fillId="0" borderId="60" xfId="3" applyNumberFormat="1" applyFont="1" applyBorder="1" applyAlignment="1">
      <alignment vertical="center" wrapText="1"/>
    </xf>
    <xf numFmtId="191" fontId="5" fillId="0" borderId="79" xfId="1" applyNumberFormat="1" applyFont="1" applyBorder="1" applyAlignment="1">
      <alignment vertical="center"/>
    </xf>
    <xf numFmtId="4" fontId="10" fillId="7" borderId="1" xfId="3" applyNumberFormat="1" applyFont="1" applyFill="1" applyBorder="1" applyAlignment="1">
      <alignment horizontal="right" vertical="center" wrapText="1"/>
    </xf>
    <xf numFmtId="171" fontId="10" fillId="7" borderId="1" xfId="4" applyNumberFormat="1" applyFont="1" applyFill="1" applyBorder="1" applyAlignment="1">
      <alignment horizontal="right" vertical="center" wrapText="1"/>
    </xf>
    <xf numFmtId="2" fontId="5" fillId="0" borderId="77" xfId="1" applyNumberFormat="1" applyFont="1" applyBorder="1" applyAlignment="1">
      <alignment vertical="center" wrapText="1"/>
    </xf>
    <xf numFmtId="2" fontId="14" fillId="0" borderId="60" xfId="3" applyNumberFormat="1" applyFont="1" applyBorder="1" applyAlignment="1">
      <alignment vertical="center" wrapText="1"/>
    </xf>
    <xf numFmtId="9" fontId="10" fillId="0" borderId="1" xfId="5" applyFont="1" applyFill="1" applyBorder="1" applyAlignment="1">
      <alignment horizontal="center" vertical="center" wrapText="1"/>
    </xf>
    <xf numFmtId="4" fontId="63" fillId="0" borderId="0" xfId="3" applyNumberFormat="1" applyFont="1" applyBorder="1" applyAlignment="1">
      <alignment horizontal="left" vertical="center" wrapText="1"/>
    </xf>
    <xf numFmtId="191" fontId="10" fillId="0" borderId="0" xfId="4" applyNumberFormat="1" applyFont="1" applyBorder="1" applyAlignment="1">
      <alignment vertical="center" wrapText="1"/>
    </xf>
    <xf numFmtId="191" fontId="15" fillId="0" borderId="0" xfId="4" applyNumberFormat="1" applyFont="1" applyBorder="1" applyAlignment="1">
      <alignment vertical="center" wrapText="1"/>
    </xf>
    <xf numFmtId="0" fontId="6" fillId="0" borderId="78" xfId="2" applyFont="1" applyBorder="1" applyAlignment="1">
      <alignment horizontal="left" vertical="center" wrapText="1"/>
    </xf>
    <xf numFmtId="4" fontId="6" fillId="0" borderId="1" xfId="2" applyNumberFormat="1" applyFont="1" applyBorder="1" applyAlignment="1">
      <alignment horizontal="center" vertical="center" wrapText="1"/>
    </xf>
    <xf numFmtId="188" fontId="6" fillId="0" borderId="1" xfId="2" applyNumberFormat="1" applyFont="1" applyBorder="1" applyAlignment="1">
      <alignment horizontal="center" vertical="center" wrapText="1"/>
    </xf>
    <xf numFmtId="9" fontId="6" fillId="0" borderId="1" xfId="6" applyFont="1" applyBorder="1" applyAlignment="1">
      <alignment horizontal="center" vertical="center" wrapText="1"/>
    </xf>
    <xf numFmtId="2" fontId="6" fillId="0" borderId="1" xfId="2" applyNumberFormat="1" applyFont="1" applyBorder="1" applyAlignment="1">
      <alignment horizontal="center" vertical="center" wrapText="1"/>
    </xf>
    <xf numFmtId="188" fontId="6" fillId="0" borderId="48" xfId="2" applyNumberFormat="1" applyFont="1" applyBorder="1" applyAlignment="1">
      <alignment horizontal="right" vertical="center" wrapText="1"/>
    </xf>
    <xf numFmtId="4" fontId="2" fillId="0" borderId="0" xfId="1" applyNumberFormat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4" fontId="4" fillId="0" borderId="0" xfId="2" applyNumberFormat="1" applyFont="1" applyAlignment="1">
      <alignment horizontal="center" vertical="center" wrapText="1"/>
    </xf>
    <xf numFmtId="3" fontId="10" fillId="0" borderId="1" xfId="3" applyNumberFormat="1" applyFont="1" applyBorder="1" applyAlignment="1">
      <alignment horizontal="center" vertical="center" wrapText="1"/>
    </xf>
    <xf numFmtId="10" fontId="10" fillId="0" borderId="1" xfId="5" applyNumberFormat="1" applyFont="1" applyBorder="1" applyAlignment="1">
      <alignment horizontal="center" vertical="center" wrapText="1"/>
    </xf>
    <xf numFmtId="4" fontId="15" fillId="0" borderId="1" xfId="3" applyNumberFormat="1" applyFont="1" applyBorder="1" applyAlignment="1">
      <alignment horizontal="left" vertical="center" wrapText="1"/>
    </xf>
    <xf numFmtId="4" fontId="15" fillId="0" borderId="1" xfId="3" applyNumberFormat="1" applyFont="1" applyBorder="1" applyAlignment="1">
      <alignment horizontal="center" vertical="center" wrapText="1"/>
    </xf>
    <xf numFmtId="4" fontId="15" fillId="0" borderId="0" xfId="3" applyNumberFormat="1" applyFont="1" applyAlignment="1">
      <alignment horizontal="center" vertical="center" wrapText="1"/>
    </xf>
    <xf numFmtId="4" fontId="11" fillId="0" borderId="0" xfId="1" applyNumberFormat="1" applyFont="1" applyAlignment="1">
      <alignment horizontal="center" vertical="center" wrapText="1"/>
    </xf>
    <xf numFmtId="4" fontId="15" fillId="0" borderId="3" xfId="3" applyNumberFormat="1" applyFont="1" applyBorder="1" applyAlignment="1">
      <alignment horizontal="left" vertical="center" wrapText="1"/>
    </xf>
    <xf numFmtId="0" fontId="33" fillId="0" borderId="1" xfId="2" applyFont="1" applyFill="1" applyBorder="1" applyAlignment="1">
      <alignment horizontal="center" vertical="center" wrapText="1"/>
    </xf>
    <xf numFmtId="4" fontId="33" fillId="0" borderId="1" xfId="2" applyNumberFormat="1" applyFont="1" applyFill="1" applyBorder="1" applyAlignment="1">
      <alignment horizontal="center" vertical="center" wrapText="1"/>
    </xf>
    <xf numFmtId="188" fontId="33" fillId="0" borderId="48" xfId="2" applyNumberFormat="1" applyFont="1" applyFill="1" applyBorder="1" applyAlignment="1">
      <alignment horizontal="right" vertical="center" wrapText="1"/>
    </xf>
    <xf numFmtId="0" fontId="33" fillId="0" borderId="76" xfId="2" applyFont="1" applyFill="1" applyBorder="1" applyAlignment="1">
      <alignment horizontal="center" vertical="center" wrapText="1"/>
    </xf>
    <xf numFmtId="4" fontId="33" fillId="0" borderId="76" xfId="2" applyNumberFormat="1" applyFont="1" applyFill="1" applyBorder="1" applyAlignment="1">
      <alignment horizontal="center" vertical="center" wrapText="1"/>
    </xf>
    <xf numFmtId="188" fontId="33" fillId="0" borderId="98" xfId="2" applyNumberFormat="1" applyFont="1" applyFill="1" applyBorder="1" applyAlignment="1">
      <alignment horizontal="right" vertical="center" wrapText="1"/>
    </xf>
    <xf numFmtId="0" fontId="7" fillId="0" borderId="78" xfId="16" applyFont="1" applyFill="1" applyBorder="1" applyAlignment="1">
      <alignment horizontal="center"/>
    </xf>
    <xf numFmtId="10" fontId="7" fillId="0" borderId="48" xfId="6" applyNumberFormat="1" applyFont="1" applyFill="1" applyBorder="1" applyAlignment="1">
      <alignment horizontal="right"/>
    </xf>
    <xf numFmtId="0" fontId="7" fillId="0" borderId="8" xfId="16" applyFont="1" applyFill="1" applyBorder="1" applyAlignment="1">
      <alignment horizontal="center"/>
    </xf>
    <xf numFmtId="0" fontId="6" fillId="0" borderId="78" xfId="16" applyFont="1" applyFill="1" applyBorder="1" applyAlignment="1" applyProtection="1">
      <alignment horizontal="left" vertical="top" wrapText="1"/>
      <protection locked="0"/>
    </xf>
    <xf numFmtId="0" fontId="6" fillId="0" borderId="8" xfId="16" applyFont="1" applyFill="1" applyBorder="1" applyAlignment="1" applyProtection="1">
      <alignment horizontal="left" vertical="top" wrapText="1"/>
      <protection locked="0"/>
    </xf>
    <xf numFmtId="0" fontId="6" fillId="0" borderId="78" xfId="16" applyFont="1" applyFill="1" applyBorder="1"/>
    <xf numFmtId="0" fontId="56" fillId="0" borderId="0" xfId="0" applyFont="1"/>
    <xf numFmtId="2" fontId="56" fillId="0" borderId="0" xfId="18" applyNumberFormat="1" applyFont="1"/>
    <xf numFmtId="4" fontId="10" fillId="0" borderId="1" xfId="3" applyNumberFormat="1" applyFont="1" applyFill="1" applyBorder="1" applyAlignment="1">
      <alignment horizontal="center" vertical="center" wrapText="1"/>
    </xf>
    <xf numFmtId="171" fontId="10" fillId="0" borderId="1" xfId="4" applyNumberFormat="1" applyFont="1" applyFill="1" applyBorder="1" applyAlignment="1">
      <alignment vertical="center" wrapText="1"/>
    </xf>
    <xf numFmtId="4" fontId="64" fillId="0" borderId="0" xfId="1" applyNumberFormat="1" applyFont="1" applyFill="1" applyBorder="1" applyAlignment="1">
      <alignment vertical="center" wrapText="1"/>
    </xf>
    <xf numFmtId="187" fontId="0" fillId="0" borderId="0" xfId="0" applyNumberFormat="1"/>
    <xf numFmtId="0" fontId="0" fillId="6" borderId="0" xfId="0" applyFill="1" applyBorder="1"/>
    <xf numFmtId="4" fontId="4" fillId="6" borderId="0" xfId="1" applyNumberFormat="1" applyFont="1" applyFill="1" applyBorder="1" applyAlignment="1">
      <alignment vertical="center" wrapText="1"/>
    </xf>
    <xf numFmtId="4" fontId="4" fillId="0" borderId="1" xfId="1" applyNumberFormat="1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4" fontId="6" fillId="0" borderId="1" xfId="16" applyNumberFormat="1" applyFont="1" applyFill="1" applyBorder="1" applyAlignment="1">
      <alignment horizontal="center" vertical="center" wrapText="1"/>
    </xf>
    <xf numFmtId="4" fontId="4" fillId="0" borderId="1" xfId="16" applyNumberFormat="1" applyFont="1" applyFill="1" applyBorder="1" applyAlignment="1">
      <alignment horizontal="center" vertical="center" wrapText="1"/>
    </xf>
    <xf numFmtId="4" fontId="6" fillId="0" borderId="1" xfId="16" applyNumberFormat="1" applyFont="1" applyFill="1" applyBorder="1" applyAlignment="1">
      <alignment horizontal="center" vertical="center" wrapText="1"/>
    </xf>
    <xf numFmtId="10" fontId="6" fillId="0" borderId="1" xfId="16" applyNumberFormat="1" applyFont="1" applyFill="1" applyBorder="1" applyAlignment="1">
      <alignment horizontal="center" vertical="center" wrapText="1"/>
    </xf>
    <xf numFmtId="171" fontId="6" fillId="0" borderId="1" xfId="16" applyNumberFormat="1" applyFont="1" applyFill="1" applyBorder="1" applyAlignment="1">
      <alignment horizontal="center" vertical="center" wrapText="1"/>
    </xf>
    <xf numFmtId="10" fontId="21" fillId="11" borderId="1" xfId="16" applyNumberFormat="1" applyFont="1" applyFill="1" applyBorder="1" applyAlignment="1">
      <alignment horizontal="center" vertical="center" wrapText="1"/>
    </xf>
    <xf numFmtId="10" fontId="21" fillId="0" borderId="1" xfId="16" applyNumberFormat="1" applyFont="1" applyFill="1" applyBorder="1" applyAlignment="1">
      <alignment vertical="center" wrapText="1"/>
    </xf>
    <xf numFmtId="191" fontId="21" fillId="0" borderId="1" xfId="16" applyNumberFormat="1" applyFont="1" applyFill="1" applyBorder="1" applyAlignment="1">
      <alignment horizontal="center" vertical="center" wrapText="1"/>
    </xf>
    <xf numFmtId="190" fontId="21" fillId="0" borderId="1" xfId="16" applyNumberFormat="1" applyFont="1" applyFill="1" applyBorder="1" applyAlignment="1">
      <alignment horizontal="center" vertical="center" wrapText="1"/>
    </xf>
    <xf numFmtId="4" fontId="21" fillId="0" borderId="1" xfId="16" applyNumberFormat="1" applyFont="1" applyFill="1" applyBorder="1" applyAlignment="1">
      <alignment horizontal="center" vertical="center" wrapText="1"/>
    </xf>
    <xf numFmtId="4" fontId="21" fillId="11" borderId="1" xfId="16" applyNumberFormat="1" applyFont="1" applyFill="1" applyBorder="1" applyAlignment="1">
      <alignment horizontal="center" vertical="center" wrapText="1"/>
    </xf>
    <xf numFmtId="3" fontId="21" fillId="0" borderId="1" xfId="16" applyNumberFormat="1" applyFont="1" applyFill="1" applyBorder="1" applyAlignment="1">
      <alignment horizontal="center" vertical="center" wrapText="1"/>
    </xf>
    <xf numFmtId="4" fontId="21" fillId="11" borderId="1" xfId="16" applyNumberFormat="1" applyFont="1" applyFill="1" applyBorder="1" applyAlignment="1">
      <alignment vertical="center" wrapText="1"/>
    </xf>
    <xf numFmtId="171" fontId="21" fillId="0" borderId="1" xfId="16" applyNumberFormat="1" applyFont="1" applyFill="1" applyBorder="1" applyAlignment="1">
      <alignment horizontal="center" vertical="center" wrapText="1"/>
    </xf>
    <xf numFmtId="204" fontId="65" fillId="0" borderId="1" xfId="0" applyNumberFormat="1" applyFont="1" applyBorder="1" applyAlignment="1">
      <alignment horizontal="right"/>
    </xf>
    <xf numFmtId="2" fontId="42" fillId="0" borderId="1" xfId="0" applyNumberFormat="1" applyFont="1" applyBorder="1"/>
    <xf numFmtId="4" fontId="6" fillId="0" borderId="15" xfId="1" applyNumberFormat="1" applyFont="1" applyFill="1" applyBorder="1" applyAlignment="1" applyProtection="1">
      <alignment horizontal="right" vertical="center" wrapText="1"/>
      <protection locked="0"/>
    </xf>
    <xf numFmtId="4" fontId="6" fillId="0" borderId="15" xfId="1" applyNumberFormat="1" applyFont="1" applyFill="1" applyBorder="1" applyAlignment="1">
      <alignment horizontal="right" vertical="center" wrapText="1"/>
    </xf>
    <xf numFmtId="4" fontId="40" fillId="0" borderId="1" xfId="1" applyNumberFormat="1" applyFont="1" applyFill="1" applyBorder="1" applyAlignment="1">
      <alignment horizontal="center" vertical="center" wrapText="1"/>
    </xf>
    <xf numFmtId="0" fontId="6" fillId="0" borderId="0" xfId="2" applyFont="1" applyFill="1" applyAlignment="1">
      <alignment horizontal="center"/>
    </xf>
    <xf numFmtId="10" fontId="6" fillId="0" borderId="82" xfId="16" applyNumberFormat="1" applyFont="1" applyBorder="1" applyAlignment="1">
      <alignment horizontal="center" vertical="center" wrapText="1"/>
    </xf>
    <xf numFmtId="10" fontId="6" fillId="0" borderId="83" xfId="16" applyNumberFormat="1" applyFont="1" applyBorder="1" applyAlignment="1">
      <alignment horizontal="center" vertical="center" wrapText="1"/>
    </xf>
    <xf numFmtId="4" fontId="6" fillId="0" borderId="1" xfId="16" applyNumberFormat="1" applyFont="1" applyFill="1" applyBorder="1" applyAlignment="1">
      <alignment horizontal="center" vertical="center" wrapText="1"/>
    </xf>
    <xf numFmtId="10" fontId="6" fillId="0" borderId="1" xfId="16" applyNumberFormat="1" applyFont="1" applyFill="1" applyBorder="1" applyAlignment="1">
      <alignment horizontal="center" vertical="center" wrapText="1"/>
    </xf>
    <xf numFmtId="171" fontId="6" fillId="0" borderId="1" xfId="16" applyNumberFormat="1" applyFont="1" applyFill="1" applyBorder="1" applyAlignment="1">
      <alignment horizontal="center" vertical="center" wrapText="1"/>
    </xf>
    <xf numFmtId="4" fontId="4" fillId="0" borderId="7" xfId="1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4" fontId="4" fillId="0" borderId="1" xfId="1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80" fontId="6" fillId="6" borderId="0" xfId="2" applyNumberFormat="1" applyFont="1" applyFill="1" applyBorder="1"/>
    <xf numFmtId="3" fontId="6" fillId="0" borderId="0" xfId="2" applyNumberFormat="1" applyFont="1" applyFill="1" applyAlignment="1">
      <alignment horizontal="center"/>
    </xf>
    <xf numFmtId="3" fontId="6" fillId="0" borderId="0" xfId="2" applyNumberFormat="1" applyFont="1" applyFill="1"/>
    <xf numFmtId="9" fontId="6" fillId="0" borderId="0" xfId="2" applyNumberFormat="1" applyFont="1" applyFill="1"/>
    <xf numFmtId="4" fontId="67" fillId="6" borderId="0" xfId="2" applyNumberFormat="1" applyFont="1" applyFill="1" applyBorder="1"/>
    <xf numFmtId="0" fontId="68" fillId="21" borderId="0" xfId="0" applyFont="1" applyFill="1"/>
    <xf numFmtId="3" fontId="6" fillId="21" borderId="17" xfId="2" applyNumberFormat="1" applyFont="1" applyFill="1" applyBorder="1"/>
    <xf numFmtId="3" fontId="6" fillId="21" borderId="2" xfId="2" applyNumberFormat="1" applyFont="1" applyFill="1" applyBorder="1"/>
    <xf numFmtId="2" fontId="6" fillId="0" borderId="1" xfId="2" applyNumberFormat="1" applyFont="1" applyFill="1" applyBorder="1"/>
    <xf numFmtId="165" fontId="6" fillId="0" borderId="1" xfId="18" applyFont="1" applyFill="1" applyBorder="1"/>
    <xf numFmtId="4" fontId="5" fillId="0" borderId="3" xfId="1" applyNumberFormat="1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/>
    </xf>
    <xf numFmtId="4" fontId="69" fillId="5" borderId="54" xfId="64" applyNumberFormat="1" applyFont="1" applyFill="1" applyBorder="1" applyProtection="1">
      <protection locked="0"/>
    </xf>
    <xf numFmtId="4" fontId="69" fillId="5" borderId="0" xfId="64" applyNumberFormat="1" applyFont="1" applyFill="1" applyBorder="1" applyProtection="1">
      <protection locked="0"/>
    </xf>
    <xf numFmtId="179" fontId="6" fillId="0" borderId="0" xfId="8" applyNumberFormat="1" applyFont="1" applyFill="1" applyBorder="1"/>
    <xf numFmtId="9" fontId="6" fillId="0" borderId="0" xfId="17" applyFont="1" applyFill="1" applyBorder="1"/>
    <xf numFmtId="179" fontId="6" fillId="22" borderId="2" xfId="8" applyNumberFormat="1" applyFont="1" applyFill="1" applyBorder="1"/>
    <xf numFmtId="179" fontId="6" fillId="21" borderId="2" xfId="8" applyNumberFormat="1" applyFont="1" applyFill="1" applyBorder="1"/>
    <xf numFmtId="0" fontId="6" fillId="0" borderId="107" xfId="2" applyFont="1" applyFill="1" applyBorder="1" applyAlignment="1">
      <alignment horizontal="center" vertical="center"/>
    </xf>
    <xf numFmtId="4" fontId="6" fillId="0" borderId="108" xfId="6" applyNumberFormat="1" applyFont="1" applyFill="1" applyBorder="1" applyAlignment="1">
      <alignment horizontal="center" vertical="center"/>
    </xf>
    <xf numFmtId="0" fontId="6" fillId="0" borderId="108" xfId="2" applyFont="1" applyFill="1" applyBorder="1" applyAlignment="1">
      <alignment horizontal="center" vertical="center"/>
    </xf>
    <xf numFmtId="0" fontId="6" fillId="0" borderId="108" xfId="2" applyFont="1" applyFill="1" applyBorder="1"/>
    <xf numFmtId="0" fontId="6" fillId="0" borderId="109" xfId="2" applyFont="1" applyFill="1" applyBorder="1"/>
    <xf numFmtId="0" fontId="6" fillId="0" borderId="67" xfId="2" applyFont="1" applyFill="1" applyBorder="1" applyAlignment="1">
      <alignment horizontal="center" vertical="center"/>
    </xf>
    <xf numFmtId="4" fontId="6" fillId="0" borderId="0" xfId="6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6" fillId="0" borderId="59" xfId="2" applyFont="1" applyFill="1" applyBorder="1"/>
    <xf numFmtId="179" fontId="6" fillId="0" borderId="0" xfId="2" applyNumberFormat="1" applyFont="1" applyFill="1" applyBorder="1" applyAlignment="1">
      <alignment horizontal="center" vertical="center"/>
    </xf>
    <xf numFmtId="179" fontId="6" fillId="0" borderId="0" xfId="2" applyNumberFormat="1" applyFont="1" applyFill="1" applyBorder="1"/>
    <xf numFmtId="0" fontId="6" fillId="0" borderId="68" xfId="2" applyFont="1" applyFill="1" applyBorder="1" applyAlignment="1">
      <alignment horizontal="center" vertical="center"/>
    </xf>
    <xf numFmtId="4" fontId="6" fillId="0" borderId="45" xfId="6" applyNumberFormat="1" applyFont="1" applyFill="1" applyBorder="1" applyAlignment="1">
      <alignment horizontal="center" vertical="center"/>
    </xf>
    <xf numFmtId="4" fontId="7" fillId="0" borderId="44" xfId="2" applyNumberFormat="1" applyFont="1" applyFill="1" applyBorder="1"/>
    <xf numFmtId="0" fontId="6" fillId="0" borderId="0" xfId="2" applyFont="1" applyFill="1" applyAlignment="1">
      <alignment horizontal="center" vertical="center"/>
    </xf>
    <xf numFmtId="4" fontId="6" fillId="0" borderId="0" xfId="6" applyNumberFormat="1" applyFont="1" applyFill="1" applyAlignment="1">
      <alignment horizontal="center" vertical="center"/>
    </xf>
    <xf numFmtId="164" fontId="69" fillId="5" borderId="54" xfId="22" applyFont="1" applyFill="1" applyBorder="1" applyProtection="1">
      <protection locked="0"/>
    </xf>
    <xf numFmtId="0" fontId="6" fillId="0" borderId="116" xfId="2" applyFont="1" applyFill="1" applyBorder="1" applyAlignment="1">
      <alignment horizontal="center"/>
    </xf>
    <xf numFmtId="0" fontId="6" fillId="0" borderId="45" xfId="2" applyFont="1" applyFill="1" applyBorder="1" applyAlignment="1">
      <alignment horizontal="center"/>
    </xf>
    <xf numFmtId="164" fontId="3" fillId="0" borderId="0" xfId="21" applyFont="1" applyFill="1"/>
    <xf numFmtId="205" fontId="6" fillId="0" borderId="0" xfId="21" applyNumberFormat="1" applyFont="1" applyFill="1"/>
    <xf numFmtId="164" fontId="7" fillId="0" borderId="1" xfId="21" applyFont="1" applyFill="1" applyBorder="1" applyAlignment="1">
      <alignment horizontal="center"/>
    </xf>
    <xf numFmtId="186" fontId="16" fillId="0" borderId="1" xfId="0" applyNumberFormat="1" applyFont="1" applyBorder="1" applyAlignment="1"/>
    <xf numFmtId="4" fontId="4" fillId="2" borderId="1" xfId="1" quotePrefix="1" applyNumberFormat="1" applyFont="1" applyFill="1" applyBorder="1" applyAlignment="1">
      <alignment vertical="center" wrapText="1"/>
    </xf>
    <xf numFmtId="165" fontId="70" fillId="0" borderId="0" xfId="18" applyFont="1"/>
    <xf numFmtId="0" fontId="71" fillId="0" borderId="0" xfId="0" applyFont="1"/>
    <xf numFmtId="0" fontId="70" fillId="0" borderId="0" xfId="0" applyFont="1"/>
    <xf numFmtId="0" fontId="72" fillId="0" borderId="1" xfId="0" applyFont="1" applyBorder="1" applyAlignment="1">
      <alignment horizontal="right"/>
    </xf>
    <xf numFmtId="2" fontId="10" fillId="5" borderId="0" xfId="4" applyNumberFormat="1" applyFont="1" applyFill="1" applyBorder="1" applyAlignment="1">
      <alignment vertical="center" wrapText="1"/>
    </xf>
    <xf numFmtId="0" fontId="73" fillId="0" borderId="0" xfId="0" applyFont="1" applyBorder="1"/>
    <xf numFmtId="4" fontId="21" fillId="0" borderId="6" xfId="16" applyNumberFormat="1" applyFont="1" applyFill="1" applyBorder="1" applyAlignment="1">
      <alignment vertical="center" wrapText="1"/>
    </xf>
    <xf numFmtId="0" fontId="76" fillId="0" borderId="0" xfId="0" applyFont="1"/>
    <xf numFmtId="4" fontId="7" fillId="0" borderId="1" xfId="1" applyNumberFormat="1" applyFont="1" applyFill="1" applyBorder="1" applyAlignment="1">
      <alignment horizontal="center"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4" fontId="6" fillId="0" borderId="1" xfId="1" quotePrefix="1" applyNumberFormat="1" applyFont="1" applyFill="1" applyBorder="1" applyAlignment="1">
      <alignment horizontal="right" vertical="center" wrapText="1"/>
    </xf>
    <xf numFmtId="4" fontId="7" fillId="2" borderId="1" xfId="1" applyNumberFormat="1" applyFont="1" applyFill="1" applyBorder="1" applyAlignment="1">
      <alignment horizontal="left" vertical="center" wrapText="1"/>
    </xf>
    <xf numFmtId="189" fontId="6" fillId="0" borderId="1" xfId="1" applyNumberFormat="1" applyFont="1" applyFill="1" applyBorder="1" applyAlignment="1">
      <alignment vertical="center" wrapText="1"/>
    </xf>
    <xf numFmtId="189" fontId="6" fillId="0" borderId="7" xfId="1" applyNumberFormat="1" applyFont="1" applyFill="1" applyBorder="1" applyAlignment="1">
      <alignment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4" fontId="4" fillId="4" borderId="1" xfId="1" applyNumberFormat="1" applyFont="1" applyFill="1" applyBorder="1" applyAlignment="1">
      <alignment horizontal="center" vertical="center" wrapText="1"/>
    </xf>
    <xf numFmtId="204" fontId="44" fillId="0" borderId="1" xfId="0" applyNumberFormat="1" applyFont="1" applyBorder="1" applyAlignment="1">
      <alignment horizontal="right"/>
    </xf>
    <xf numFmtId="2" fontId="41" fillId="0" borderId="1" xfId="0" applyNumberFormat="1" applyFont="1" applyBorder="1" applyAlignment="1">
      <alignment horizontal="center"/>
    </xf>
    <xf numFmtId="4" fontId="78" fillId="0" borderId="1" xfId="1" applyNumberFormat="1" applyFont="1" applyFill="1" applyBorder="1" applyAlignment="1">
      <alignment horizontal="right" vertical="center" wrapText="1"/>
    </xf>
    <xf numFmtId="4" fontId="78" fillId="0" borderId="1" xfId="1" applyNumberFormat="1" applyFont="1" applyFill="1" applyBorder="1" applyAlignment="1">
      <alignment vertical="center" wrapText="1"/>
    </xf>
    <xf numFmtId="4" fontId="78" fillId="0" borderId="7" xfId="1" applyNumberFormat="1" applyFont="1" applyFill="1" applyBorder="1" applyAlignment="1">
      <alignment vertical="center" wrapText="1"/>
    </xf>
    <xf numFmtId="4" fontId="40" fillId="0" borderId="1" xfId="1" applyNumberFormat="1" applyFont="1" applyFill="1" applyBorder="1" applyAlignment="1">
      <alignment horizontal="right" vertical="center" wrapText="1"/>
    </xf>
    <xf numFmtId="4" fontId="40" fillId="0" borderId="1" xfId="1" applyNumberFormat="1" applyFont="1" applyFill="1" applyBorder="1" applyAlignment="1">
      <alignment vertical="center" wrapText="1"/>
    </xf>
    <xf numFmtId="4" fontId="40" fillId="0" borderId="7" xfId="1" applyNumberFormat="1" applyFont="1" applyFill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4" fontId="78" fillId="0" borderId="1" xfId="1" applyNumberFormat="1" applyFont="1" applyFill="1" applyBorder="1" applyAlignment="1">
      <alignment horizontal="center" vertical="center" wrapText="1"/>
    </xf>
    <xf numFmtId="4" fontId="77" fillId="0" borderId="1" xfId="1" applyNumberFormat="1" applyFont="1" applyFill="1" applyBorder="1" applyAlignment="1">
      <alignment horizontal="center" vertical="center" wrapText="1"/>
    </xf>
    <xf numFmtId="204" fontId="79" fillId="0" borderId="1" xfId="0" applyNumberFormat="1" applyFont="1" applyBorder="1" applyAlignment="1">
      <alignment horizontal="right"/>
    </xf>
    <xf numFmtId="4" fontId="78" fillId="0" borderId="1" xfId="1" applyNumberFormat="1" applyFont="1" applyFill="1" applyBorder="1" applyAlignment="1" applyProtection="1">
      <alignment horizontal="right" vertical="center" wrapText="1"/>
      <protection locked="0"/>
    </xf>
    <xf numFmtId="4" fontId="6" fillId="0" borderId="0" xfId="9" applyNumberFormat="1" applyFont="1" applyFill="1" applyBorder="1" applyAlignment="1" applyProtection="1">
      <alignment vertical="center" wrapText="1"/>
    </xf>
    <xf numFmtId="4" fontId="3" fillId="0" borderId="0" xfId="1" applyNumberFormat="1" applyFont="1" applyAlignment="1">
      <alignment horizontal="center" vertical="center" wrapText="1"/>
    </xf>
    <xf numFmtId="4" fontId="4" fillId="2" borderId="65" xfId="1" applyNumberFormat="1" applyFont="1" applyFill="1" applyBorder="1" applyAlignment="1" applyProtection="1">
      <alignment horizontal="left" vertical="center" wrapText="1"/>
      <protection locked="0"/>
    </xf>
    <xf numFmtId="191" fontId="6" fillId="0" borderId="1" xfId="16" applyNumberFormat="1" applyFont="1" applyFill="1" applyBorder="1" applyAlignment="1">
      <alignment horizontal="center" vertical="center" wrapText="1"/>
    </xf>
    <xf numFmtId="0" fontId="81" fillId="0" borderId="0" xfId="1" applyFont="1" applyAlignment="1">
      <alignment vertical="center"/>
    </xf>
    <xf numFmtId="0" fontId="1" fillId="0" borderId="0" xfId="1" applyAlignment="1">
      <alignment vertical="center"/>
    </xf>
    <xf numFmtId="0" fontId="82" fillId="0" borderId="0" xfId="65"/>
    <xf numFmtId="0" fontId="81" fillId="0" borderId="0" xfId="1" applyFont="1" applyAlignment="1">
      <alignment vertical="center" wrapText="1"/>
    </xf>
    <xf numFmtId="0" fontId="85" fillId="0" borderId="1" xfId="1" applyFont="1" applyBorder="1" applyAlignment="1">
      <alignment horizontal="center" vertical="center"/>
    </xf>
    <xf numFmtId="0" fontId="82" fillId="0" borderId="1" xfId="65" applyBorder="1"/>
    <xf numFmtId="0" fontId="82" fillId="0" borderId="1" xfId="65" applyBorder="1" applyAlignment="1">
      <alignment horizontal="center"/>
    </xf>
    <xf numFmtId="0" fontId="59" fillId="0" borderId="1" xfId="65" applyFont="1" applyBorder="1" applyAlignment="1">
      <alignment wrapText="1"/>
    </xf>
    <xf numFmtId="0" fontId="59" fillId="0" borderId="1" xfId="65" applyFont="1" applyBorder="1" applyAlignment="1">
      <alignment horizontal="center" wrapText="1"/>
    </xf>
    <xf numFmtId="0" fontId="1" fillId="0" borderId="1" xfId="65" applyFont="1" applyBorder="1" applyAlignment="1">
      <alignment horizontal="center"/>
    </xf>
    <xf numFmtId="0" fontId="1" fillId="0" borderId="1" xfId="65" applyFont="1" applyBorder="1" applyAlignment="1">
      <alignment horizontal="right" wrapText="1"/>
    </xf>
    <xf numFmtId="0" fontId="82" fillId="23" borderId="1" xfId="65" applyFill="1" applyBorder="1"/>
    <xf numFmtId="0" fontId="1" fillId="0" borderId="1" xfId="65" applyFont="1" applyBorder="1"/>
    <xf numFmtId="0" fontId="82" fillId="0" borderId="0" xfId="65" applyAlignment="1">
      <alignment horizontal="right" wrapText="1"/>
    </xf>
    <xf numFmtId="4" fontId="3" fillId="0" borderId="0" xfId="1" applyNumberFormat="1" applyFont="1" applyAlignment="1">
      <alignment horizontal="center" vertical="center" wrapText="1"/>
    </xf>
    <xf numFmtId="4" fontId="4" fillId="2" borderId="1" xfId="1" applyNumberFormat="1" applyFont="1" applyFill="1" applyBorder="1" applyAlignment="1" applyProtection="1">
      <alignment vertical="center" wrapText="1"/>
      <protection locked="0"/>
    </xf>
    <xf numFmtId="10" fontId="21" fillId="11" borderId="8" xfId="16" applyNumberFormat="1" applyFont="1" applyFill="1" applyBorder="1" applyAlignment="1">
      <alignment horizontal="center" vertical="center" wrapText="1"/>
    </xf>
    <xf numFmtId="10" fontId="6" fillId="0" borderId="8" xfId="16" applyNumberFormat="1" applyFont="1" applyFill="1" applyBorder="1" applyAlignment="1">
      <alignment horizontal="center" vertical="center" wrapText="1"/>
    </xf>
    <xf numFmtId="10" fontId="6" fillId="0" borderId="8" xfId="16" applyNumberFormat="1" applyFont="1" applyFill="1" applyBorder="1" applyAlignment="1">
      <alignment vertical="center" wrapText="1"/>
    </xf>
    <xf numFmtId="4" fontId="6" fillId="0" borderId="29" xfId="16" applyNumberFormat="1" applyFont="1" applyFill="1" applyBorder="1" applyAlignment="1">
      <alignment horizontal="center" vertical="center" wrapText="1"/>
    </xf>
    <xf numFmtId="4" fontId="3" fillId="0" borderId="3" xfId="1" applyNumberFormat="1" applyFont="1" applyBorder="1" applyAlignment="1">
      <alignment horizontal="center" vertical="center" wrapText="1"/>
    </xf>
    <xf numFmtId="4" fontId="3" fillId="0" borderId="0" xfId="1" applyNumberFormat="1" applyFont="1" applyAlignment="1">
      <alignment horizontal="left" vertical="center" wrapText="1"/>
    </xf>
    <xf numFmtId="4" fontId="0" fillId="0" borderId="0" xfId="0" applyNumberFormat="1" applyBorder="1"/>
    <xf numFmtId="4" fontId="0" fillId="0" borderId="16" xfId="0" applyNumberFormat="1" applyBorder="1"/>
    <xf numFmtId="3" fontId="10" fillId="0" borderId="3" xfId="3" applyNumberFormat="1" applyFont="1" applyBorder="1" applyAlignment="1">
      <alignment horizontal="center" vertical="center" wrapText="1"/>
    </xf>
    <xf numFmtId="4" fontId="6" fillId="0" borderId="0" xfId="2" applyNumberFormat="1" applyFont="1" applyAlignment="1">
      <alignment vertical="center" wrapText="1"/>
    </xf>
    <xf numFmtId="0" fontId="6" fillId="0" borderId="3" xfId="2" applyFont="1" applyBorder="1" applyAlignment="1">
      <alignment vertical="center" wrapText="1"/>
    </xf>
    <xf numFmtId="4" fontId="6" fillId="0" borderId="3" xfId="16" applyNumberFormat="1" applyFont="1" applyBorder="1" applyAlignment="1">
      <alignment horizontal="center" vertical="center" wrapText="1"/>
    </xf>
    <xf numFmtId="4" fontId="6" fillId="0" borderId="3" xfId="16" applyNumberFormat="1" applyFont="1" applyBorder="1" applyAlignment="1">
      <alignment vertical="center" wrapText="1"/>
    </xf>
    <xf numFmtId="4" fontId="16" fillId="0" borderId="0" xfId="0" applyNumberFormat="1" applyFont="1" applyAlignment="1"/>
    <xf numFmtId="0" fontId="16" fillId="0" borderId="3" xfId="0" applyFont="1" applyBorder="1" applyAlignment="1"/>
    <xf numFmtId="191" fontId="6" fillId="0" borderId="1" xfId="16" applyNumberFormat="1" applyFont="1" applyFill="1" applyBorder="1" applyAlignment="1">
      <alignment horizontal="center" vertical="center" wrapText="1"/>
    </xf>
    <xf numFmtId="10" fontId="6" fillId="0" borderId="1" xfId="16" applyNumberFormat="1" applyFont="1" applyFill="1" applyBorder="1" applyAlignment="1">
      <alignment horizontal="center" vertical="center" wrapText="1"/>
    </xf>
    <xf numFmtId="0" fontId="73" fillId="0" borderId="0" xfId="0" applyFont="1"/>
    <xf numFmtId="165" fontId="73" fillId="0" borderId="0" xfId="18" applyFont="1"/>
    <xf numFmtId="2" fontId="73" fillId="0" borderId="0" xfId="18" applyNumberFormat="1" applyFont="1"/>
    <xf numFmtId="0" fontId="86" fillId="0" borderId="0" xfId="0" applyFont="1"/>
    <xf numFmtId="2" fontId="86" fillId="0" borderId="0" xfId="0" applyNumberFormat="1" applyFont="1"/>
    <xf numFmtId="4" fontId="38" fillId="7" borderId="63" xfId="2" applyNumberFormat="1" applyFont="1" applyFill="1" applyBorder="1" applyAlignment="1">
      <alignment horizontal="center" vertical="center" wrapText="1"/>
    </xf>
    <xf numFmtId="191" fontId="78" fillId="0" borderId="0" xfId="2" applyNumberFormat="1" applyFont="1" applyAlignment="1">
      <alignment vertical="center" wrapText="1"/>
    </xf>
    <xf numFmtId="191" fontId="79" fillId="0" borderId="0" xfId="0" applyNumberFormat="1" applyFont="1"/>
    <xf numFmtId="190" fontId="21" fillId="11" borderId="1" xfId="16" applyNumberFormat="1" applyFont="1" applyFill="1" applyBorder="1" applyAlignment="1">
      <alignment horizontal="center" vertical="center" wrapText="1"/>
    </xf>
    <xf numFmtId="0" fontId="0" fillId="11" borderId="1" xfId="0" applyFill="1" applyBorder="1"/>
    <xf numFmtId="10" fontId="17" fillId="0" borderId="1" xfId="16" applyNumberFormat="1" applyFont="1" applyFill="1" applyBorder="1" applyAlignment="1">
      <alignment vertical="center" wrapText="1"/>
    </xf>
    <xf numFmtId="10" fontId="17" fillId="0" borderId="1" xfId="16" applyNumberFormat="1" applyFont="1" applyFill="1" applyBorder="1" applyAlignment="1">
      <alignment horizontal="center" vertical="center" wrapText="1"/>
    </xf>
    <xf numFmtId="10" fontId="17" fillId="0" borderId="15" xfId="16" applyNumberFormat="1" applyFont="1" applyFill="1" applyBorder="1" applyAlignment="1">
      <alignment horizontal="center" vertical="center" wrapText="1"/>
    </xf>
    <xf numFmtId="4" fontId="88" fillId="0" borderId="0" xfId="1" applyNumberFormat="1" applyFont="1" applyAlignment="1">
      <alignment vertical="center" wrapText="1"/>
    </xf>
    <xf numFmtId="9" fontId="88" fillId="0" borderId="0" xfId="17" applyFont="1" applyAlignment="1">
      <alignment vertical="center" wrapText="1"/>
    </xf>
    <xf numFmtId="2" fontId="6" fillId="0" borderId="0" xfId="2" applyNumberFormat="1" applyFont="1" applyFill="1"/>
    <xf numFmtId="4" fontId="4" fillId="7" borderId="64" xfId="1" applyNumberFormat="1" applyFont="1" applyFill="1" applyBorder="1" applyAlignment="1" applyProtection="1">
      <alignment horizontal="left" vertical="center" wrapText="1"/>
      <protection locked="0"/>
    </xf>
    <xf numFmtId="4" fontId="5" fillId="0" borderId="0" xfId="1" applyNumberFormat="1" applyFont="1" applyAlignment="1">
      <alignment horizontal="center" vertical="center" wrapText="1"/>
    </xf>
    <xf numFmtId="4" fontId="5" fillId="0" borderId="0" xfId="1" applyNumberFormat="1" applyFont="1" applyBorder="1" applyAlignment="1">
      <alignment horizontal="center" vertical="center" wrapText="1"/>
    </xf>
    <xf numFmtId="0" fontId="6" fillId="0" borderId="0" xfId="2" applyFont="1" applyFill="1" applyAlignment="1">
      <alignment horizontal="center"/>
    </xf>
    <xf numFmtId="4" fontId="4" fillId="7" borderId="64" xfId="1" applyNumberFormat="1" applyFont="1" applyFill="1" applyBorder="1" applyAlignment="1" applyProtection="1">
      <alignment vertical="center" wrapText="1"/>
      <protection locked="0"/>
    </xf>
    <xf numFmtId="179" fontId="6" fillId="0" borderId="1" xfId="2" applyNumberFormat="1" applyFont="1" applyFill="1" applyBorder="1" applyAlignment="1">
      <alignment horizontal="center"/>
    </xf>
    <xf numFmtId="4" fontId="3" fillId="0" borderId="0" xfId="1" applyNumberFormat="1" applyFont="1" applyAlignment="1">
      <alignment horizontal="center" vertical="center" wrapText="1"/>
    </xf>
    <xf numFmtId="4" fontId="4" fillId="2" borderId="65" xfId="1" applyNumberFormat="1" applyFont="1" applyFill="1" applyBorder="1" applyAlignment="1" applyProtection="1">
      <alignment horizontal="left" vertical="center" wrapText="1"/>
      <protection locked="0"/>
    </xf>
    <xf numFmtId="4" fontId="4" fillId="7" borderId="64" xfId="1" applyNumberFormat="1" applyFont="1" applyFill="1" applyBorder="1" applyAlignment="1" applyProtection="1">
      <alignment horizontal="left" vertical="center" wrapText="1"/>
      <protection locked="0"/>
    </xf>
    <xf numFmtId="4" fontId="4" fillId="4" borderId="1" xfId="1" applyNumberFormat="1" applyFont="1" applyFill="1" applyBorder="1" applyAlignment="1">
      <alignment horizontal="center" vertical="center" wrapText="1"/>
    </xf>
    <xf numFmtId="4" fontId="4" fillId="4" borderId="7" xfId="1" applyNumberFormat="1" applyFont="1" applyFill="1" applyBorder="1" applyAlignment="1">
      <alignment horizontal="center" vertical="center" wrapText="1"/>
    </xf>
    <xf numFmtId="4" fontId="74" fillId="0" borderId="0" xfId="0" applyNumberFormat="1" applyFont="1" applyBorder="1" applyAlignment="1">
      <alignment horizontal="center"/>
    </xf>
    <xf numFmtId="4" fontId="4" fillId="0" borderId="1" xfId="16" applyNumberFormat="1" applyFont="1" applyFill="1" applyBorder="1" applyAlignment="1">
      <alignment horizontal="center" vertical="center" wrapText="1"/>
    </xf>
    <xf numFmtId="4" fontId="74" fillId="0" borderId="0" xfId="0" applyNumberFormat="1" applyFont="1" applyAlignment="1">
      <alignment horizontal="center"/>
    </xf>
    <xf numFmtId="0" fontId="21" fillId="0" borderId="35" xfId="11" applyFont="1" applyFill="1" applyBorder="1" applyAlignment="1">
      <alignment horizontal="left"/>
    </xf>
    <xf numFmtId="0" fontId="21" fillId="0" borderId="22" xfId="11" applyFont="1" applyFill="1" applyBorder="1" applyAlignment="1">
      <alignment horizontal="left"/>
    </xf>
    <xf numFmtId="0" fontId="21" fillId="0" borderId="8" xfId="11" applyFont="1" applyFill="1" applyBorder="1" applyAlignment="1">
      <alignment horizontal="left"/>
    </xf>
    <xf numFmtId="0" fontId="21" fillId="0" borderId="32" xfId="11" applyFont="1" applyFill="1" applyBorder="1" applyAlignment="1">
      <alignment horizontal="center"/>
    </xf>
    <xf numFmtId="0" fontId="21" fillId="0" borderId="33" xfId="11" applyFont="1" applyFill="1" applyBorder="1" applyAlignment="1">
      <alignment horizontal="center"/>
    </xf>
    <xf numFmtId="0" fontId="90" fillId="0" borderId="1" xfId="0" applyFont="1" applyBorder="1" applyAlignment="1">
      <alignment horizontal="right"/>
    </xf>
    <xf numFmtId="4" fontId="87" fillId="0" borderId="1" xfId="1" applyNumberFormat="1" applyFont="1" applyFill="1" applyBorder="1" applyAlignment="1" applyProtection="1">
      <alignment horizontal="right" vertical="center" wrapText="1"/>
      <protection locked="0"/>
    </xf>
    <xf numFmtId="4" fontId="3" fillId="0" borderId="1" xfId="1" applyNumberFormat="1" applyFont="1" applyFill="1" applyBorder="1" applyAlignment="1" applyProtection="1">
      <alignment horizontal="right" vertical="center" wrapText="1"/>
      <protection locked="0"/>
    </xf>
    <xf numFmtId="0" fontId="89" fillId="0" borderId="15" xfId="0" applyFont="1" applyFill="1" applyBorder="1" applyAlignment="1">
      <alignment horizontal="right"/>
    </xf>
    <xf numFmtId="0" fontId="89" fillId="0" borderId="1" xfId="0" applyFont="1" applyFill="1" applyBorder="1" applyAlignment="1">
      <alignment horizontal="right"/>
    </xf>
    <xf numFmtId="0" fontId="91" fillId="0" borderId="1" xfId="0" applyFont="1" applyFill="1" applyBorder="1" applyAlignment="1">
      <alignment horizontal="right"/>
    </xf>
    <xf numFmtId="204" fontId="70" fillId="0" borderId="1" xfId="0" applyNumberFormat="1" applyFont="1" applyBorder="1" applyAlignment="1">
      <alignment horizontal="right"/>
    </xf>
    <xf numFmtId="4" fontId="77" fillId="0" borderId="1" xfId="1" applyNumberFormat="1" applyFont="1" applyFill="1" applyBorder="1" applyAlignment="1">
      <alignment horizontal="right" vertical="center" wrapText="1"/>
    </xf>
    <xf numFmtId="4" fontId="77" fillId="0" borderId="1" xfId="1" applyNumberFormat="1" applyFont="1" applyFill="1" applyBorder="1" applyAlignment="1">
      <alignment vertical="center" wrapText="1"/>
    </xf>
    <xf numFmtId="4" fontId="70" fillId="0" borderId="1" xfId="0" applyNumberFormat="1" applyFont="1" applyBorder="1"/>
    <xf numFmtId="2" fontId="70" fillId="0" borderId="1" xfId="0" applyNumberFormat="1" applyFont="1" applyBorder="1"/>
    <xf numFmtId="4" fontId="77" fillId="0" borderId="7" xfId="1" applyNumberFormat="1" applyFont="1" applyFill="1" applyBorder="1" applyAlignment="1">
      <alignment vertical="center" wrapText="1"/>
    </xf>
    <xf numFmtId="2" fontId="70" fillId="0" borderId="0" xfId="18" applyNumberFormat="1" applyFont="1"/>
    <xf numFmtId="4" fontId="70" fillId="0" borderId="0" xfId="0" applyNumberFormat="1" applyFont="1"/>
    <xf numFmtId="0" fontId="70" fillId="0" borderId="1" xfId="0" applyFont="1" applyBorder="1"/>
    <xf numFmtId="186" fontId="70" fillId="0" borderId="1" xfId="0" applyNumberFormat="1" applyFont="1" applyBorder="1"/>
    <xf numFmtId="0" fontId="87" fillId="0" borderId="0" xfId="11" applyFont="1" applyFill="1" applyBorder="1"/>
    <xf numFmtId="187" fontId="33" fillId="0" borderId="1" xfId="17" applyNumberFormat="1" applyFont="1" applyBorder="1" applyAlignment="1">
      <alignment horizontal="center" vertical="center" wrapText="1"/>
    </xf>
    <xf numFmtId="4" fontId="6" fillId="0" borderId="12" xfId="1" applyNumberFormat="1" applyFont="1" applyFill="1" applyBorder="1" applyAlignment="1">
      <alignment horizontal="right" vertical="center" wrapText="1"/>
    </xf>
    <xf numFmtId="4" fontId="6" fillId="0" borderId="13" xfId="1" applyNumberFormat="1" applyFont="1" applyFill="1" applyBorder="1" applyAlignment="1">
      <alignment vertical="center" wrapText="1"/>
    </xf>
    <xf numFmtId="4" fontId="6" fillId="0" borderId="1" xfId="9" applyNumberFormat="1" applyFont="1" applyFill="1" applyBorder="1" applyAlignment="1" applyProtection="1">
      <alignment horizontal="left" vertical="center" wrapText="1"/>
    </xf>
    <xf numFmtId="4" fontId="4" fillId="2" borderId="1" xfId="1" applyNumberFormat="1" applyFont="1" applyFill="1" applyBorder="1" applyAlignment="1">
      <alignment horizontal="center" vertical="center" wrapText="1"/>
    </xf>
    <xf numFmtId="4" fontId="4" fillId="2" borderId="65" xfId="1" applyNumberFormat="1" applyFont="1" applyFill="1" applyBorder="1" applyAlignment="1" applyProtection="1">
      <alignment horizontal="left" vertical="center" wrapText="1"/>
      <protection locked="0"/>
    </xf>
    <xf numFmtId="4" fontId="4" fillId="2" borderId="22" xfId="1" applyNumberFormat="1" applyFont="1" applyFill="1" applyBorder="1" applyAlignment="1" applyProtection="1">
      <alignment horizontal="left" vertical="center" wrapText="1"/>
      <protection locked="0"/>
    </xf>
    <xf numFmtId="4" fontId="4" fillId="2" borderId="8" xfId="1" applyNumberFormat="1" applyFont="1" applyFill="1" applyBorder="1" applyAlignment="1" applyProtection="1">
      <alignment horizontal="left" vertical="center" wrapText="1"/>
      <protection locked="0"/>
    </xf>
    <xf numFmtId="4" fontId="4" fillId="2" borderId="65" xfId="1" applyNumberFormat="1" applyFont="1" applyFill="1" applyBorder="1" applyAlignment="1" applyProtection="1">
      <alignment horizontal="left" vertical="center" wrapText="1"/>
      <protection locked="0"/>
    </xf>
    <xf numFmtId="4" fontId="4" fillId="2" borderId="22" xfId="1" applyNumberFormat="1" applyFont="1" applyFill="1" applyBorder="1" applyAlignment="1" applyProtection="1">
      <alignment horizontal="left" vertical="center" wrapText="1"/>
      <protection locked="0"/>
    </xf>
    <xf numFmtId="4" fontId="4" fillId="2" borderId="8" xfId="1" applyNumberFormat="1" applyFont="1" applyFill="1" applyBorder="1" applyAlignment="1" applyProtection="1">
      <alignment horizontal="left" vertical="center" wrapText="1"/>
      <protection locked="0"/>
    </xf>
    <xf numFmtId="4" fontId="2" fillId="0" borderId="0" xfId="1" applyNumberFormat="1" applyFont="1" applyAlignment="1">
      <alignment horizontal="center" vertical="center" wrapText="1"/>
    </xf>
    <xf numFmtId="4" fontId="5" fillId="0" borderId="0" xfId="1" applyNumberFormat="1" applyFont="1" applyAlignment="1">
      <alignment horizontal="center" vertical="center" wrapText="1"/>
    </xf>
    <xf numFmtId="4" fontId="4" fillId="0" borderId="0" xfId="1" applyNumberFormat="1" applyFont="1" applyAlignment="1">
      <alignment horizontal="center" vertical="center" wrapText="1"/>
    </xf>
    <xf numFmtId="4" fontId="3" fillId="0" borderId="0" xfId="1" applyNumberFormat="1" applyFont="1" applyAlignment="1">
      <alignment horizontal="left" vertical="center" wrapText="1"/>
    </xf>
    <xf numFmtId="4" fontId="7" fillId="0" borderId="1" xfId="1" applyNumberFormat="1" applyFont="1" applyFill="1" applyBorder="1" applyAlignment="1">
      <alignment horizontal="center" vertical="center" wrapText="1"/>
    </xf>
    <xf numFmtId="4" fontId="3" fillId="0" borderId="0" xfId="1" applyNumberFormat="1" applyFont="1" applyAlignment="1">
      <alignment horizontal="center" vertical="center" wrapText="1"/>
    </xf>
    <xf numFmtId="4" fontId="4" fillId="0" borderId="65" xfId="1" applyNumberFormat="1" applyFont="1" applyFill="1" applyBorder="1" applyAlignment="1" applyProtection="1">
      <alignment horizontal="left" vertical="center" wrapText="1"/>
      <protection locked="0"/>
    </xf>
    <xf numFmtId="4" fontId="4" fillId="0" borderId="22" xfId="1" applyNumberFormat="1" applyFont="1" applyFill="1" applyBorder="1" applyAlignment="1" applyProtection="1">
      <alignment horizontal="left" vertical="center" wrapText="1"/>
      <protection locked="0"/>
    </xf>
    <xf numFmtId="4" fontId="4" fillId="0" borderId="8" xfId="1" applyNumberFormat="1" applyFont="1" applyFill="1" applyBorder="1" applyAlignment="1" applyProtection="1">
      <alignment horizontal="left" vertical="center" wrapText="1"/>
      <protection locked="0"/>
    </xf>
    <xf numFmtId="4" fontId="4" fillId="0" borderId="1" xfId="1" applyNumberFormat="1" applyFont="1" applyBorder="1" applyAlignment="1">
      <alignment horizontal="center" vertical="center" wrapText="1"/>
    </xf>
    <xf numFmtId="4" fontId="7" fillId="0" borderId="7" xfId="1" applyNumberFormat="1" applyFont="1" applyFill="1" applyBorder="1" applyAlignment="1">
      <alignment horizontal="center" vertical="center" wrapText="1"/>
    </xf>
    <xf numFmtId="4" fontId="7" fillId="0" borderId="8" xfId="1" applyNumberFormat="1" applyFont="1" applyFill="1" applyBorder="1" applyAlignment="1">
      <alignment horizontal="center" vertical="center" wrapText="1"/>
    </xf>
    <xf numFmtId="4" fontId="7" fillId="0" borderId="12" xfId="1" applyNumberFormat="1" applyFont="1" applyFill="1" applyBorder="1" applyAlignment="1">
      <alignment horizontal="center" vertical="center" wrapText="1"/>
    </xf>
    <xf numFmtId="4" fontId="7" fillId="0" borderId="13" xfId="1" applyNumberFormat="1" applyFont="1" applyFill="1" applyBorder="1" applyAlignment="1">
      <alignment horizontal="center" vertical="center" wrapText="1"/>
    </xf>
    <xf numFmtId="4" fontId="4" fillId="7" borderId="64" xfId="1" applyNumberFormat="1" applyFont="1" applyFill="1" applyBorder="1" applyAlignment="1" applyProtection="1">
      <alignment horizontal="left" vertical="center" wrapText="1"/>
      <protection locked="0"/>
    </xf>
    <xf numFmtId="4" fontId="4" fillId="7" borderId="65" xfId="1" applyNumberFormat="1" applyFont="1" applyFill="1" applyBorder="1" applyAlignment="1" applyProtection="1">
      <alignment horizontal="left" vertical="center" wrapText="1"/>
      <protection locked="0"/>
    </xf>
    <xf numFmtId="4" fontId="4" fillId="7" borderId="117" xfId="1" applyNumberFormat="1" applyFont="1" applyFill="1" applyBorder="1" applyAlignment="1" applyProtection="1">
      <alignment horizontal="left" vertical="center" wrapText="1"/>
      <protection locked="0"/>
    </xf>
    <xf numFmtId="4" fontId="4" fillId="7" borderId="22" xfId="1" applyNumberFormat="1" applyFont="1" applyFill="1" applyBorder="1" applyAlignment="1" applyProtection="1">
      <alignment horizontal="left" vertical="center" wrapText="1"/>
      <protection locked="0"/>
    </xf>
    <xf numFmtId="4" fontId="4" fillId="0" borderId="16" xfId="1" applyNumberFormat="1" applyFont="1" applyBorder="1" applyAlignment="1">
      <alignment horizontal="center" vertical="center" wrapText="1"/>
    </xf>
    <xf numFmtId="4" fontId="4" fillId="0" borderId="0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" fontId="7" fillId="0" borderId="37" xfId="1" applyNumberFormat="1" applyFont="1" applyFill="1" applyBorder="1" applyAlignment="1">
      <alignment horizontal="left" vertical="top" wrapText="1"/>
    </xf>
    <xf numFmtId="4" fontId="7" fillId="0" borderId="16" xfId="1" applyNumberFormat="1" applyFont="1" applyFill="1" applyBorder="1" applyAlignment="1">
      <alignment horizontal="left" vertical="top" wrapText="1"/>
    </xf>
    <xf numFmtId="4" fontId="7" fillId="0" borderId="18" xfId="1" applyNumberFormat="1" applyFont="1" applyFill="1" applyBorder="1" applyAlignment="1">
      <alignment horizontal="left" vertical="top" wrapText="1"/>
    </xf>
    <xf numFmtId="4" fontId="7" fillId="0" borderId="10" xfId="1" applyNumberFormat="1" applyFont="1" applyFill="1" applyBorder="1" applyAlignment="1">
      <alignment horizontal="left" vertical="top" wrapText="1"/>
    </xf>
    <xf numFmtId="4" fontId="7" fillId="0" borderId="0" xfId="1" applyNumberFormat="1" applyFont="1" applyFill="1" applyBorder="1" applyAlignment="1">
      <alignment horizontal="left" vertical="top" wrapText="1"/>
    </xf>
    <xf numFmtId="4" fontId="7" fillId="0" borderId="11" xfId="1" applyNumberFormat="1" applyFont="1" applyFill="1" applyBorder="1" applyAlignment="1">
      <alignment horizontal="left" vertical="top" wrapText="1"/>
    </xf>
    <xf numFmtId="4" fontId="7" fillId="0" borderId="12" xfId="1" applyNumberFormat="1" applyFont="1" applyFill="1" applyBorder="1" applyAlignment="1">
      <alignment horizontal="left" vertical="top" wrapText="1"/>
    </xf>
    <xf numFmtId="4" fontId="7" fillId="0" borderId="3" xfId="1" applyNumberFormat="1" applyFont="1" applyFill="1" applyBorder="1" applyAlignment="1">
      <alignment horizontal="left" vertical="top" wrapText="1"/>
    </xf>
    <xf numFmtId="4" fontId="7" fillId="0" borderId="13" xfId="1" applyNumberFormat="1" applyFont="1" applyFill="1" applyBorder="1" applyAlignment="1">
      <alignment horizontal="left" vertical="top" wrapText="1"/>
    </xf>
    <xf numFmtId="0" fontId="35" fillId="4" borderId="37" xfId="0" applyFont="1" applyFill="1" applyBorder="1" applyAlignment="1">
      <alignment horizontal="center" vertical="center"/>
    </xf>
    <xf numFmtId="0" fontId="35" fillId="4" borderId="18" xfId="0" applyFont="1" applyFill="1" applyBorder="1" applyAlignment="1">
      <alignment horizontal="center" vertical="center"/>
    </xf>
    <xf numFmtId="0" fontId="35" fillId="4" borderId="12" xfId="0" applyFont="1" applyFill="1" applyBorder="1" applyAlignment="1">
      <alignment horizontal="center" vertical="center"/>
    </xf>
    <xf numFmtId="0" fontId="35" fillId="4" borderId="13" xfId="0" applyFont="1" applyFill="1" applyBorder="1" applyAlignment="1">
      <alignment horizontal="center" vertical="center"/>
    </xf>
    <xf numFmtId="4" fontId="4" fillId="4" borderId="7" xfId="1" applyNumberFormat="1" applyFont="1" applyFill="1" applyBorder="1" applyAlignment="1">
      <alignment horizontal="center" vertical="center" wrapText="1"/>
    </xf>
    <xf numFmtId="4" fontId="4" fillId="4" borderId="22" xfId="1" applyNumberFormat="1" applyFont="1" applyFill="1" applyBorder="1" applyAlignment="1">
      <alignment horizontal="center" vertical="center" wrapText="1"/>
    </xf>
    <xf numFmtId="4" fontId="4" fillId="4" borderId="8" xfId="1" applyNumberFormat="1" applyFont="1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 vertical="top"/>
    </xf>
    <xf numFmtId="4" fontId="4" fillId="0" borderId="0" xfId="1" applyNumberFormat="1" applyFont="1" applyFill="1" applyBorder="1" applyAlignment="1">
      <alignment horizontal="center" vertical="center" wrapText="1"/>
    </xf>
    <xf numFmtId="4" fontId="57" fillId="0" borderId="0" xfId="1" applyNumberFormat="1" applyFont="1" applyFill="1" applyBorder="1" applyAlignment="1">
      <alignment horizontal="center" vertical="center" wrapText="1"/>
    </xf>
    <xf numFmtId="4" fontId="38" fillId="7" borderId="64" xfId="1" applyNumberFormat="1" applyFont="1" applyFill="1" applyBorder="1" applyAlignment="1" applyProtection="1">
      <alignment horizontal="left" vertical="center" wrapText="1"/>
      <protection locked="0"/>
    </xf>
    <xf numFmtId="4" fontId="5" fillId="13" borderId="7" xfId="0" applyNumberFormat="1" applyFont="1" applyFill="1" applyBorder="1" applyAlignment="1">
      <alignment horizontal="center" vertical="center" wrapText="1"/>
    </xf>
    <xf numFmtId="4" fontId="5" fillId="13" borderId="22" xfId="0" applyNumberFormat="1" applyFont="1" applyFill="1" applyBorder="1" applyAlignment="1">
      <alignment horizontal="center" vertical="center" wrapText="1"/>
    </xf>
    <xf numFmtId="4" fontId="5" fillId="13" borderId="8" xfId="0" applyNumberFormat="1" applyFont="1" applyFill="1" applyBorder="1" applyAlignment="1">
      <alignment horizontal="center" vertical="center" wrapText="1"/>
    </xf>
    <xf numFmtId="4" fontId="38" fillId="0" borderId="0" xfId="1" applyNumberFormat="1" applyFont="1" applyFill="1" applyBorder="1" applyAlignment="1">
      <alignment horizontal="center" vertical="center" wrapText="1"/>
    </xf>
    <xf numFmtId="2" fontId="35" fillId="6" borderId="107" xfId="59" applyNumberFormat="1" applyFont="1" applyFill="1" applyBorder="1" applyAlignment="1">
      <alignment horizontal="center" wrapText="1"/>
    </xf>
    <xf numFmtId="0" fontId="9" fillId="6" borderId="108" xfId="59" applyFill="1" applyBorder="1" applyAlignment="1">
      <alignment horizontal="center" wrapText="1"/>
    </xf>
    <xf numFmtId="0" fontId="9" fillId="6" borderId="109" xfId="59" applyFill="1" applyBorder="1" applyAlignment="1">
      <alignment horizontal="center" wrapText="1"/>
    </xf>
    <xf numFmtId="0" fontId="9" fillId="6" borderId="68" xfId="59" applyFill="1" applyBorder="1" applyAlignment="1">
      <alignment horizontal="center" wrapText="1"/>
    </xf>
    <xf numFmtId="0" fontId="9" fillId="6" borderId="45" xfId="59" applyFill="1" applyBorder="1" applyAlignment="1">
      <alignment horizontal="center" wrapText="1"/>
    </xf>
    <xf numFmtId="0" fontId="9" fillId="6" borderId="61" xfId="59" applyFill="1" applyBorder="1" applyAlignment="1">
      <alignment horizontal="center" wrapText="1"/>
    </xf>
    <xf numFmtId="174" fontId="59" fillId="6" borderId="50" xfId="60" applyNumberFormat="1" applyFont="1" applyFill="1" applyBorder="1" applyAlignment="1">
      <alignment horizontal="center" vertical="center" wrapText="1"/>
    </xf>
    <xf numFmtId="174" fontId="59" fillId="6" borderId="47" xfId="60" applyNumberFormat="1" applyFont="1" applyFill="1" applyBorder="1" applyAlignment="1">
      <alignment horizontal="center" vertical="center" wrapText="1"/>
    </xf>
    <xf numFmtId="174" fontId="59" fillId="6" borderId="77" xfId="60" applyNumberFormat="1" applyFont="1" applyFill="1" applyBorder="1" applyAlignment="1">
      <alignment horizontal="center" vertical="center" wrapText="1"/>
    </xf>
    <xf numFmtId="0" fontId="62" fillId="6" borderId="78" xfId="59" applyFont="1" applyFill="1" applyBorder="1" applyAlignment="1">
      <alignment horizontal="center" vertical="center" wrapText="1"/>
    </xf>
    <xf numFmtId="0" fontId="62" fillId="6" borderId="1" xfId="59" applyFont="1" applyFill="1" applyBorder="1" applyAlignment="1">
      <alignment horizontal="center" vertical="center" wrapText="1"/>
    </xf>
    <xf numFmtId="0" fontId="62" fillId="6" borderId="48" xfId="59" applyFont="1" applyFill="1" applyBorder="1" applyAlignment="1">
      <alignment horizontal="center" vertical="center" wrapText="1"/>
    </xf>
    <xf numFmtId="0" fontId="59" fillId="6" borderId="78" xfId="59" applyFont="1" applyFill="1" applyBorder="1" applyAlignment="1">
      <alignment vertical="center" wrapText="1"/>
    </xf>
    <xf numFmtId="0" fontId="62" fillId="6" borderId="1" xfId="59" applyFont="1" applyFill="1" applyBorder="1" applyAlignment="1">
      <alignment vertical="center" wrapText="1"/>
    </xf>
    <xf numFmtId="0" fontId="62" fillId="6" borderId="48" xfId="59" applyFont="1" applyFill="1" applyBorder="1" applyAlignment="1">
      <alignment vertical="center" wrapText="1"/>
    </xf>
    <xf numFmtId="0" fontId="0" fillId="0" borderId="50" xfId="0" applyBorder="1" applyAlignment="1">
      <alignment horizontal="left" vertical="center" wrapText="1"/>
    </xf>
    <xf numFmtId="0" fontId="0" fillId="0" borderId="47" xfId="0" applyBorder="1" applyAlignment="1">
      <alignment horizontal="left" vertical="center" wrapText="1"/>
    </xf>
    <xf numFmtId="0" fontId="0" fillId="0" borderId="77" xfId="0" applyBorder="1" applyAlignment="1">
      <alignment horizontal="left" vertical="center" wrapText="1"/>
    </xf>
    <xf numFmtId="0" fontId="0" fillId="0" borderId="78" xfId="0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48" xfId="0" applyBorder="1" applyAlignment="1">
      <alignment horizontal="left" vertical="center" wrapText="1"/>
    </xf>
    <xf numFmtId="0" fontId="0" fillId="0" borderId="79" xfId="0" applyBorder="1" applyAlignment="1">
      <alignment horizontal="left" vertical="center" wrapText="1"/>
    </xf>
    <xf numFmtId="0" fontId="0" fillId="0" borderId="41" xfId="0" applyBorder="1" applyAlignment="1">
      <alignment horizontal="left" vertical="center" wrapText="1"/>
    </xf>
    <xf numFmtId="0" fontId="0" fillId="0" borderId="60" xfId="0" applyBorder="1" applyAlignment="1">
      <alignment horizontal="left" vertical="center" wrapText="1"/>
    </xf>
    <xf numFmtId="4" fontId="15" fillId="5" borderId="7" xfId="3" applyNumberFormat="1" applyFont="1" applyFill="1" applyBorder="1" applyAlignment="1">
      <alignment horizontal="left" vertical="center" wrapText="1"/>
    </xf>
    <xf numFmtId="4" fontId="15" fillId="5" borderId="22" xfId="3" applyNumberFormat="1" applyFont="1" applyFill="1" applyBorder="1" applyAlignment="1">
      <alignment horizontal="left" vertical="center" wrapText="1"/>
    </xf>
    <xf numFmtId="4" fontId="15" fillId="5" borderId="1" xfId="3" applyNumberFormat="1" applyFont="1" applyFill="1" applyBorder="1" applyAlignment="1">
      <alignment horizontal="left" vertical="center" wrapText="1"/>
    </xf>
    <xf numFmtId="4" fontId="4" fillId="0" borderId="16" xfId="2" applyNumberFormat="1" applyFont="1" applyBorder="1" applyAlignment="1">
      <alignment horizontal="center" vertical="center" wrapText="1"/>
    </xf>
    <xf numFmtId="4" fontId="4" fillId="0" borderId="0" xfId="2" applyNumberFormat="1" applyFont="1" applyAlignment="1">
      <alignment horizontal="center" vertical="center" wrapText="1"/>
    </xf>
    <xf numFmtId="3" fontId="10" fillId="0" borderId="1" xfId="3" applyNumberFormat="1" applyFont="1" applyBorder="1" applyAlignment="1">
      <alignment horizontal="center" vertical="center" wrapText="1"/>
    </xf>
    <xf numFmtId="3" fontId="15" fillId="0" borderId="1" xfId="3" applyNumberFormat="1" applyFont="1" applyBorder="1" applyAlignment="1">
      <alignment horizontal="left" vertical="center" wrapText="1"/>
    </xf>
    <xf numFmtId="3" fontId="10" fillId="0" borderId="16" xfId="3" applyNumberFormat="1" applyFont="1" applyBorder="1" applyAlignment="1">
      <alignment horizontal="left" vertical="center" wrapText="1"/>
    </xf>
    <xf numFmtId="3" fontId="10" fillId="0" borderId="0" xfId="3" applyNumberFormat="1" applyFont="1" applyBorder="1" applyAlignment="1">
      <alignment horizontal="left" vertical="center" wrapText="1"/>
    </xf>
    <xf numFmtId="4" fontId="10" fillId="0" borderId="1" xfId="3" applyNumberFormat="1" applyFont="1" applyBorder="1" applyAlignment="1">
      <alignment horizontal="left" vertical="center" wrapText="1"/>
    </xf>
    <xf numFmtId="10" fontId="10" fillId="0" borderId="1" xfId="5" applyNumberFormat="1" applyFont="1" applyBorder="1" applyAlignment="1">
      <alignment horizontal="center" vertical="center" wrapText="1"/>
    </xf>
    <xf numFmtId="4" fontId="15" fillId="0" borderId="1" xfId="3" applyNumberFormat="1" applyFont="1" applyBorder="1" applyAlignment="1">
      <alignment horizontal="left" vertical="center" wrapText="1"/>
    </xf>
    <xf numFmtId="4" fontId="10" fillId="0" borderId="1" xfId="3" applyNumberFormat="1" applyFont="1" applyFill="1" applyBorder="1" applyAlignment="1">
      <alignment horizontal="left" vertical="center" wrapText="1"/>
    </xf>
    <xf numFmtId="0" fontId="16" fillId="0" borderId="1" xfId="3" applyFont="1" applyFill="1" applyBorder="1" applyAlignment="1">
      <alignment horizontal="left" vertical="center" wrapText="1"/>
    </xf>
    <xf numFmtId="0" fontId="16" fillId="0" borderId="1" xfId="3" applyFont="1" applyBorder="1" applyAlignment="1">
      <alignment horizontal="left" vertical="center" wrapText="1"/>
    </xf>
    <xf numFmtId="4" fontId="10" fillId="0" borderId="7" xfId="3" applyNumberFormat="1" applyFont="1" applyFill="1" applyBorder="1" applyAlignment="1">
      <alignment horizontal="left" vertical="center" wrapText="1"/>
    </xf>
    <xf numFmtId="4" fontId="10" fillId="0" borderId="22" xfId="3" applyNumberFormat="1" applyFont="1" applyFill="1" applyBorder="1" applyAlignment="1">
      <alignment horizontal="left" vertical="center" wrapText="1"/>
    </xf>
    <xf numFmtId="4" fontId="10" fillId="0" borderId="8" xfId="3" applyNumberFormat="1" applyFont="1" applyFill="1" applyBorder="1" applyAlignment="1">
      <alignment horizontal="left" vertical="center" wrapText="1"/>
    </xf>
    <xf numFmtId="4" fontId="15" fillId="0" borderId="7" xfId="3" applyNumberFormat="1" applyFont="1" applyBorder="1" applyAlignment="1">
      <alignment horizontal="left" vertical="center" wrapText="1"/>
    </xf>
    <xf numFmtId="4" fontId="15" fillId="0" borderId="22" xfId="3" applyNumberFormat="1" applyFont="1" applyBorder="1" applyAlignment="1">
      <alignment horizontal="left" vertical="center" wrapText="1"/>
    </xf>
    <xf numFmtId="4" fontId="15" fillId="0" borderId="8" xfId="3" applyNumberFormat="1" applyFont="1" applyBorder="1" applyAlignment="1">
      <alignment horizontal="left" vertical="center" wrapText="1"/>
    </xf>
    <xf numFmtId="4" fontId="15" fillId="0" borderId="1" xfId="3" applyNumberFormat="1" applyFont="1" applyBorder="1" applyAlignment="1">
      <alignment horizontal="center" vertical="center" wrapText="1"/>
    </xf>
    <xf numFmtId="4" fontId="11" fillId="0" borderId="0" xfId="1" applyNumberFormat="1" applyFont="1" applyAlignment="1">
      <alignment horizontal="center" vertical="center" wrapText="1"/>
    </xf>
    <xf numFmtId="4" fontId="15" fillId="0" borderId="0" xfId="3" applyNumberFormat="1" applyFont="1" applyAlignment="1">
      <alignment horizontal="left" vertical="center" wrapText="1"/>
    </xf>
    <xf numFmtId="4" fontId="10" fillId="0" borderId="0" xfId="3" applyNumberFormat="1" applyFont="1" applyAlignment="1">
      <alignment horizontal="right" vertical="center" wrapText="1"/>
    </xf>
    <xf numFmtId="4" fontId="12" fillId="0" borderId="0" xfId="3" applyNumberFormat="1" applyFont="1" applyAlignment="1">
      <alignment horizontal="right" vertical="center" wrapText="1"/>
    </xf>
    <xf numFmtId="4" fontId="12" fillId="0" borderId="0" xfId="3" applyNumberFormat="1" applyFont="1" applyAlignment="1">
      <alignment horizontal="left" vertical="center" wrapText="1"/>
    </xf>
    <xf numFmtId="4" fontId="15" fillId="0" borderId="0" xfId="3" applyNumberFormat="1" applyFont="1" applyAlignment="1">
      <alignment horizontal="center" vertical="center" wrapText="1"/>
    </xf>
    <xf numFmtId="3" fontId="7" fillId="0" borderId="0" xfId="3" applyNumberFormat="1" applyFont="1" applyAlignment="1">
      <alignment horizontal="right" vertical="center" wrapText="1"/>
    </xf>
    <xf numFmtId="4" fontId="15" fillId="0" borderId="3" xfId="3" applyNumberFormat="1" applyFont="1" applyBorder="1" applyAlignment="1">
      <alignment horizontal="left" vertical="center" wrapText="1"/>
    </xf>
    <xf numFmtId="4" fontId="7" fillId="0" borderId="0" xfId="2" applyNumberFormat="1" applyFont="1" applyAlignment="1">
      <alignment horizontal="right" vertical="center" wrapText="1"/>
    </xf>
    <xf numFmtId="4" fontId="5" fillId="0" borderId="67" xfId="1" applyNumberFormat="1" applyFont="1" applyBorder="1" applyAlignment="1">
      <alignment horizontal="center" vertical="center" wrapText="1"/>
    </xf>
    <xf numFmtId="4" fontId="5" fillId="0" borderId="59" xfId="1" applyNumberFormat="1" applyFont="1" applyBorder="1" applyAlignment="1">
      <alignment horizontal="center" vertical="center" wrapText="1"/>
    </xf>
    <xf numFmtId="4" fontId="5" fillId="10" borderId="80" xfId="1" applyNumberFormat="1" applyFont="1" applyFill="1" applyBorder="1" applyAlignment="1">
      <alignment horizontal="center" vertical="center" wrapText="1"/>
    </xf>
    <xf numFmtId="4" fontId="5" fillId="10" borderId="81" xfId="1" applyNumberFormat="1" applyFont="1" applyFill="1" applyBorder="1" applyAlignment="1">
      <alignment horizontal="center" vertical="center" wrapText="1"/>
    </xf>
    <xf numFmtId="0" fontId="31" fillId="9" borderId="88" xfId="2" applyFont="1" applyFill="1" applyBorder="1" applyAlignment="1">
      <alignment horizontal="right" vertical="center" wrapText="1"/>
    </xf>
    <xf numFmtId="0" fontId="31" fillId="9" borderId="89" xfId="2" applyFont="1" applyFill="1" applyBorder="1" applyAlignment="1">
      <alignment horizontal="right" vertical="center" wrapText="1"/>
    </xf>
    <xf numFmtId="4" fontId="31" fillId="9" borderId="89" xfId="2" applyNumberFormat="1" applyFont="1" applyFill="1" applyBorder="1" applyAlignment="1">
      <alignment horizontal="left" vertical="center" wrapText="1"/>
    </xf>
    <xf numFmtId="0" fontId="31" fillId="9" borderId="89" xfId="2" applyFont="1" applyFill="1" applyBorder="1" applyAlignment="1">
      <alignment horizontal="left" vertical="center" wrapText="1"/>
    </xf>
    <xf numFmtId="0" fontId="31" fillId="9" borderId="90" xfId="2" applyFont="1" applyFill="1" applyBorder="1" applyAlignment="1">
      <alignment horizontal="left" vertical="center" wrapText="1"/>
    </xf>
    <xf numFmtId="0" fontId="15" fillId="0" borderId="66" xfId="2" applyFont="1" applyBorder="1" applyAlignment="1">
      <alignment horizontal="center" vertical="center" wrapText="1"/>
    </xf>
    <xf numFmtId="0" fontId="15" fillId="0" borderId="52" xfId="2" applyFont="1" applyBorder="1" applyAlignment="1">
      <alignment horizontal="center" vertical="center" wrapText="1"/>
    </xf>
    <xf numFmtId="4" fontId="5" fillId="0" borderId="0" xfId="1" applyNumberFormat="1" applyFont="1" applyBorder="1" applyAlignment="1">
      <alignment horizontal="center" vertical="center" wrapText="1"/>
    </xf>
    <xf numFmtId="0" fontId="29" fillId="0" borderId="67" xfId="2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 wrapText="1"/>
    </xf>
    <xf numFmtId="0" fontId="31" fillId="0" borderId="75" xfId="2" applyFont="1" applyBorder="1" applyAlignment="1">
      <alignment horizontal="center" vertical="center" wrapText="1"/>
    </xf>
    <xf numFmtId="0" fontId="31" fillId="0" borderId="1" xfId="2" applyFont="1" applyBorder="1" applyAlignment="1">
      <alignment horizontal="center" vertical="center" wrapText="1"/>
    </xf>
    <xf numFmtId="0" fontId="31" fillId="9" borderId="91" xfId="2" applyFont="1" applyFill="1" applyBorder="1" applyAlignment="1">
      <alignment vertical="center" wrapText="1"/>
    </xf>
    <xf numFmtId="0" fontId="31" fillId="9" borderId="71" xfId="2" applyFont="1" applyFill="1" applyBorder="1" applyAlignment="1">
      <alignment vertical="center" wrapText="1"/>
    </xf>
    <xf numFmtId="0" fontId="31" fillId="9" borderId="92" xfId="2" applyFont="1" applyFill="1" applyBorder="1" applyAlignment="1">
      <alignment vertical="center" wrapText="1"/>
    </xf>
    <xf numFmtId="0" fontId="32" fillId="9" borderId="72" xfId="2" applyFont="1" applyFill="1" applyBorder="1" applyAlignment="1">
      <alignment horizontal="center" vertical="center" wrapText="1"/>
    </xf>
    <xf numFmtId="0" fontId="32" fillId="9" borderId="73" xfId="2" applyFont="1" applyFill="1" applyBorder="1" applyAlignment="1">
      <alignment horizontal="center" vertical="center" wrapText="1"/>
    </xf>
    <xf numFmtId="0" fontId="32" fillId="9" borderId="94" xfId="2" applyFont="1" applyFill="1" applyBorder="1" applyAlignment="1">
      <alignment horizontal="center" vertical="center" wrapText="1"/>
    </xf>
    <xf numFmtId="0" fontId="31" fillId="0" borderId="78" xfId="2" applyFont="1" applyBorder="1" applyAlignment="1">
      <alignment horizontal="center" vertical="center" wrapText="1"/>
    </xf>
    <xf numFmtId="4" fontId="7" fillId="0" borderId="16" xfId="2" applyNumberFormat="1" applyFont="1" applyBorder="1" applyAlignment="1">
      <alignment horizontal="center" vertical="center" wrapText="1"/>
    </xf>
    <xf numFmtId="4" fontId="7" fillId="0" borderId="0" xfId="2" applyNumberFormat="1" applyFont="1" applyAlignment="1">
      <alignment horizontal="center" vertical="center" wrapText="1"/>
    </xf>
    <xf numFmtId="0" fontId="33" fillId="0" borderId="97" xfId="2" applyFont="1" applyFill="1" applyBorder="1" applyAlignment="1">
      <alignment horizontal="left" vertical="center" wrapText="1"/>
    </xf>
    <xf numFmtId="0" fontId="33" fillId="0" borderId="76" xfId="2" applyFont="1" applyFill="1" applyBorder="1" applyAlignment="1">
      <alignment horizontal="left" vertical="center" wrapText="1"/>
    </xf>
    <xf numFmtId="188" fontId="33" fillId="0" borderId="76" xfId="2" applyNumberFormat="1" applyFont="1" applyFill="1" applyBorder="1" applyAlignment="1">
      <alignment horizontal="center" vertical="center" wrapText="1"/>
    </xf>
    <xf numFmtId="0" fontId="31" fillId="0" borderId="99" xfId="2" applyFont="1" applyBorder="1" applyAlignment="1">
      <alignment vertical="center" wrapText="1"/>
    </xf>
    <xf numFmtId="0" fontId="31" fillId="0" borderId="73" xfId="2" applyFont="1" applyBorder="1" applyAlignment="1">
      <alignment vertical="center" wrapText="1"/>
    </xf>
    <xf numFmtId="0" fontId="31" fillId="0" borderId="74" xfId="2" applyFont="1" applyBorder="1" applyAlignment="1">
      <alignment vertical="center" wrapText="1"/>
    </xf>
    <xf numFmtId="0" fontId="32" fillId="9" borderId="102" xfId="2" applyFont="1" applyFill="1" applyBorder="1" applyAlignment="1">
      <alignment horizontal="center" vertical="center" wrapText="1"/>
    </xf>
    <xf numFmtId="0" fontId="32" fillId="9" borderId="24" xfId="2" applyFont="1" applyFill="1" applyBorder="1" applyAlignment="1">
      <alignment horizontal="center" vertical="center" wrapText="1"/>
    </xf>
    <xf numFmtId="0" fontId="32" fillId="9" borderId="103" xfId="2" applyFont="1" applyFill="1" applyBorder="1" applyAlignment="1">
      <alignment horizontal="center" vertical="center" wrapText="1"/>
    </xf>
    <xf numFmtId="0" fontId="31" fillId="0" borderId="95" xfId="2" applyFont="1" applyBorder="1" applyAlignment="1">
      <alignment vertical="center" wrapText="1"/>
    </xf>
    <xf numFmtId="0" fontId="31" fillId="0" borderId="75" xfId="2" applyFont="1" applyBorder="1" applyAlignment="1">
      <alignment vertical="center" wrapText="1"/>
    </xf>
    <xf numFmtId="0" fontId="31" fillId="0" borderId="78" xfId="2" applyFont="1" applyBorder="1" applyAlignment="1">
      <alignment vertical="center" wrapText="1"/>
    </xf>
    <xf numFmtId="0" fontId="31" fillId="0" borderId="1" xfId="2" applyFont="1" applyBorder="1" applyAlignment="1">
      <alignment vertical="center" wrapText="1"/>
    </xf>
    <xf numFmtId="4" fontId="31" fillId="0" borderId="12" xfId="2" applyNumberFormat="1" applyFont="1" applyBorder="1" applyAlignment="1">
      <alignment horizontal="left" vertical="center" wrapText="1"/>
    </xf>
    <xf numFmtId="0" fontId="31" fillId="0" borderId="3" xfId="2" applyFont="1" applyBorder="1" applyAlignment="1">
      <alignment horizontal="left" vertical="center" wrapText="1"/>
    </xf>
    <xf numFmtId="0" fontId="31" fillId="0" borderId="13" xfId="2" applyFont="1" applyBorder="1" applyAlignment="1">
      <alignment horizontal="left" vertical="center" wrapText="1"/>
    </xf>
    <xf numFmtId="188" fontId="39" fillId="0" borderId="104" xfId="2" applyNumberFormat="1" applyFont="1" applyBorder="1" applyAlignment="1">
      <alignment horizontal="center" vertical="center" wrapText="1"/>
    </xf>
    <xf numFmtId="188" fontId="39" fillId="0" borderId="57" xfId="2" applyNumberFormat="1" applyFont="1" applyBorder="1" applyAlignment="1">
      <alignment horizontal="center" vertical="center" wrapText="1"/>
    </xf>
    <xf numFmtId="0" fontId="31" fillId="0" borderId="101" xfId="2" applyFont="1" applyBorder="1" applyAlignment="1">
      <alignment vertical="center" wrapText="1"/>
    </xf>
    <xf numFmtId="0" fontId="31" fillId="0" borderId="17" xfId="2" applyFont="1" applyBorder="1" applyAlignment="1">
      <alignment vertical="center" wrapText="1"/>
    </xf>
    <xf numFmtId="0" fontId="31" fillId="0" borderId="37" xfId="2" applyFont="1" applyBorder="1" applyAlignment="1">
      <alignment horizontal="left" vertical="center" wrapText="1"/>
    </xf>
    <xf numFmtId="0" fontId="31" fillId="0" borderId="16" xfId="2" applyFont="1" applyBorder="1" applyAlignment="1">
      <alignment horizontal="left" vertical="center" wrapText="1"/>
    </xf>
    <xf numFmtId="0" fontId="31" fillId="0" borderId="18" xfId="2" applyFont="1" applyBorder="1" applyAlignment="1">
      <alignment horizontal="left" vertical="center" wrapText="1"/>
    </xf>
    <xf numFmtId="4" fontId="6" fillId="0" borderId="16" xfId="2" applyNumberFormat="1" applyFont="1" applyBorder="1" applyAlignment="1">
      <alignment horizontal="left" vertical="center" wrapText="1"/>
    </xf>
    <xf numFmtId="0" fontId="33" fillId="0" borderId="78" xfId="2" applyFont="1" applyFill="1" applyBorder="1" applyAlignment="1">
      <alignment horizontal="left" vertical="center" wrapText="1"/>
    </xf>
    <xf numFmtId="0" fontId="33" fillId="0" borderId="1" xfId="2" applyFont="1" applyFill="1" applyBorder="1" applyAlignment="1">
      <alignment horizontal="left" vertical="center" wrapText="1"/>
    </xf>
    <xf numFmtId="188" fontId="33" fillId="0" borderId="1" xfId="2" applyNumberFormat="1" applyFont="1" applyFill="1" applyBorder="1" applyAlignment="1">
      <alignment horizontal="center" vertical="center" wrapText="1"/>
    </xf>
    <xf numFmtId="0" fontId="32" fillId="9" borderId="99" xfId="2" applyFont="1" applyFill="1" applyBorder="1" applyAlignment="1">
      <alignment horizontal="center" vertical="center" wrapText="1"/>
    </xf>
    <xf numFmtId="0" fontId="31" fillId="0" borderId="95" xfId="2" applyFont="1" applyBorder="1" applyAlignment="1">
      <alignment horizontal="center" vertical="center" wrapText="1"/>
    </xf>
    <xf numFmtId="0" fontId="6" fillId="0" borderId="78" xfId="2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/>
    </xf>
    <xf numFmtId="188" fontId="6" fillId="0" borderId="1" xfId="2" applyNumberFormat="1" applyFont="1" applyFill="1" applyBorder="1" applyAlignment="1">
      <alignment horizontal="center" vertical="center" wrapText="1"/>
    </xf>
    <xf numFmtId="0" fontId="83" fillId="0" borderId="1" xfId="1" applyFont="1" applyBorder="1" applyAlignment="1">
      <alignment horizontal="center" vertical="center"/>
    </xf>
    <xf numFmtId="4" fontId="80" fillId="0" borderId="0" xfId="1" applyNumberFormat="1" applyFont="1" applyAlignment="1">
      <alignment horizontal="center" vertical="center" wrapText="1"/>
    </xf>
    <xf numFmtId="0" fontId="80" fillId="0" borderId="0" xfId="1" applyFont="1" applyAlignment="1">
      <alignment horizontal="center" vertical="center" wrapText="1"/>
    </xf>
    <xf numFmtId="0" fontId="59" fillId="0" borderId="1" xfId="1" applyFont="1" applyBorder="1" applyAlignment="1">
      <alignment horizontal="center" vertical="center" shrinkToFit="1"/>
    </xf>
    <xf numFmtId="0" fontId="84" fillId="0" borderId="1" xfId="1" applyFont="1" applyBorder="1" applyAlignment="1">
      <alignment horizontal="center" vertical="center" wrapText="1"/>
    </xf>
    <xf numFmtId="4" fontId="14" fillId="0" borderId="0" xfId="0" applyNumberFormat="1" applyFont="1" applyAlignment="1">
      <alignment horizontal="center"/>
    </xf>
    <xf numFmtId="0" fontId="27" fillId="0" borderId="67" xfId="2" applyFont="1" applyFill="1" applyBorder="1" applyAlignment="1">
      <alignment horizontal="center"/>
    </xf>
    <xf numFmtId="0" fontId="27" fillId="0" borderId="0" xfId="2" applyFont="1" applyFill="1" applyBorder="1" applyAlignment="1">
      <alignment horizontal="center"/>
    </xf>
    <xf numFmtId="0" fontId="27" fillId="0" borderId="59" xfId="2" applyFont="1" applyFill="1" applyBorder="1" applyAlignment="1">
      <alignment horizontal="center"/>
    </xf>
    <xf numFmtId="0" fontId="4" fillId="2" borderId="7" xfId="2" applyFont="1" applyFill="1" applyBorder="1" applyAlignment="1">
      <alignment horizontal="center" vertical="center" wrapText="1"/>
    </xf>
    <xf numFmtId="0" fontId="4" fillId="2" borderId="22" xfId="2" applyFont="1" applyFill="1" applyBorder="1" applyAlignment="1">
      <alignment horizontal="center" vertical="center" wrapText="1"/>
    </xf>
    <xf numFmtId="0" fontId="4" fillId="2" borderId="104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left" wrapText="1"/>
    </xf>
    <xf numFmtId="0" fontId="5" fillId="2" borderId="39" xfId="2" applyFont="1" applyFill="1" applyBorder="1" applyAlignment="1">
      <alignment horizontal="left" wrapText="1"/>
    </xf>
    <xf numFmtId="0" fontId="5" fillId="2" borderId="40" xfId="2" applyFont="1" applyFill="1" applyBorder="1" applyAlignment="1">
      <alignment horizontal="left" wrapText="1"/>
    </xf>
    <xf numFmtId="0" fontId="27" fillId="0" borderId="68" xfId="1" applyFont="1" applyFill="1" applyBorder="1" applyAlignment="1">
      <alignment horizontal="center" vertical="center" wrapText="1"/>
    </xf>
    <xf numFmtId="0" fontId="27" fillId="0" borderId="45" xfId="1" applyFont="1" applyFill="1" applyBorder="1" applyAlignment="1">
      <alignment horizontal="center" vertical="center" wrapText="1"/>
    </xf>
    <xf numFmtId="0" fontId="27" fillId="0" borderId="61" xfId="1" applyFont="1" applyFill="1" applyBorder="1" applyAlignment="1">
      <alignment horizontal="center" vertical="center" wrapText="1"/>
    </xf>
    <xf numFmtId="4" fontId="2" fillId="0" borderId="67" xfId="1" applyNumberFormat="1" applyFont="1" applyBorder="1" applyAlignment="1">
      <alignment horizontal="center" vertical="center" wrapText="1"/>
    </xf>
    <xf numFmtId="4" fontId="2" fillId="0" borderId="0" xfId="1" applyNumberFormat="1" applyFont="1" applyBorder="1" applyAlignment="1">
      <alignment horizontal="center" vertical="center" wrapText="1"/>
    </xf>
    <xf numFmtId="4" fontId="2" fillId="0" borderId="59" xfId="1" applyNumberFormat="1" applyFont="1" applyBorder="1" applyAlignment="1">
      <alignment horizontal="center" vertical="center" wrapText="1"/>
    </xf>
    <xf numFmtId="0" fontId="39" fillId="0" borderId="67" xfId="0" applyFont="1" applyFill="1" applyBorder="1" applyAlignment="1">
      <alignment horizontal="right" vertical="center" wrapText="1"/>
    </xf>
    <xf numFmtId="0" fontId="39" fillId="0" borderId="0" xfId="0" applyFont="1" applyFill="1" applyBorder="1" applyAlignment="1">
      <alignment horizontal="right" vertical="center" wrapText="1"/>
    </xf>
    <xf numFmtId="4" fontId="39" fillId="0" borderId="0" xfId="0" applyNumberFormat="1" applyFont="1" applyFill="1" applyBorder="1" applyAlignment="1">
      <alignment horizontal="left" vertical="center" wrapText="1"/>
    </xf>
    <xf numFmtId="0" fontId="39" fillId="0" borderId="0" xfId="0" applyFont="1" applyFill="1" applyBorder="1" applyAlignment="1">
      <alignment horizontal="left" vertical="center" wrapText="1"/>
    </xf>
    <xf numFmtId="0" fontId="39" fillId="0" borderId="59" xfId="0" applyFont="1" applyFill="1" applyBorder="1" applyAlignment="1">
      <alignment horizontal="left" vertical="center" wrapText="1"/>
    </xf>
    <xf numFmtId="4" fontId="6" fillId="0" borderId="10" xfId="2" applyNumberFormat="1" applyFont="1" applyFill="1" applyBorder="1" applyAlignment="1">
      <alignment horizontal="right" vertical="center" wrapText="1"/>
    </xf>
    <xf numFmtId="0" fontId="6" fillId="0" borderId="0" xfId="2" applyFont="1" applyFill="1" applyBorder="1" applyAlignment="1">
      <alignment horizontal="right" vertical="center" wrapText="1"/>
    </xf>
    <xf numFmtId="0" fontId="6" fillId="0" borderId="10" xfId="2" applyFont="1" applyFill="1" applyBorder="1" applyAlignment="1">
      <alignment horizontal="right" vertical="center" wrapText="1"/>
    </xf>
    <xf numFmtId="4" fontId="7" fillId="0" borderId="0" xfId="2" applyNumberFormat="1" applyFont="1" applyFill="1" applyAlignment="1">
      <alignment horizontal="right"/>
    </xf>
    <xf numFmtId="0" fontId="7" fillId="0" borderId="0" xfId="2" applyFont="1" applyFill="1" applyAlignment="1">
      <alignment horizontal="right"/>
    </xf>
    <xf numFmtId="0" fontId="6" fillId="0" borderId="0" xfId="2" applyFont="1" applyFill="1" applyAlignment="1">
      <alignment horizontal="center"/>
    </xf>
    <xf numFmtId="4" fontId="7" fillId="0" borderId="0" xfId="2" applyNumberFormat="1" applyFont="1" applyFill="1" applyAlignment="1">
      <alignment horizontal="center"/>
    </xf>
    <xf numFmtId="0" fontId="7" fillId="0" borderId="0" xfId="2" applyFont="1" applyFill="1" applyAlignment="1">
      <alignment horizontal="center"/>
    </xf>
    <xf numFmtId="4" fontId="7" fillId="0" borderId="0" xfId="2" applyNumberFormat="1" applyFont="1" applyFill="1" applyAlignment="1">
      <alignment horizontal="center" vertical="top" wrapText="1"/>
    </xf>
    <xf numFmtId="0" fontId="7" fillId="0" borderId="0" xfId="2" applyFont="1" applyFill="1" applyAlignment="1">
      <alignment horizontal="center" vertical="top" wrapText="1"/>
    </xf>
    <xf numFmtId="0" fontId="7" fillId="0" borderId="1" xfId="2" applyFont="1" applyFill="1" applyBorder="1" applyAlignment="1">
      <alignment horizontal="center" vertical="top"/>
    </xf>
    <xf numFmtId="4" fontId="75" fillId="0" borderId="16" xfId="0" applyNumberFormat="1" applyFont="1" applyBorder="1" applyAlignment="1">
      <alignment horizontal="center"/>
    </xf>
    <xf numFmtId="4" fontId="75" fillId="0" borderId="0" xfId="0" applyNumberFormat="1" applyFont="1" applyAlignment="1">
      <alignment horizontal="center"/>
    </xf>
    <xf numFmtId="4" fontId="74" fillId="0" borderId="0" xfId="0" applyNumberFormat="1" applyFont="1" applyBorder="1" applyAlignment="1">
      <alignment horizontal="center"/>
    </xf>
    <xf numFmtId="4" fontId="7" fillId="0" borderId="1" xfId="16" applyNumberFormat="1" applyFont="1" applyFill="1" applyBorder="1" applyAlignment="1">
      <alignment horizontal="center" vertical="center" wrapText="1"/>
    </xf>
    <xf numFmtId="191" fontId="6" fillId="0" borderId="1" xfId="16" applyNumberFormat="1" applyFont="1" applyFill="1" applyBorder="1" applyAlignment="1">
      <alignment horizontal="center" vertical="center" wrapText="1"/>
    </xf>
    <xf numFmtId="10" fontId="17" fillId="0" borderId="1" xfId="16" applyNumberFormat="1" applyFont="1" applyFill="1" applyBorder="1" applyAlignment="1">
      <alignment horizontal="center" vertical="center" wrapText="1"/>
    </xf>
    <xf numFmtId="171" fontId="17" fillId="0" borderId="1" xfId="16" applyNumberFormat="1" applyFont="1" applyFill="1" applyBorder="1" applyAlignment="1">
      <alignment horizontal="center" vertical="center" wrapText="1"/>
    </xf>
    <xf numFmtId="4" fontId="4" fillId="0" borderId="7" xfId="16" applyNumberFormat="1" applyFont="1" applyFill="1" applyBorder="1" applyAlignment="1">
      <alignment horizontal="center" vertical="center" wrapText="1"/>
    </xf>
    <xf numFmtId="4" fontId="4" fillId="0" borderId="22" xfId="16" applyNumberFormat="1" applyFont="1" applyFill="1" applyBorder="1" applyAlignment="1">
      <alignment horizontal="center" vertical="center" wrapText="1"/>
    </xf>
    <xf numFmtId="4" fontId="4" fillId="0" borderId="8" xfId="16" applyNumberFormat="1" applyFont="1" applyFill="1" applyBorder="1" applyAlignment="1">
      <alignment horizontal="center" vertical="center" wrapText="1"/>
    </xf>
    <xf numFmtId="4" fontId="4" fillId="0" borderId="1" xfId="16" applyNumberFormat="1" applyFont="1" applyFill="1" applyBorder="1" applyAlignment="1">
      <alignment horizontal="center" vertical="center" wrapText="1"/>
    </xf>
    <xf numFmtId="4" fontId="57" fillId="0" borderId="1" xfId="16" applyNumberFormat="1" applyFont="1" applyFill="1" applyBorder="1" applyAlignment="1">
      <alignment horizontal="center" vertical="center" wrapText="1"/>
    </xf>
    <xf numFmtId="0" fontId="75" fillId="0" borderId="0" xfId="0" applyFont="1" applyAlignment="1">
      <alignment horizontal="center"/>
    </xf>
    <xf numFmtId="4" fontId="6" fillId="0" borderId="1" xfId="16" applyNumberFormat="1" applyFont="1" applyFill="1" applyBorder="1" applyAlignment="1">
      <alignment horizontal="center" vertical="center" wrapText="1"/>
    </xf>
    <xf numFmtId="4" fontId="75" fillId="0" borderId="0" xfId="0" applyNumberFormat="1" applyFont="1" applyAlignment="1">
      <alignment horizontal="center" vertical="center" wrapText="1"/>
    </xf>
    <xf numFmtId="0" fontId="75" fillId="0" borderId="0" xfId="0" applyFont="1" applyAlignment="1">
      <alignment horizontal="center" vertical="center" wrapText="1"/>
    </xf>
    <xf numFmtId="4" fontId="75" fillId="0" borderId="0" xfId="0" applyNumberFormat="1" applyFont="1" applyBorder="1" applyAlignment="1">
      <alignment horizontal="center"/>
    </xf>
    <xf numFmtId="4" fontId="7" fillId="0" borderId="7" xfId="16" applyNumberFormat="1" applyFont="1" applyFill="1" applyBorder="1" applyAlignment="1">
      <alignment horizontal="center" vertical="center" wrapText="1"/>
    </xf>
    <xf numFmtId="4" fontId="7" fillId="0" borderId="22" xfId="16" applyNumberFormat="1" applyFont="1" applyFill="1" applyBorder="1" applyAlignment="1">
      <alignment horizontal="center" vertical="center" wrapText="1"/>
    </xf>
    <xf numFmtId="4" fontId="7" fillId="0" borderId="8" xfId="16" applyNumberFormat="1" applyFont="1" applyFill="1" applyBorder="1" applyAlignment="1">
      <alignment horizontal="center" vertical="center" wrapText="1"/>
    </xf>
    <xf numFmtId="191" fontId="3" fillId="0" borderId="82" xfId="16" applyNumberFormat="1" applyFont="1" applyBorder="1" applyAlignment="1">
      <alignment horizontal="center" vertical="center" wrapText="1"/>
    </xf>
    <xf numFmtId="191" fontId="3" fillId="0" borderId="83" xfId="16" applyNumberFormat="1" applyFont="1" applyBorder="1" applyAlignment="1">
      <alignment horizontal="center" vertical="center" wrapText="1"/>
    </xf>
    <xf numFmtId="10" fontId="6" fillId="0" borderId="82" xfId="16" applyNumberFormat="1" applyFont="1" applyBorder="1" applyAlignment="1">
      <alignment horizontal="center" vertical="center" wrapText="1"/>
    </xf>
    <xf numFmtId="10" fontId="6" fillId="0" borderId="83" xfId="16" applyNumberFormat="1" applyFont="1" applyBorder="1" applyAlignment="1">
      <alignment horizontal="center" vertical="center" wrapText="1"/>
    </xf>
    <xf numFmtId="191" fontId="3" fillId="4" borderId="82" xfId="16" applyNumberFormat="1" applyFont="1" applyFill="1" applyBorder="1" applyAlignment="1">
      <alignment horizontal="center" vertical="center" wrapText="1"/>
    </xf>
    <xf numFmtId="191" fontId="3" fillId="4" borderId="83" xfId="16" applyNumberFormat="1" applyFont="1" applyFill="1" applyBorder="1" applyAlignment="1">
      <alignment horizontal="center" vertical="center" wrapText="1"/>
    </xf>
    <xf numFmtId="4" fontId="7" fillId="0" borderId="75" xfId="16" applyNumberFormat="1" applyFont="1" applyBorder="1" applyAlignment="1">
      <alignment horizontal="center" vertical="center" wrapText="1"/>
    </xf>
    <xf numFmtId="4" fontId="7" fillId="0" borderId="1" xfId="16" applyNumberFormat="1" applyFont="1" applyBorder="1" applyAlignment="1">
      <alignment horizontal="center" vertical="center" wrapText="1"/>
    </xf>
    <xf numFmtId="4" fontId="7" fillId="0" borderId="76" xfId="16" applyNumberFormat="1" applyFont="1" applyBorder="1" applyAlignment="1">
      <alignment horizontal="center" vertical="center" wrapText="1"/>
    </xf>
    <xf numFmtId="10" fontId="17" fillId="0" borderId="17" xfId="16" applyNumberFormat="1" applyFont="1" applyFill="1" applyBorder="1" applyAlignment="1">
      <alignment horizontal="center" vertical="center" wrapText="1"/>
    </xf>
    <xf numFmtId="10" fontId="17" fillId="0" borderId="6" xfId="16" applyNumberFormat="1" applyFont="1" applyFill="1" applyBorder="1" applyAlignment="1">
      <alignment horizontal="center" vertical="center" wrapText="1"/>
    </xf>
    <xf numFmtId="10" fontId="17" fillId="0" borderId="15" xfId="16" applyNumberFormat="1" applyFont="1" applyFill="1" applyBorder="1" applyAlignment="1">
      <alignment horizontal="center" vertical="center" wrapText="1"/>
    </xf>
    <xf numFmtId="191" fontId="6" fillId="0" borderId="17" xfId="16" applyNumberFormat="1" applyFont="1" applyFill="1" applyBorder="1" applyAlignment="1">
      <alignment horizontal="center" vertical="center" wrapText="1"/>
    </xf>
    <xf numFmtId="191" fontId="6" fillId="0" borderId="6" xfId="16" applyNumberFormat="1" applyFont="1" applyFill="1" applyBorder="1" applyAlignment="1">
      <alignment horizontal="center" vertical="center" wrapText="1"/>
    </xf>
    <xf numFmtId="191" fontId="6" fillId="0" borderId="15" xfId="16" applyNumberFormat="1" applyFont="1" applyFill="1" applyBorder="1" applyAlignment="1">
      <alignment horizontal="center" vertical="center" wrapText="1"/>
    </xf>
    <xf numFmtId="4" fontId="87" fillId="0" borderId="16" xfId="16" applyNumberFormat="1" applyFont="1" applyBorder="1" applyAlignment="1">
      <alignment horizontal="left" vertical="center" wrapText="1"/>
    </xf>
    <xf numFmtId="4" fontId="6" fillId="0" borderId="0" xfId="16" applyNumberFormat="1" applyFont="1" applyAlignment="1">
      <alignment horizontal="left" vertical="center" wrapText="1"/>
    </xf>
    <xf numFmtId="171" fontId="17" fillId="0" borderId="17" xfId="16" applyNumberFormat="1" applyFont="1" applyFill="1" applyBorder="1" applyAlignment="1">
      <alignment horizontal="center" vertical="center" wrapText="1"/>
    </xf>
    <xf numFmtId="171" fontId="17" fillId="0" borderId="6" xfId="16" applyNumberFormat="1" applyFont="1" applyFill="1" applyBorder="1" applyAlignment="1">
      <alignment horizontal="center" vertical="center" wrapText="1"/>
    </xf>
    <xf numFmtId="171" fontId="17" fillId="0" borderId="15" xfId="16" applyNumberFormat="1" applyFont="1" applyFill="1" applyBorder="1" applyAlignment="1">
      <alignment horizontal="center" vertical="center" wrapText="1"/>
    </xf>
    <xf numFmtId="4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4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/>
    </xf>
    <xf numFmtId="10" fontId="6" fillId="0" borderId="1" xfId="16" applyNumberFormat="1" applyFont="1" applyFill="1" applyBorder="1" applyAlignment="1">
      <alignment horizontal="center" vertical="center" wrapText="1"/>
    </xf>
    <xf numFmtId="171" fontId="6" fillId="0" borderId="1" xfId="16" applyNumberFormat="1" applyFont="1" applyFill="1" applyBorder="1" applyAlignment="1">
      <alignment horizontal="center" vertical="center" wrapText="1"/>
    </xf>
    <xf numFmtId="171" fontId="6" fillId="0" borderId="17" xfId="16" applyNumberFormat="1" applyFont="1" applyFill="1" applyBorder="1" applyAlignment="1">
      <alignment horizontal="center" vertical="center" wrapText="1"/>
    </xf>
    <xf numFmtId="171" fontId="6" fillId="0" borderId="6" xfId="16" applyNumberFormat="1" applyFont="1" applyFill="1" applyBorder="1" applyAlignment="1">
      <alignment horizontal="center" vertical="center" wrapText="1"/>
    </xf>
    <xf numFmtId="171" fontId="6" fillId="0" borderId="15" xfId="16" applyNumberFormat="1" applyFont="1" applyFill="1" applyBorder="1" applyAlignment="1">
      <alignment horizontal="center" vertical="center" wrapText="1"/>
    </xf>
    <xf numFmtId="10" fontId="6" fillId="0" borderId="17" xfId="16" applyNumberFormat="1" applyFont="1" applyFill="1" applyBorder="1" applyAlignment="1">
      <alignment horizontal="center" vertical="center" wrapText="1"/>
    </xf>
    <xf numFmtId="10" fontId="6" fillId="0" borderId="6" xfId="16" applyNumberFormat="1" applyFont="1" applyFill="1" applyBorder="1" applyAlignment="1">
      <alignment horizontal="center" vertical="center" wrapText="1"/>
    </xf>
    <xf numFmtId="10" fontId="6" fillId="0" borderId="15" xfId="16" applyNumberFormat="1" applyFont="1" applyFill="1" applyBorder="1" applyAlignment="1">
      <alignment horizontal="center" vertical="center" wrapText="1"/>
    </xf>
    <xf numFmtId="190" fontId="6" fillId="0" borderId="1" xfId="16" applyNumberFormat="1" applyFont="1" applyFill="1" applyBorder="1" applyAlignment="1">
      <alignment horizontal="center" vertical="center" wrapText="1"/>
    </xf>
    <xf numFmtId="4" fontId="7" fillId="0" borderId="86" xfId="16" applyNumberFormat="1" applyFont="1" applyBorder="1" applyAlignment="1">
      <alignment horizontal="center" vertical="center" wrapText="1"/>
    </xf>
    <xf numFmtId="4" fontId="7" fillId="0" borderId="24" xfId="16" applyNumberFormat="1" applyFont="1" applyBorder="1" applyAlignment="1">
      <alignment horizontal="center" vertical="center" wrapText="1"/>
    </xf>
    <xf numFmtId="4" fontId="7" fillId="0" borderId="85" xfId="16" applyNumberFormat="1" applyFont="1" applyBorder="1" applyAlignment="1">
      <alignment horizontal="center" vertical="center" wrapText="1"/>
    </xf>
    <xf numFmtId="4" fontId="7" fillId="0" borderId="87" xfId="16" applyNumberFormat="1" applyFont="1" applyBorder="1" applyAlignment="1">
      <alignment horizontal="center" vertical="center" wrapText="1"/>
    </xf>
    <xf numFmtId="4" fontId="7" fillId="0" borderId="29" xfId="16" applyNumberFormat="1" applyFont="1" applyBorder="1" applyAlignment="1">
      <alignment horizontal="center" vertical="center" wrapText="1"/>
    </xf>
    <xf numFmtId="4" fontId="7" fillId="0" borderId="84" xfId="16" applyNumberFormat="1" applyFont="1" applyBorder="1" applyAlignment="1">
      <alignment horizontal="center" vertical="center" wrapText="1"/>
    </xf>
    <xf numFmtId="4" fontId="13" fillId="0" borderId="16" xfId="0" applyNumberFormat="1" applyFont="1" applyBorder="1" applyAlignment="1">
      <alignment horizontal="center"/>
    </xf>
    <xf numFmtId="4" fontId="6" fillId="0" borderId="16" xfId="16" applyNumberFormat="1" applyFont="1" applyBorder="1" applyAlignment="1">
      <alignment horizontal="left" vertical="center" wrapText="1"/>
    </xf>
    <xf numFmtId="4" fontId="13" fillId="0" borderId="0" xfId="0" applyNumberFormat="1" applyFont="1" applyBorder="1" applyAlignment="1">
      <alignment horizontal="center"/>
    </xf>
    <xf numFmtId="4" fontId="54" fillId="11" borderId="78" xfId="1" applyNumberFormat="1" applyFont="1" applyFill="1" applyBorder="1" applyAlignment="1">
      <alignment horizontal="center" vertical="center" wrapText="1"/>
    </xf>
    <xf numFmtId="4" fontId="54" fillId="11" borderId="48" xfId="1" applyNumberFormat="1" applyFont="1" applyFill="1" applyBorder="1" applyAlignment="1">
      <alignment horizontal="center" vertical="center" wrapText="1"/>
    </xf>
    <xf numFmtId="0" fontId="48" fillId="0" borderId="0" xfId="0" applyFont="1" applyAlignment="1">
      <alignment horizontal="center" vertical="center" wrapText="1"/>
    </xf>
    <xf numFmtId="4" fontId="50" fillId="0" borderId="0" xfId="0" applyNumberFormat="1" applyFont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51" fillId="0" borderId="50" xfId="0" applyFont="1" applyBorder="1" applyAlignment="1">
      <alignment horizontal="center" vertical="center" wrapText="1"/>
    </xf>
    <xf numFmtId="0" fontId="51" fillId="0" borderId="77" xfId="0" applyFont="1" applyBorder="1" applyAlignment="1">
      <alignment horizontal="center" vertical="center" wrapText="1"/>
    </xf>
    <xf numFmtId="0" fontId="52" fillId="0" borderId="50" xfId="0" applyFont="1" applyBorder="1" applyAlignment="1">
      <alignment horizontal="center" vertical="center" wrapText="1"/>
    </xf>
    <xf numFmtId="0" fontId="52" fillId="0" borderId="47" xfId="0" applyFont="1" applyBorder="1" applyAlignment="1">
      <alignment horizontal="center" vertical="center" wrapText="1"/>
    </xf>
    <xf numFmtId="0" fontId="52" fillId="0" borderId="77" xfId="0" applyFont="1" applyBorder="1" applyAlignment="1">
      <alignment horizontal="center" vertical="center" wrapText="1"/>
    </xf>
    <xf numFmtId="4" fontId="54" fillId="0" borderId="78" xfId="1" applyNumberFormat="1" applyFont="1" applyFill="1" applyBorder="1" applyAlignment="1">
      <alignment horizontal="center" vertical="center" wrapText="1"/>
    </xf>
    <xf numFmtId="4" fontId="54" fillId="0" borderId="4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3" xfId="0" applyFont="1" applyBorder="1" applyAlignment="1">
      <alignment horizontal="center"/>
    </xf>
    <xf numFmtId="4" fontId="54" fillId="0" borderId="79" xfId="1" applyNumberFormat="1" applyFont="1" applyFill="1" applyBorder="1" applyAlignment="1">
      <alignment horizontal="center" vertical="center" wrapText="1"/>
    </xf>
    <xf numFmtId="4" fontId="54" fillId="0" borderId="60" xfId="1" applyNumberFormat="1" applyFont="1" applyFill="1" applyBorder="1" applyAlignment="1">
      <alignment horizontal="center" vertical="center" wrapText="1"/>
    </xf>
    <xf numFmtId="4" fontId="54" fillId="11" borderId="35" xfId="1" applyNumberFormat="1" applyFont="1" applyFill="1" applyBorder="1" applyAlignment="1">
      <alignment horizontal="center" vertical="center" wrapText="1"/>
    </xf>
    <xf numFmtId="4" fontId="54" fillId="11" borderId="104" xfId="1" applyNumberFormat="1" applyFont="1" applyFill="1" applyBorder="1" applyAlignment="1">
      <alignment horizontal="center" vertical="center" wrapText="1"/>
    </xf>
    <xf numFmtId="4" fontId="54" fillId="19" borderId="78" xfId="1" applyNumberFormat="1" applyFont="1" applyFill="1" applyBorder="1" applyAlignment="1">
      <alignment horizontal="center" vertical="center" wrapText="1"/>
    </xf>
    <xf numFmtId="4" fontId="54" fillId="19" borderId="48" xfId="1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11" borderId="7" xfId="0" applyFont="1" applyFill="1" applyBorder="1" applyAlignment="1">
      <alignment horizontal="right"/>
    </xf>
    <xf numFmtId="0" fontId="13" fillId="11" borderId="22" xfId="0" applyFont="1" applyFill="1" applyBorder="1" applyAlignment="1">
      <alignment horizontal="right"/>
    </xf>
    <xf numFmtId="0" fontId="13" fillId="11" borderId="8" xfId="0" applyFont="1" applyFill="1" applyBorder="1" applyAlignment="1">
      <alignment horizontal="right"/>
    </xf>
    <xf numFmtId="0" fontId="16" fillId="0" borderId="1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3" fillId="11" borderId="7" xfId="0" applyFont="1" applyFill="1" applyBorder="1" applyAlignment="1">
      <alignment horizontal="center"/>
    </xf>
    <xf numFmtId="0" fontId="13" fillId="11" borderId="22" xfId="0" applyFont="1" applyFill="1" applyBorder="1" applyAlignment="1">
      <alignment horizontal="center"/>
    </xf>
    <xf numFmtId="0" fontId="13" fillId="11" borderId="8" xfId="0" applyFont="1" applyFill="1" applyBorder="1" applyAlignment="1">
      <alignment horizontal="center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185" fontId="16" fillId="0" borderId="7" xfId="0" applyNumberFormat="1" applyFont="1" applyFill="1" applyBorder="1" applyAlignment="1">
      <alignment horizontal="right" vertical="center"/>
    </xf>
    <xf numFmtId="185" fontId="16" fillId="0" borderId="22" xfId="0" applyNumberFormat="1" applyFont="1" applyFill="1" applyBorder="1" applyAlignment="1">
      <alignment horizontal="right" vertical="center"/>
    </xf>
    <xf numFmtId="185" fontId="16" fillId="0" borderId="8" xfId="0" applyNumberFormat="1" applyFont="1" applyFill="1" applyBorder="1" applyAlignment="1">
      <alignment horizontal="right" vertical="center"/>
    </xf>
    <xf numFmtId="0" fontId="13" fillId="0" borderId="7" xfId="0" applyFont="1" applyBorder="1" applyAlignment="1">
      <alignment horizontal="right"/>
    </xf>
    <xf numFmtId="0" fontId="13" fillId="0" borderId="22" xfId="0" applyFont="1" applyBorder="1" applyAlignment="1">
      <alignment horizontal="right"/>
    </xf>
    <xf numFmtId="0" fontId="13" fillId="0" borderId="8" xfId="0" applyFont="1" applyBorder="1" applyAlignment="1">
      <alignment horizontal="right"/>
    </xf>
    <xf numFmtId="4" fontId="5" fillId="0" borderId="1" xfId="1" applyNumberFormat="1" applyFont="1" applyBorder="1" applyAlignment="1">
      <alignment horizontal="center" vertical="center" wrapText="1"/>
    </xf>
    <xf numFmtId="4" fontId="4" fillId="0" borderId="1" xfId="1" applyNumberFormat="1" applyFont="1" applyBorder="1" applyAlignment="1">
      <alignment horizontal="center" vertical="center"/>
    </xf>
    <xf numFmtId="0" fontId="13" fillId="11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/>
    </xf>
    <xf numFmtId="0" fontId="16" fillId="0" borderId="22" xfId="0" applyFont="1" applyBorder="1" applyAlignment="1">
      <alignment horizontal="center"/>
    </xf>
    <xf numFmtId="0" fontId="16" fillId="0" borderId="8" xfId="0" applyFont="1" applyBorder="1" applyAlignment="1">
      <alignment horizontal="center"/>
    </xf>
    <xf numFmtId="0" fontId="59" fillId="0" borderId="0" xfId="57" applyFont="1" applyAlignment="1">
      <alignment horizontal="center" wrapText="1"/>
    </xf>
    <xf numFmtId="4" fontId="60" fillId="0" borderId="107" xfId="57" applyNumberFormat="1" applyFont="1" applyBorder="1" applyAlignment="1">
      <alignment horizontal="center" vertical="center" wrapText="1"/>
    </xf>
    <xf numFmtId="0" fontId="61" fillId="0" borderId="108" xfId="57" applyFont="1" applyBorder="1" applyAlignment="1">
      <alignment horizontal="center" vertical="center" wrapText="1"/>
    </xf>
    <xf numFmtId="0" fontId="61" fillId="0" borderId="109" xfId="57" applyFont="1" applyBorder="1" applyAlignment="1">
      <alignment horizontal="center" vertical="center" wrapText="1"/>
    </xf>
    <xf numFmtId="0" fontId="61" fillId="0" borderId="67" xfId="57" applyFont="1" applyBorder="1" applyAlignment="1">
      <alignment horizontal="center" vertical="center" wrapText="1"/>
    </xf>
    <xf numFmtId="0" fontId="61" fillId="0" borderId="0" xfId="57" applyFont="1" applyBorder="1" applyAlignment="1">
      <alignment horizontal="center" vertical="center" wrapText="1"/>
    </xf>
    <xf numFmtId="0" fontId="61" fillId="0" borderId="59" xfId="57" applyFont="1" applyBorder="1" applyAlignment="1">
      <alignment horizontal="center" vertical="center" wrapText="1"/>
    </xf>
    <xf numFmtId="0" fontId="61" fillId="0" borderId="68" xfId="57" applyFont="1" applyBorder="1" applyAlignment="1">
      <alignment horizontal="center" vertical="center" wrapText="1"/>
    </xf>
    <xf numFmtId="0" fontId="61" fillId="0" borderId="45" xfId="57" applyFont="1" applyBorder="1" applyAlignment="1">
      <alignment horizontal="center" vertical="center" wrapText="1"/>
    </xf>
    <xf numFmtId="0" fontId="61" fillId="0" borderId="61" xfId="57" applyFont="1" applyBorder="1" applyAlignment="1">
      <alignment horizontal="center" vertical="center" wrapText="1"/>
    </xf>
    <xf numFmtId="0" fontId="59" fillId="0" borderId="108" xfId="57" applyFont="1" applyBorder="1" applyAlignment="1">
      <alignment horizontal="center" vertical="center"/>
    </xf>
    <xf numFmtId="0" fontId="61" fillId="0" borderId="38" xfId="57" applyFont="1" applyBorder="1" applyAlignment="1">
      <alignment horizontal="center"/>
    </xf>
    <xf numFmtId="0" fontId="61" fillId="0" borderId="39" xfId="57" applyFont="1" applyBorder="1" applyAlignment="1">
      <alignment horizontal="center"/>
    </xf>
    <xf numFmtId="0" fontId="61" fillId="0" borderId="57" xfId="57" applyFont="1" applyBorder="1" applyAlignment="1">
      <alignment horizontal="center"/>
    </xf>
    <xf numFmtId="0" fontId="59" fillId="0" borderId="1" xfId="57" applyFont="1" applyBorder="1" applyAlignment="1">
      <alignment horizontal="center"/>
    </xf>
    <xf numFmtId="0" fontId="61" fillId="0" borderId="101" xfId="57" applyNumberFormat="1" applyFont="1" applyBorder="1" applyAlignment="1">
      <alignment horizontal="center" vertical="center" wrapText="1"/>
    </xf>
    <xf numFmtId="0" fontId="61" fillId="0" borderId="110" xfId="57" applyNumberFormat="1" applyFont="1" applyBorder="1" applyAlignment="1">
      <alignment horizontal="center" vertical="center" wrapText="1"/>
    </xf>
    <xf numFmtId="0" fontId="61" fillId="0" borderId="17" xfId="57" applyFont="1" applyBorder="1" applyAlignment="1">
      <alignment horizontal="center" vertical="center"/>
    </xf>
    <xf numFmtId="0" fontId="61" fillId="0" borderId="15" xfId="57" applyFont="1" applyBorder="1" applyAlignment="1">
      <alignment horizontal="center" vertical="center"/>
    </xf>
    <xf numFmtId="2" fontId="61" fillId="0" borderId="111" xfId="57" applyNumberFormat="1" applyFont="1" applyBorder="1" applyAlignment="1">
      <alignment horizontal="center" vertical="center"/>
    </xf>
    <xf numFmtId="2" fontId="61" fillId="0" borderId="112" xfId="57" applyNumberFormat="1" applyFont="1" applyBorder="1" applyAlignment="1">
      <alignment horizontal="center" vertical="center"/>
    </xf>
    <xf numFmtId="0" fontId="61" fillId="0" borderId="79" xfId="57" applyFont="1" applyBorder="1" applyAlignment="1">
      <alignment horizontal="center"/>
    </xf>
    <xf numFmtId="0" fontId="61" fillId="0" borderId="41" xfId="57" applyFont="1" applyBorder="1" applyAlignment="1">
      <alignment horizontal="center"/>
    </xf>
    <xf numFmtId="0" fontId="61" fillId="0" borderId="60" xfId="57" applyFont="1" applyBorder="1" applyAlignment="1">
      <alignment horizontal="center"/>
    </xf>
    <xf numFmtId="4" fontId="7" fillId="0" borderId="16" xfId="2" applyNumberFormat="1" applyFont="1" applyFill="1" applyBorder="1" applyAlignment="1">
      <alignment horizontal="left"/>
    </xf>
    <xf numFmtId="4" fontId="7" fillId="0" borderId="0" xfId="2" applyNumberFormat="1" applyFont="1" applyFill="1" applyBorder="1" applyAlignment="1">
      <alignment horizontal="left"/>
    </xf>
    <xf numFmtId="0" fontId="21" fillId="0" borderId="38" xfId="2" applyFont="1" applyFill="1" applyBorder="1" applyAlignment="1">
      <alignment horizontal="left"/>
    </xf>
    <xf numFmtId="0" fontId="21" fillId="0" borderId="39" xfId="2" applyFont="1" applyFill="1" applyBorder="1" applyAlignment="1">
      <alignment horizontal="left"/>
    </xf>
    <xf numFmtId="0" fontId="21" fillId="0" borderId="40" xfId="2" applyFont="1" applyFill="1" applyBorder="1" applyAlignment="1">
      <alignment horizontal="left"/>
    </xf>
    <xf numFmtId="0" fontId="21" fillId="0" borderId="31" xfId="2" applyFont="1" applyFill="1" applyBorder="1" applyAlignment="1">
      <alignment horizontal="center"/>
    </xf>
    <xf numFmtId="0" fontId="21" fillId="0" borderId="32" xfId="2" applyFont="1" applyFill="1" applyBorder="1" applyAlignment="1">
      <alignment horizontal="center"/>
    </xf>
    <xf numFmtId="0" fontId="21" fillId="0" borderId="33" xfId="2" applyFont="1" applyFill="1" applyBorder="1" applyAlignment="1">
      <alignment horizontal="center"/>
    </xf>
    <xf numFmtId="4" fontId="20" fillId="0" borderId="23" xfId="2" applyNumberFormat="1" applyFont="1" applyFill="1" applyBorder="1" applyAlignment="1">
      <alignment horizontal="center" vertical="center" wrapText="1"/>
    </xf>
    <xf numFmtId="0" fontId="20" fillId="0" borderId="24" xfId="2" applyFont="1" applyFill="1" applyBorder="1" applyAlignment="1">
      <alignment horizontal="center" vertical="center" wrapText="1"/>
    </xf>
    <xf numFmtId="0" fontId="20" fillId="0" borderId="25" xfId="2" applyFont="1" applyFill="1" applyBorder="1" applyAlignment="1">
      <alignment horizontal="center" vertical="center" wrapText="1"/>
    </xf>
    <xf numFmtId="0" fontId="20" fillId="0" borderId="55" xfId="2" applyFont="1" applyFill="1" applyBorder="1" applyAlignment="1">
      <alignment horizontal="center" vertical="center" wrapText="1"/>
    </xf>
    <xf numFmtId="0" fontId="20" fillId="0" borderId="3" xfId="2" applyFont="1" applyFill="1" applyBorder="1" applyAlignment="1">
      <alignment horizontal="center" vertical="center" wrapText="1"/>
    </xf>
    <xf numFmtId="0" fontId="20" fillId="0" borderId="56" xfId="2" applyFont="1" applyFill="1" applyBorder="1" applyAlignment="1">
      <alignment horizontal="center" vertical="center" wrapText="1"/>
    </xf>
    <xf numFmtId="0" fontId="4" fillId="0" borderId="28" xfId="2" applyFont="1" applyFill="1" applyBorder="1" applyAlignment="1">
      <alignment horizontal="center" vertical="center"/>
    </xf>
    <xf numFmtId="0" fontId="4" fillId="0" borderId="29" xfId="2" applyFont="1" applyFill="1" applyBorder="1" applyAlignment="1">
      <alignment horizontal="center" vertical="center"/>
    </xf>
    <xf numFmtId="0" fontId="4" fillId="0" borderId="30" xfId="2" applyFont="1" applyFill="1" applyBorder="1" applyAlignment="1">
      <alignment horizontal="center" vertical="center"/>
    </xf>
    <xf numFmtId="0" fontId="21" fillId="0" borderId="35" xfId="2" applyFont="1" applyFill="1" applyBorder="1" applyAlignment="1">
      <alignment horizontal="left"/>
    </xf>
    <xf numFmtId="0" fontId="21" fillId="0" borderId="22" xfId="2" applyFont="1" applyFill="1" applyBorder="1" applyAlignment="1">
      <alignment horizontal="left"/>
    </xf>
    <xf numFmtId="0" fontId="21" fillId="0" borderId="8" xfId="2" applyFont="1" applyFill="1" applyBorder="1" applyAlignment="1">
      <alignment horizontal="left"/>
    </xf>
    <xf numFmtId="4" fontId="0" fillId="0" borderId="1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7" xfId="0" applyNumberForma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70" fillId="0" borderId="7" xfId="0" applyFont="1" applyBorder="1" applyAlignment="1">
      <alignment horizontal="left"/>
    </xf>
    <xf numFmtId="0" fontId="70" fillId="0" borderId="8" xfId="0" applyFont="1" applyBorder="1" applyAlignment="1">
      <alignment horizontal="left"/>
    </xf>
    <xf numFmtId="0" fontId="70" fillId="0" borderId="7" xfId="0" applyFont="1" applyBorder="1" applyAlignment="1">
      <alignment horizontal="right"/>
    </xf>
    <xf numFmtId="0" fontId="70" fillId="0" borderId="8" xfId="0" applyFont="1" applyBorder="1" applyAlignment="1">
      <alignment horizontal="right"/>
    </xf>
    <xf numFmtId="0" fontId="0" fillId="0" borderId="22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4" fontId="15" fillId="0" borderId="16" xfId="0" applyNumberFormat="1" applyFont="1" applyBorder="1" applyAlignment="1">
      <alignment horizontal="left"/>
    </xf>
    <xf numFmtId="4" fontId="15" fillId="0" borderId="0" xfId="0" applyNumberFormat="1" applyFont="1" applyBorder="1" applyAlignment="1">
      <alignment horizontal="left"/>
    </xf>
    <xf numFmtId="0" fontId="21" fillId="0" borderId="35" xfId="11" applyFont="1" applyFill="1" applyBorder="1" applyAlignment="1">
      <alignment horizontal="left"/>
    </xf>
    <xf numFmtId="0" fontId="21" fillId="0" borderId="22" xfId="11" applyFont="1" applyFill="1" applyBorder="1" applyAlignment="1">
      <alignment horizontal="left"/>
    </xf>
    <xf numFmtId="0" fontId="21" fillId="0" borderId="8" xfId="11" applyFont="1" applyFill="1" applyBorder="1" applyAlignment="1">
      <alignment horizontal="left"/>
    </xf>
    <xf numFmtId="0" fontId="21" fillId="0" borderId="38" xfId="11" applyFont="1" applyFill="1" applyBorder="1" applyAlignment="1">
      <alignment horizontal="left"/>
    </xf>
    <xf numFmtId="0" fontId="21" fillId="0" borderId="39" xfId="11" applyFont="1" applyFill="1" applyBorder="1" applyAlignment="1">
      <alignment horizontal="left"/>
    </xf>
    <xf numFmtId="0" fontId="21" fillId="0" borderId="40" xfId="11" applyFont="1" applyFill="1" applyBorder="1" applyAlignment="1">
      <alignment horizontal="left"/>
    </xf>
    <xf numFmtId="0" fontId="21" fillId="0" borderId="31" xfId="11" applyFont="1" applyFill="1" applyBorder="1" applyAlignment="1">
      <alignment horizontal="center"/>
    </xf>
    <xf numFmtId="0" fontId="21" fillId="0" borderId="32" xfId="11" applyFont="1" applyFill="1" applyBorder="1" applyAlignment="1">
      <alignment horizontal="center"/>
    </xf>
    <xf numFmtId="0" fontId="21" fillId="0" borderId="33" xfId="11" applyFont="1" applyFill="1" applyBorder="1" applyAlignment="1">
      <alignment horizontal="center"/>
    </xf>
    <xf numFmtId="0" fontId="21" fillId="0" borderId="35" xfId="11" applyFont="1" applyFill="1" applyBorder="1" applyAlignment="1">
      <alignment horizontal="center"/>
    </xf>
    <xf numFmtId="0" fontId="21" fillId="0" borderId="8" xfId="11" applyFont="1" applyFill="1" applyBorder="1" applyAlignment="1">
      <alignment horizontal="center"/>
    </xf>
    <xf numFmtId="0" fontId="21" fillId="0" borderId="35" xfId="11" applyFont="1" applyFill="1" applyBorder="1" applyAlignment="1">
      <alignment horizontal="justify" vertical="justify" wrapText="1"/>
    </xf>
    <xf numFmtId="0" fontId="6" fillId="0" borderId="22" xfId="11" applyFont="1" applyFill="1" applyBorder="1" applyAlignment="1">
      <alignment horizontal="justify" vertical="justify" wrapText="1"/>
    </xf>
    <xf numFmtId="0" fontId="6" fillId="0" borderId="8" xfId="11" applyFont="1" applyFill="1" applyBorder="1" applyAlignment="1">
      <alignment horizontal="justify" vertical="justify" wrapText="1"/>
    </xf>
    <xf numFmtId="4" fontId="6" fillId="0" borderId="0" xfId="9" applyNumberFormat="1" applyFont="1" applyFill="1" applyBorder="1" applyAlignment="1" applyProtection="1">
      <alignment horizontal="left" vertical="center" wrapText="1"/>
    </xf>
    <xf numFmtId="4" fontId="21" fillId="0" borderId="35" xfId="11" applyNumberFormat="1" applyFont="1" applyFill="1" applyBorder="1" applyAlignment="1">
      <alignment horizontal="left"/>
    </xf>
  </cellXfs>
  <cellStyles count="66">
    <cellStyle name="Bueno" xfId="64" builtinId="26"/>
    <cellStyle name="Hipervínculo" xfId="9" builtinId="8"/>
    <cellStyle name="Millares 3" xfId="8"/>
    <cellStyle name="Millares 9" xfId="14"/>
    <cellStyle name="Moneda" xfId="18" builtinId="4"/>
    <cellStyle name="Moneda [0]" xfId="21" builtinId="7"/>
    <cellStyle name="Moneda [0] 2" xfId="22"/>
    <cellStyle name="Moneda 10" xfId="23"/>
    <cellStyle name="Moneda 10 2 2" xfId="58"/>
    <cellStyle name="Moneda 11" xfId="24"/>
    <cellStyle name="Moneda 12" xfId="25"/>
    <cellStyle name="Moneda 13" xfId="26"/>
    <cellStyle name="Moneda 14" xfId="27"/>
    <cellStyle name="Moneda 15" xfId="28"/>
    <cellStyle name="Moneda 16" xfId="29"/>
    <cellStyle name="Moneda 17" xfId="30"/>
    <cellStyle name="Moneda 18" xfId="31"/>
    <cellStyle name="Moneda 19" xfId="32"/>
    <cellStyle name="Moneda 2" xfId="33"/>
    <cellStyle name="Moneda 2 3 4" xfId="61"/>
    <cellStyle name="Moneda 20" xfId="34"/>
    <cellStyle name="Moneda 21" xfId="35"/>
    <cellStyle name="Moneda 22" xfId="36"/>
    <cellStyle name="Moneda 23" xfId="37"/>
    <cellStyle name="Moneda 24" xfId="38"/>
    <cellStyle name="Moneda 25" xfId="39"/>
    <cellStyle name="Moneda 26" xfId="40"/>
    <cellStyle name="Moneda 27" xfId="41"/>
    <cellStyle name="Moneda 28" xfId="42"/>
    <cellStyle name="Moneda 29" xfId="43"/>
    <cellStyle name="Moneda 3" xfId="44"/>
    <cellStyle name="Moneda 30" xfId="45"/>
    <cellStyle name="Moneda 31" xfId="46"/>
    <cellStyle name="Moneda 32" xfId="47"/>
    <cellStyle name="Moneda 33" xfId="48"/>
    <cellStyle name="Moneda 34" xfId="49"/>
    <cellStyle name="Moneda 35" xfId="50"/>
    <cellStyle name="Moneda 36" xfId="51"/>
    <cellStyle name="Moneda 4" xfId="15"/>
    <cellStyle name="Moneda 5" xfId="52"/>
    <cellStyle name="Moneda 5 2" xfId="62"/>
    <cellStyle name="Moneda 6" xfId="53"/>
    <cellStyle name="Moneda 7" xfId="54"/>
    <cellStyle name="Moneda 8" xfId="55"/>
    <cellStyle name="Moneda 9" xfId="56"/>
    <cellStyle name="Moneda_Propuesta SCV-045-99" xfId="10"/>
    <cellStyle name="Moneda_Propuesta SCV-045-99 2" xfId="12"/>
    <cellStyle name="Normal" xfId="0" builtinId="0"/>
    <cellStyle name="Normal 11" xfId="2"/>
    <cellStyle name="Normal 2" xfId="11"/>
    <cellStyle name="Normal 2 2" xfId="1"/>
    <cellStyle name="Normal 25" xfId="57"/>
    <cellStyle name="Normal 3" xfId="16"/>
    <cellStyle name="Normal 4" xfId="65"/>
    <cellStyle name="Normal 6" xfId="7"/>
    <cellStyle name="Normal 6 2" xfId="59"/>
    <cellStyle name="Normal 7 2" xfId="3"/>
    <cellStyle name="Porcentaje" xfId="17" builtinId="5"/>
    <cellStyle name="Porcentaje 2" xfId="6"/>
    <cellStyle name="Porcentaje 2 3" xfId="60"/>
    <cellStyle name="Porcentaje 3" xfId="13"/>
    <cellStyle name="Porcentaje 3 2" xfId="19"/>
    <cellStyle name="Porcentaje 3 3" xfId="20"/>
    <cellStyle name="Porcentaje 3 4" xfId="63"/>
    <cellStyle name="Porcentaje 4" xfId="4"/>
    <cellStyle name="Porcentaje 4 2" xfId="5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externalLink" Target="externalLinks/externalLink4.xml"/><Relationship Id="rId84" Type="http://schemas.openxmlformats.org/officeDocument/2006/relationships/externalLink" Target="externalLinks/externalLink20.xml"/><Relationship Id="rId89" Type="http://schemas.openxmlformats.org/officeDocument/2006/relationships/calcChain" Target="calcChain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externalLink" Target="externalLinks/externalLink10.xml"/><Relationship Id="rId79" Type="http://schemas.openxmlformats.org/officeDocument/2006/relationships/externalLink" Target="externalLinks/externalLink15.xml"/><Relationship Id="rId5" Type="http://schemas.openxmlformats.org/officeDocument/2006/relationships/worksheet" Target="worksheets/sheet5.xml"/><Relationship Id="rId90" Type="http://schemas.openxmlformats.org/officeDocument/2006/relationships/customXml" Target="../customXml/item1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5.xml"/><Relationship Id="rId77" Type="http://schemas.openxmlformats.org/officeDocument/2006/relationships/externalLink" Target="externalLinks/externalLink13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8.xml"/><Relationship Id="rId80" Type="http://schemas.openxmlformats.org/officeDocument/2006/relationships/externalLink" Target="externalLinks/externalLink16.xml"/><Relationship Id="rId85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externalLink" Target="externalLinks/externalLink3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6.xml"/><Relationship Id="rId75" Type="http://schemas.openxmlformats.org/officeDocument/2006/relationships/externalLink" Target="externalLinks/externalLink11.xml"/><Relationship Id="rId83" Type="http://schemas.openxmlformats.org/officeDocument/2006/relationships/externalLink" Target="externalLinks/externalLink19.xml"/><Relationship Id="rId88" Type="http://schemas.openxmlformats.org/officeDocument/2006/relationships/sharedStrings" Target="sharedStrings.xml"/><Relationship Id="rId91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1.xml"/><Relationship Id="rId73" Type="http://schemas.openxmlformats.org/officeDocument/2006/relationships/externalLink" Target="externalLinks/externalLink9.xml"/><Relationship Id="rId78" Type="http://schemas.openxmlformats.org/officeDocument/2006/relationships/externalLink" Target="externalLinks/externalLink14.xml"/><Relationship Id="rId81" Type="http://schemas.openxmlformats.org/officeDocument/2006/relationships/externalLink" Target="externalLinks/externalLink17.xml"/><Relationship Id="rId86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externalLink" Target="externalLinks/externalLink12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7.xml"/><Relationship Id="rId9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externalLink" Target="externalLinks/externalLink2.xml"/><Relationship Id="rId87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externalLink" Target="externalLinks/externalLink18.xml"/><Relationship Id="rId19" Type="http://schemas.openxmlformats.org/officeDocument/2006/relationships/worksheet" Target="worksheets/sheet1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AVANCE DE OBRA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CRONOG!$I$58:$AF$58</c:f>
            </c:numRef>
          </c:yVal>
          <c:smooth val="0"/>
          <c:extLst>
            <c:ext xmlns:c16="http://schemas.microsoft.com/office/drawing/2014/chart" uri="{C3380CC4-5D6E-409C-BE32-E72D297353CC}">
              <c16:uniqueId val="{00000000-BE11-4635-9F39-08D56BD138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37168336"/>
        <c:axId val="-1870117776"/>
      </c:scatterChart>
      <c:valAx>
        <c:axId val="-2037168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17776"/>
        <c:crosses val="autoZero"/>
        <c:crossBetween val="midCat"/>
      </c:valAx>
      <c:valAx>
        <c:axId val="-1870117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2037168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/>
              <a:t>AVANCE DE OBRA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'FL F'!$I$62:$AN$62</c:f>
              <c:numCache>
                <c:formatCode>#,##0.00</c:formatCode>
                <c:ptCount val="32"/>
                <c:pt idx="0">
                  <c:v>1123467</c:v>
                </c:pt>
                <c:pt idx="1">
                  <c:v>3160789</c:v>
                </c:pt>
                <c:pt idx="2">
                  <c:v>6823714.423076923</c:v>
                </c:pt>
                <c:pt idx="3">
                  <c:v>12112246.269230768</c:v>
                </c:pt>
                <c:pt idx="4">
                  <c:v>19026382.538461536</c:v>
                </c:pt>
                <c:pt idx="5">
                  <c:v>22082997.230769228</c:v>
                </c:pt>
                <c:pt idx="6">
                  <c:v>25851361.346153844</c:v>
                </c:pt>
                <c:pt idx="7">
                  <c:v>30331476.884615384</c:v>
                </c:pt>
                <c:pt idx="8">
                  <c:v>35523342.846153848</c:v>
                </c:pt>
                <c:pt idx="9">
                  <c:v>43167033.230769232</c:v>
                </c:pt>
                <c:pt idx="10">
                  <c:v>53262550.038461536</c:v>
                </c:pt>
                <c:pt idx="11">
                  <c:v>65809892.269230768</c:v>
                </c:pt>
                <c:pt idx="12">
                  <c:v>84168989.923076928</c:v>
                </c:pt>
                <c:pt idx="13">
                  <c:v>108339845</c:v>
                </c:pt>
                <c:pt idx="14">
                  <c:v>129218475</c:v>
                </c:pt>
                <c:pt idx="15">
                  <c:v>155208554</c:v>
                </c:pt>
                <c:pt idx="16">
                  <c:v>187214826</c:v>
                </c:pt>
                <c:pt idx="17">
                  <c:v>225237293</c:v>
                </c:pt>
                <c:pt idx="18">
                  <c:v>251875201</c:v>
                </c:pt>
                <c:pt idx="19">
                  <c:v>282789228</c:v>
                </c:pt>
                <c:pt idx="20">
                  <c:v>317979373</c:v>
                </c:pt>
                <c:pt idx="21">
                  <c:v>357445635</c:v>
                </c:pt>
                <c:pt idx="22">
                  <c:v>401188016</c:v>
                </c:pt>
                <c:pt idx="23">
                  <c:v>449206514</c:v>
                </c:pt>
                <c:pt idx="24">
                  <c:v>501501131</c:v>
                </c:pt>
                <c:pt idx="25">
                  <c:v>549024441</c:v>
                </c:pt>
                <c:pt idx="26">
                  <c:v>599919127</c:v>
                </c:pt>
                <c:pt idx="27">
                  <c:v>654185189</c:v>
                </c:pt>
                <c:pt idx="28">
                  <c:v>711822626</c:v>
                </c:pt>
                <c:pt idx="29">
                  <c:v>772831439</c:v>
                </c:pt>
                <c:pt idx="30">
                  <c:v>773372926</c:v>
                </c:pt>
                <c:pt idx="31">
                  <c:v>773582539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5C0-413F-8779-59128442CB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8112"/>
        <c:axId val="-1870118320"/>
      </c:scatterChart>
      <c:valAx>
        <c:axId val="-1870128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18320"/>
        <c:crosses val="autoZero"/>
        <c:crossBetween val="midCat"/>
      </c:valAx>
      <c:valAx>
        <c:axId val="-1870118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8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'%'!$E$2:$E$17</c:f>
              <c:numCache>
                <c:formatCode>0.0000%</c:formatCode>
                <c:ptCount val="16"/>
                <c:pt idx="0">
                  <c:v>9.0527691919021136E-4</c:v>
                </c:pt>
                <c:pt idx="1">
                  <c:v>1.8105538383804227E-3</c:v>
                </c:pt>
                <c:pt idx="2">
                  <c:v>2.7158307575706341E-3</c:v>
                </c:pt>
                <c:pt idx="3">
                  <c:v>3.6211076767608454E-3</c:v>
                </c:pt>
                <c:pt idx="4">
                  <c:v>4.5263845959510572E-3</c:v>
                </c:pt>
                <c:pt idx="5">
                  <c:v>5.431661515141269E-3</c:v>
                </c:pt>
                <c:pt idx="6">
                  <c:v>6.3369384343314808E-3</c:v>
                </c:pt>
                <c:pt idx="7">
                  <c:v>7.2422153535216926E-3</c:v>
                </c:pt>
                <c:pt idx="8">
                  <c:v>8.1474922727119044E-3</c:v>
                </c:pt>
                <c:pt idx="9">
                  <c:v>9.0527691919021162E-3</c:v>
                </c:pt>
                <c:pt idx="10">
                  <c:v>9.958046111092328E-3</c:v>
                </c:pt>
                <c:pt idx="11">
                  <c:v>1.086332303028254E-2</c:v>
                </c:pt>
              </c:numCache>
            </c:numRef>
          </c:xVal>
          <c:yVal>
            <c:numRef>
              <c:f>'%'!$F$2:$F$17</c:f>
              <c:numCache>
                <c:formatCode>0.00</c:formatCode>
                <c:ptCount val="1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DF8-41F5-9B9A-3FD4F6784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9744"/>
        <c:axId val="-1870116144"/>
      </c:scatterChart>
      <c:valAx>
        <c:axId val="-1870129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16144"/>
        <c:crosses val="autoZero"/>
        <c:crossBetween val="midCat"/>
      </c:valAx>
      <c:valAx>
        <c:axId val="-1870116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9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'%'!$E$22:$E$36</c:f>
              <c:numCache>
                <c:formatCode>0.000000%</c:formatCode>
                <c:ptCount val="15"/>
                <c:pt idx="0">
                  <c:v>2.2493721080534463E-3</c:v>
                </c:pt>
                <c:pt idx="1">
                  <c:v>4.4987442161068926E-3</c:v>
                </c:pt>
                <c:pt idx="2">
                  <c:v>6.7481163241603394E-3</c:v>
                </c:pt>
                <c:pt idx="3">
                  <c:v>8.9974884322137853E-3</c:v>
                </c:pt>
                <c:pt idx="4">
                  <c:v>1.1246860540267231E-2</c:v>
                </c:pt>
                <c:pt idx="5">
                  <c:v>1.3496232648320677E-2</c:v>
                </c:pt>
                <c:pt idx="6">
                  <c:v>1.5745604756374123E-2</c:v>
                </c:pt>
                <c:pt idx="7">
                  <c:v>1.7994976864427571E-2</c:v>
                </c:pt>
                <c:pt idx="8">
                  <c:v>2.0244348972481018E-2</c:v>
                </c:pt>
              </c:numCache>
            </c:numRef>
          </c:xVal>
          <c:yVal>
            <c:numRef>
              <c:f>'%'!$F$22:$F$36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C7E-4A86-86E7-6F914B054E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4848"/>
        <c:axId val="-1870117232"/>
      </c:scatterChart>
      <c:valAx>
        <c:axId val="-18701248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17232"/>
        <c:crosses val="autoZero"/>
        <c:crossBetween val="midCat"/>
      </c:valAx>
      <c:valAx>
        <c:axId val="-187011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48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'%'!$E$40:$E$54</c:f>
              <c:numCache>
                <c:formatCode>0.0000%</c:formatCode>
                <c:ptCount val="15"/>
                <c:pt idx="0">
                  <c:v>1.169548622635998E-3</c:v>
                </c:pt>
                <c:pt idx="1">
                  <c:v>2.3390972452719959E-3</c:v>
                </c:pt>
                <c:pt idx="2">
                  <c:v>3.5086458679079941E-3</c:v>
                </c:pt>
                <c:pt idx="3">
                  <c:v>4.6781944905439918E-3</c:v>
                </c:pt>
                <c:pt idx="4">
                  <c:v>5.8477431131799896E-3</c:v>
                </c:pt>
                <c:pt idx="5">
                  <c:v>7.0172917358159873E-3</c:v>
                </c:pt>
                <c:pt idx="6">
                  <c:v>8.1868403584519859E-3</c:v>
                </c:pt>
                <c:pt idx="7">
                  <c:v>9.3563889810879836E-3</c:v>
                </c:pt>
                <c:pt idx="8">
                  <c:v>1.0525937603723981E-2</c:v>
                </c:pt>
              </c:numCache>
            </c:numRef>
          </c:xVal>
          <c:yVal>
            <c:numRef>
              <c:f>'%'!$F$40:$F$54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54F-43FB-9DF5-B726E14F50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1584"/>
        <c:axId val="-1870115600"/>
      </c:scatterChart>
      <c:valAx>
        <c:axId val="-1870121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15600"/>
        <c:crosses val="autoZero"/>
        <c:crossBetween val="midCat"/>
      </c:valAx>
      <c:valAx>
        <c:axId val="-1870115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15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'%'!$E$58:$E$82</c:f>
              <c:numCache>
                <c:formatCode>0.0000%</c:formatCode>
                <c:ptCount val="25"/>
                <c:pt idx="0">
                  <c:v>4.3433394717291374E-3</c:v>
                </c:pt>
                <c:pt idx="1">
                  <c:v>8.6866789434582748E-3</c:v>
                </c:pt>
                <c:pt idx="2">
                  <c:v>1.3030018415187413E-2</c:v>
                </c:pt>
                <c:pt idx="3">
                  <c:v>1.737335788691655E-2</c:v>
                </c:pt>
                <c:pt idx="4">
                  <c:v>2.1716697358645686E-2</c:v>
                </c:pt>
                <c:pt idx="5">
                  <c:v>2.6060036830374823E-2</c:v>
                </c:pt>
                <c:pt idx="6">
                  <c:v>3.0403376302103959E-2</c:v>
                </c:pt>
                <c:pt idx="7">
                  <c:v>3.4746715773833099E-2</c:v>
                </c:pt>
                <c:pt idx="8">
                  <c:v>3.9090055245562236E-2</c:v>
                </c:pt>
                <c:pt idx="9">
                  <c:v>4.3433394717291372E-2</c:v>
                </c:pt>
                <c:pt idx="10">
                  <c:v>4.7776734189020509E-2</c:v>
                </c:pt>
                <c:pt idx="11">
                  <c:v>5.2120073660749645E-2</c:v>
                </c:pt>
                <c:pt idx="12">
                  <c:v>5.6463413132478782E-2</c:v>
                </c:pt>
                <c:pt idx="13">
                  <c:v>6.0806752604207918E-2</c:v>
                </c:pt>
                <c:pt idx="14">
                  <c:v>6.5150092075937055E-2</c:v>
                </c:pt>
                <c:pt idx="15">
                  <c:v>6.9493431547666198E-2</c:v>
                </c:pt>
                <c:pt idx="16">
                  <c:v>7.3836771019395342E-2</c:v>
                </c:pt>
                <c:pt idx="17">
                  <c:v>7.8180110491124485E-2</c:v>
                </c:pt>
              </c:numCache>
            </c:numRef>
          </c:xVal>
          <c:yVal>
            <c:numRef>
              <c:f>'%'!$F$58:$F$82</c:f>
              <c:numCache>
                <c:formatCode>0.00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9EE-4420-866B-0713974256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8656"/>
        <c:axId val="-1870127568"/>
      </c:scatterChart>
      <c:valAx>
        <c:axId val="-1870128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7568"/>
        <c:crosses val="autoZero"/>
        <c:crossBetween val="midCat"/>
      </c:valAx>
      <c:valAx>
        <c:axId val="-187012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8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'%'!$E$86:$E$100</c:f>
              <c:numCache>
                <c:formatCode>0.0000%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xVal>
          <c:yVal>
            <c:numRef>
              <c:f>'%'!$F$86:$F$100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D58-47AE-9A85-8575729784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4304"/>
        <c:axId val="-1870127024"/>
      </c:scatterChart>
      <c:valAx>
        <c:axId val="-18701243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7024"/>
        <c:crosses val="autoZero"/>
        <c:crossBetween val="midCat"/>
      </c:valAx>
      <c:valAx>
        <c:axId val="-187012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4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'%'!$E$104:$E$118</c:f>
              <c:numCache>
                <c:formatCode>0.0000%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xVal>
          <c:yVal>
            <c:numRef>
              <c:f>'%'!$F$104:$F$118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EF-4245-910A-D23B079495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6480"/>
        <c:axId val="-1870119952"/>
      </c:scatterChart>
      <c:valAx>
        <c:axId val="-18701264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19952"/>
        <c:crosses val="autoZero"/>
        <c:crossBetween val="midCat"/>
      </c:valAx>
      <c:valAx>
        <c:axId val="-1870119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64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'%'!$E$122:$E$150</c:f>
              <c:numCache>
                <c:formatCode>0.0000%</c:formatCode>
                <c:ptCount val="29"/>
                <c:pt idx="0">
                  <c:v>1.3270292527950803E-5</c:v>
                </c:pt>
                <c:pt idx="1">
                  <c:v>2.6540585055901607E-5</c:v>
                </c:pt>
                <c:pt idx="2">
                  <c:v>3.981087758385241E-5</c:v>
                </c:pt>
                <c:pt idx="3">
                  <c:v>5.3081170111803213E-5</c:v>
                </c:pt>
                <c:pt idx="4">
                  <c:v>6.635146263975401E-5</c:v>
                </c:pt>
                <c:pt idx="5">
                  <c:v>7.9621755167704806E-5</c:v>
                </c:pt>
                <c:pt idx="6">
                  <c:v>9.2892047695655603E-5</c:v>
                </c:pt>
                <c:pt idx="7">
                  <c:v>1.061623402236064E-4</c:v>
                </c:pt>
                <c:pt idx="8">
                  <c:v>1.194326327515572E-4</c:v>
                </c:pt>
                <c:pt idx="9">
                  <c:v>1.3270292527950799E-4</c:v>
                </c:pt>
                <c:pt idx="10">
                  <c:v>1.4597321780745879E-4</c:v>
                </c:pt>
                <c:pt idx="11">
                  <c:v>1.5924351033540959E-4</c:v>
                </c:pt>
                <c:pt idx="12">
                  <c:v>1.7251380286336038E-4</c:v>
                </c:pt>
                <c:pt idx="13">
                  <c:v>1.8578409539131118E-4</c:v>
                </c:pt>
                <c:pt idx="14">
                  <c:v>1.9905438791926197E-4</c:v>
                </c:pt>
                <c:pt idx="15">
                  <c:v>2.1232468044721277E-4</c:v>
                </c:pt>
                <c:pt idx="16">
                  <c:v>2.2559497297516357E-4</c:v>
                </c:pt>
                <c:pt idx="17">
                  <c:v>2.3886526550311436E-4</c:v>
                </c:pt>
                <c:pt idx="18">
                  <c:v>2.5213555803106516E-4</c:v>
                </c:pt>
                <c:pt idx="19">
                  <c:v>2.6540585055901598E-4</c:v>
                </c:pt>
                <c:pt idx="20">
                  <c:v>2.7867614308696681E-4</c:v>
                </c:pt>
                <c:pt idx="21">
                  <c:v>2.9194643561491763E-4</c:v>
                </c:pt>
                <c:pt idx="22">
                  <c:v>3.0521672814286846E-4</c:v>
                </c:pt>
                <c:pt idx="23">
                  <c:v>3.1848702067081928E-4</c:v>
                </c:pt>
                <c:pt idx="24">
                  <c:v>3.317573131987701E-4</c:v>
                </c:pt>
                <c:pt idx="25">
                  <c:v>3.4502760572672093E-4</c:v>
                </c:pt>
                <c:pt idx="26">
                  <c:v>3.5829789825467175E-4</c:v>
                </c:pt>
                <c:pt idx="27">
                  <c:v>3.7156819078262257E-4</c:v>
                </c:pt>
                <c:pt idx="28">
                  <c:v>3.848384833105734E-4</c:v>
                </c:pt>
              </c:numCache>
            </c:numRef>
          </c:xVal>
          <c:yVal>
            <c:numRef>
              <c:f>'%'!$F$122:$F$150</c:f>
              <c:numCache>
                <c:formatCode>0.00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C10-4FB3-A717-115FFF9C5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3760"/>
        <c:axId val="-1870123216"/>
      </c:scatterChart>
      <c:valAx>
        <c:axId val="-18701237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3216"/>
        <c:crosses val="autoZero"/>
        <c:crossBetween val="midCat"/>
      </c:valAx>
      <c:valAx>
        <c:axId val="-1870123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37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'%'!$E$156:$E$184</c:f>
              <c:numCache>
                <c:formatCode>0.0000%</c:formatCode>
                <c:ptCount val="29"/>
                <c:pt idx="0">
                  <c:v>1.5231595681523731E-6</c:v>
                </c:pt>
                <c:pt idx="1">
                  <c:v>3.0463191363047463E-6</c:v>
                </c:pt>
                <c:pt idx="2">
                  <c:v>4.5694787044571198E-6</c:v>
                </c:pt>
                <c:pt idx="3">
                  <c:v>6.0926382726094925E-6</c:v>
                </c:pt>
                <c:pt idx="4">
                  <c:v>7.6157978407618653E-6</c:v>
                </c:pt>
                <c:pt idx="5">
                  <c:v>9.138957408914238E-6</c:v>
                </c:pt>
                <c:pt idx="6">
                  <c:v>1.0662116977066611E-5</c:v>
                </c:pt>
                <c:pt idx="7">
                  <c:v>1.2185276545218983E-5</c:v>
                </c:pt>
                <c:pt idx="8">
                  <c:v>1.3708436113371356E-5</c:v>
                </c:pt>
                <c:pt idx="9">
                  <c:v>1.5231595681523729E-5</c:v>
                </c:pt>
                <c:pt idx="10">
                  <c:v>1.6754755249676102E-5</c:v>
                </c:pt>
                <c:pt idx="11">
                  <c:v>1.8277914817828476E-5</c:v>
                </c:pt>
                <c:pt idx="12">
                  <c:v>1.980107438598085E-5</c:v>
                </c:pt>
                <c:pt idx="13">
                  <c:v>2.1324233954133225E-5</c:v>
                </c:pt>
                <c:pt idx="14">
                  <c:v>2.2847393522285599E-5</c:v>
                </c:pt>
                <c:pt idx="15">
                  <c:v>2.4370553090437974E-5</c:v>
                </c:pt>
                <c:pt idx="16">
                  <c:v>2.5893712658590348E-5</c:v>
                </c:pt>
                <c:pt idx="17">
                  <c:v>2.7416872226742722E-5</c:v>
                </c:pt>
                <c:pt idx="18">
                  <c:v>2.8940031794895097E-5</c:v>
                </c:pt>
                <c:pt idx="19">
                  <c:v>3.0463191363047471E-5</c:v>
                </c:pt>
                <c:pt idx="20">
                  <c:v>3.1986350931199846E-5</c:v>
                </c:pt>
                <c:pt idx="21">
                  <c:v>3.3509510499352217E-5</c:v>
                </c:pt>
                <c:pt idx="22">
                  <c:v>3.5032670067504588E-5</c:v>
                </c:pt>
                <c:pt idx="23">
                  <c:v>3.6555829635656959E-5</c:v>
                </c:pt>
                <c:pt idx="24">
                  <c:v>3.807898920380933E-5</c:v>
                </c:pt>
                <c:pt idx="25">
                  <c:v>3.9602148771961701E-5</c:v>
                </c:pt>
                <c:pt idx="26">
                  <c:v>4.1125308340114072E-5</c:v>
                </c:pt>
                <c:pt idx="27">
                  <c:v>4.2648467908266443E-5</c:v>
                </c:pt>
                <c:pt idx="28">
                  <c:v>4.4171627476418814E-5</c:v>
                </c:pt>
              </c:numCache>
            </c:numRef>
          </c:xVal>
          <c:yVal>
            <c:numRef>
              <c:f>'%'!$F$156:$F$184</c:f>
              <c:numCache>
                <c:formatCode>0.00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68-498A-95F8-0E14075B0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2672"/>
        <c:axId val="-1870122128"/>
      </c:scatterChart>
      <c:valAx>
        <c:axId val="-1870122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2128"/>
        <c:crosses val="autoZero"/>
        <c:crossBetween val="midCat"/>
      </c:valAx>
      <c:valAx>
        <c:axId val="-1870122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26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'%'!$E$189:$E$218</c:f>
              <c:numCache>
                <c:formatCode>0.0000%</c:formatCode>
                <c:ptCount val="3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xVal>
          <c:yVal>
            <c:numRef>
              <c:f>'%'!$F$189:$F$218</c:f>
              <c:numCache>
                <c:formatCode>0.00</c:formatCode>
                <c:ptCount val="3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8AB-4AA3-870F-8819D772A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70121040"/>
        <c:axId val="-1870120496"/>
      </c:scatterChart>
      <c:valAx>
        <c:axId val="-187012104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0496"/>
        <c:crosses val="autoZero"/>
        <c:crossBetween val="midCat"/>
      </c:valAx>
      <c:valAx>
        <c:axId val="-187012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70121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'%'!$E$225:$E$229</c:f>
              <c:numCache>
                <c:formatCode>0.0000%</c:formatCode>
                <c:ptCount val="5"/>
                <c:pt idx="0">
                  <c:v>1.1813275854097767E-3</c:v>
                </c:pt>
                <c:pt idx="1">
                  <c:v>2.3626551708195533E-3</c:v>
                </c:pt>
                <c:pt idx="2">
                  <c:v>3.5439827562293302E-3</c:v>
                </c:pt>
                <c:pt idx="3">
                  <c:v>4.7253103416391067E-3</c:v>
                </c:pt>
                <c:pt idx="4">
                  <c:v>5.9066379270488831E-3</c:v>
                </c:pt>
              </c:numCache>
            </c:numRef>
          </c:xVal>
          <c:yVal>
            <c:numRef>
              <c:f>'%'!$F$225:$F$229</c:f>
              <c:numCache>
                <c:formatCode>0.00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B4F-4707-B245-16D58F30E1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9552"/>
        <c:axId val="-1844913568"/>
      </c:scatterChart>
      <c:valAx>
        <c:axId val="-1844919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3568"/>
        <c:crosses val="autoZero"/>
        <c:crossBetween val="midCat"/>
      </c:valAx>
      <c:valAx>
        <c:axId val="-1844913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9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'%'!$L$2:$L$15</c:f>
              <c:numCache>
                <c:formatCode>0.000000000000000000</c:formatCode>
                <c:ptCount val="14"/>
                <c:pt idx="0">
                  <c:v>3.3225758478951518E-4</c:v>
                </c:pt>
                <c:pt idx="1">
                  <c:v>1.7695151695790302E-3</c:v>
                </c:pt>
                <c:pt idx="2">
                  <c:v>2.8967727543685456E-3</c:v>
                </c:pt>
                <c:pt idx="3">
                  <c:v>3.7290303391580605E-3</c:v>
                </c:pt>
                <c:pt idx="4">
                  <c:v>4.631287923947576E-3</c:v>
                </c:pt>
                <c:pt idx="5">
                  <c:v>5.3735455087370919E-3</c:v>
                </c:pt>
                <c:pt idx="6">
                  <c:v>6.1358030935266079E-3</c:v>
                </c:pt>
                <c:pt idx="7">
                  <c:v>6.8600907903891319E-3</c:v>
                </c:pt>
                <c:pt idx="8">
                  <c:v>7.6903182631056395E-3</c:v>
                </c:pt>
                <c:pt idx="9">
                  <c:v>8.5225758478951544E-3</c:v>
                </c:pt>
                <c:pt idx="10">
                  <c:v>9.5548334326846715E-3</c:v>
                </c:pt>
                <c:pt idx="11">
                  <c:v>1.0787091017474187E-2</c:v>
                </c:pt>
                <c:pt idx="12">
                  <c:v>7.507486527909505E-4</c:v>
                </c:pt>
                <c:pt idx="13">
                  <c:v>1.5777293183902533E-3</c:v>
                </c:pt>
              </c:numCache>
            </c:numRef>
          </c:xVal>
          <c:yVal>
            <c:numRef>
              <c:f>'%'!$N$2:$N$15</c:f>
              <c:numCache>
                <c:formatCode>0.00</c:formatCode>
                <c:ptCount val="1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0</c:v>
                </c:pt>
                <c:pt idx="1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7A9-48FB-A9D6-AC8026638D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8464"/>
        <c:axId val="-1844911936"/>
      </c:scatterChart>
      <c:valAx>
        <c:axId val="-18449184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1936"/>
        <c:crosses val="autoZero"/>
        <c:crossBetween val="midCat"/>
      </c:valAx>
      <c:valAx>
        <c:axId val="-1844911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8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'%'!$L$22:$L$36</c:f>
              <c:numCache>
                <c:formatCode>0.00000000000000000</c:formatCode>
                <c:ptCount val="15"/>
                <c:pt idx="0">
                  <c:v>1.4493721080534464E-3</c:v>
                </c:pt>
                <c:pt idx="1">
                  <c:v>4.9987442161068922E-3</c:v>
                </c:pt>
                <c:pt idx="2">
                  <c:v>7.4481163241603395E-3</c:v>
                </c:pt>
                <c:pt idx="3">
                  <c:v>9.3974884322137846E-3</c:v>
                </c:pt>
                <c:pt idx="4">
                  <c:v>1.124786054026723E-2</c:v>
                </c:pt>
                <c:pt idx="5">
                  <c:v>1.3046232648320676E-2</c:v>
                </c:pt>
                <c:pt idx="6">
                  <c:v>1.5045604756374124E-2</c:v>
                </c:pt>
                <c:pt idx="7">
                  <c:v>1.7194976864427572E-2</c:v>
                </c:pt>
                <c:pt idx="8">
                  <c:v>1.9544348972481019E-2</c:v>
                </c:pt>
                <c:pt idx="9">
                  <c:v>-1.9999999999853468E-5</c:v>
                </c:pt>
                <c:pt idx="10">
                  <c:v>1.8689999999998985E-3</c:v>
                </c:pt>
              </c:numCache>
            </c:numRef>
          </c:xVal>
          <c:yVal>
            <c:numRef>
              <c:f>'%'!$N$22:$N$36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8C-4BB0-A85A-0D15A4FBE2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24992"/>
        <c:axId val="-1844919008"/>
      </c:scatterChart>
      <c:valAx>
        <c:axId val="-18449249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9008"/>
        <c:crosses val="autoZero"/>
        <c:crossBetween val="midCat"/>
      </c:valAx>
      <c:valAx>
        <c:axId val="-184491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249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'%'!$L$40:$L$54</c:f>
              <c:numCache>
                <c:formatCode>0.00000000000000000</c:formatCode>
                <c:ptCount val="15"/>
                <c:pt idx="0">
                  <c:v>3.6954862263599792E-4</c:v>
                </c:pt>
                <c:pt idx="1">
                  <c:v>2.8390972452719959E-3</c:v>
                </c:pt>
                <c:pt idx="2">
                  <c:v>4.2086458679079942E-3</c:v>
                </c:pt>
                <c:pt idx="3">
                  <c:v>5.078194490543992E-3</c:v>
                </c:pt>
                <c:pt idx="4">
                  <c:v>5.8487431131799897E-3</c:v>
                </c:pt>
                <c:pt idx="5">
                  <c:v>6.5672917358159874E-3</c:v>
                </c:pt>
                <c:pt idx="6">
                  <c:v>7.4868403584519858E-3</c:v>
                </c:pt>
                <c:pt idx="7">
                  <c:v>8.5563889810879833E-3</c:v>
                </c:pt>
                <c:pt idx="8">
                  <c:v>9.8259376037239821E-3</c:v>
                </c:pt>
                <c:pt idx="9">
                  <c:v>-1.9999999999853468E-5</c:v>
                </c:pt>
                <c:pt idx="10">
                  <c:v>1.8689999999998985E-3</c:v>
                </c:pt>
              </c:numCache>
            </c:numRef>
          </c:xVal>
          <c:yVal>
            <c:numRef>
              <c:f>'%'!$N$40:$N$54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DE0-4985-B5DF-9ECCD80C82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7920"/>
        <c:axId val="-1844917376"/>
      </c:scatterChart>
      <c:valAx>
        <c:axId val="-184491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7376"/>
        <c:crosses val="autoZero"/>
        <c:crossBetween val="midCat"/>
      </c:valAx>
      <c:valAx>
        <c:axId val="-1844917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7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'%'!$L$58:$L$82</c:f>
              <c:numCache>
                <c:formatCode>0.00000000000000000</c:formatCode>
                <c:ptCount val="25"/>
                <c:pt idx="0">
                  <c:v>1.3433394717291373E-3</c:v>
                </c:pt>
                <c:pt idx="1">
                  <c:v>8.5866789434582754E-3</c:v>
                </c:pt>
                <c:pt idx="2">
                  <c:v>1.3930018415187413E-2</c:v>
                </c:pt>
                <c:pt idx="3">
                  <c:v>1.8273357886916551E-2</c:v>
                </c:pt>
                <c:pt idx="4">
                  <c:v>2.1866697358645687E-2</c:v>
                </c:pt>
                <c:pt idx="5">
                  <c:v>2.5560036830374822E-2</c:v>
                </c:pt>
                <c:pt idx="6">
                  <c:v>2.8403376302103961E-2</c:v>
                </c:pt>
                <c:pt idx="7">
                  <c:v>3.12467157738331E-2</c:v>
                </c:pt>
                <c:pt idx="8">
                  <c:v>3.5090055245562232E-2</c:v>
                </c:pt>
                <c:pt idx="9">
                  <c:v>4.043339471729137E-2</c:v>
                </c:pt>
                <c:pt idx="10">
                  <c:v>4.7876734189020512E-2</c:v>
                </c:pt>
                <c:pt idx="11">
                  <c:v>6.6170073660749756E-2</c:v>
                </c:pt>
              </c:numCache>
            </c:numRef>
          </c:xVal>
          <c:yVal>
            <c:numRef>
              <c:f>'%'!$N$58:$N$82</c:f>
              <c:numCache>
                <c:formatCode>0.00</c:formatCode>
                <c:ptCount val="2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7DD-49EE-89E2-1CA57D9DD3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6832"/>
        <c:axId val="-1844924448"/>
      </c:scatterChart>
      <c:valAx>
        <c:axId val="-18449168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24448"/>
        <c:crosses val="autoZero"/>
        <c:crossBetween val="midCat"/>
      </c:valAx>
      <c:valAx>
        <c:axId val="-1844924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68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'%'!$L$104:$L$118</c:f>
              <c:numCache>
                <c:formatCode>0.00000000000000000</c:formatCode>
                <c:ptCount val="15"/>
                <c:pt idx="0">
                  <c:v>-2.0000000000000001E-4</c:v>
                </c:pt>
                <c:pt idx="1">
                  <c:v>-5.0000000000000002E-5</c:v>
                </c:pt>
                <c:pt idx="2">
                  <c:v>-5.0000000000000004E-6</c:v>
                </c:pt>
                <c:pt idx="3">
                  <c:v>-4.9999999999999998E-7</c:v>
                </c:pt>
                <c:pt idx="4">
                  <c:v>3.0500000000155403E-5</c:v>
                </c:pt>
                <c:pt idx="5">
                  <c:v>5.0000000000000004E-6</c:v>
                </c:pt>
                <c:pt idx="6">
                  <c:v>2.0000000000000002E-5</c:v>
                </c:pt>
                <c:pt idx="7">
                  <c:v>1.9999999999975593E-4</c:v>
                </c:pt>
              </c:numCache>
            </c:numRef>
          </c:xVal>
          <c:yVal>
            <c:numRef>
              <c:f>'%'!$N$104:$N$118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0</c:v>
                </c:pt>
                <c:pt idx="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52-4F27-AF1E-B50C3D1343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23904"/>
        <c:axId val="-1844916288"/>
      </c:scatterChart>
      <c:valAx>
        <c:axId val="-1844923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6288"/>
        <c:crosses val="autoZero"/>
        <c:crossBetween val="midCat"/>
      </c:valAx>
      <c:valAx>
        <c:axId val="-1844916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23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'%'!$L$122:$L$136</c:f>
              <c:numCache>
                <c:formatCode>0.000000000000000000</c:formatCode>
                <c:ptCount val="15"/>
                <c:pt idx="0">
                  <c:v>-4.6729707472049198E-5</c:v>
                </c:pt>
                <c:pt idx="1">
                  <c:v>-3.4594149440983942E-6</c:v>
                </c:pt>
                <c:pt idx="2">
                  <c:v>1.9810877583852408E-5</c:v>
                </c:pt>
                <c:pt idx="3">
                  <c:v>4.3081170111803214E-5</c:v>
                </c:pt>
                <c:pt idx="4">
                  <c:v>5.6351462639754011E-5</c:v>
                </c:pt>
                <c:pt idx="5">
                  <c:v>5.9621755167795827E-5</c:v>
                </c:pt>
                <c:pt idx="6">
                  <c:v>4.1892047695655603E-5</c:v>
                </c:pt>
                <c:pt idx="7">
                  <c:v>5.6162340223606397E-5</c:v>
                </c:pt>
                <c:pt idx="8">
                  <c:v>6.94326327515572E-5</c:v>
                </c:pt>
                <c:pt idx="9">
                  <c:v>1.0270292527950799E-4</c:v>
                </c:pt>
                <c:pt idx="10">
                  <c:v>1.4697321780748754E-4</c:v>
                </c:pt>
                <c:pt idx="11">
                  <c:v>1.6924351033540958E-4</c:v>
                </c:pt>
                <c:pt idx="12">
                  <c:v>2.2251380286336038E-4</c:v>
                </c:pt>
                <c:pt idx="13">
                  <c:v>2.857840953913112E-4</c:v>
                </c:pt>
                <c:pt idx="14">
                  <c:v>3.6905438791909892E-4</c:v>
                </c:pt>
              </c:numCache>
            </c:numRef>
          </c:xVal>
          <c:yVal>
            <c:numRef>
              <c:f>'%'!$N$122:$N$136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D9-4749-9C4A-46296EAB08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5744"/>
        <c:axId val="-1844915200"/>
      </c:scatterChart>
      <c:valAx>
        <c:axId val="-1844915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5200"/>
        <c:crosses val="autoZero"/>
        <c:crossBetween val="midCat"/>
      </c:valAx>
      <c:valAx>
        <c:axId val="-1844915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5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'%'!$L$156:$L$170</c:f>
              <c:numCache>
                <c:formatCode>0.000000000000000000</c:formatCode>
                <c:ptCount val="15"/>
                <c:pt idx="0">
                  <c:v>-4.8476840431847631E-5</c:v>
                </c:pt>
                <c:pt idx="1">
                  <c:v>-6.9536808636952545E-6</c:v>
                </c:pt>
                <c:pt idx="2">
                  <c:v>-4.3052129554288057E-7</c:v>
                </c:pt>
                <c:pt idx="3">
                  <c:v>1.0926382726094921E-6</c:v>
                </c:pt>
                <c:pt idx="4">
                  <c:v>-2.3842021592381356E-6</c:v>
                </c:pt>
                <c:pt idx="5">
                  <c:v>-1.0861042591085764E-5</c:v>
                </c:pt>
                <c:pt idx="6">
                  <c:v>-1.933788302293339E-5</c:v>
                </c:pt>
                <c:pt idx="7">
                  <c:v>-2.7814723454781022E-5</c:v>
                </c:pt>
                <c:pt idx="8">
                  <c:v>-3.6291563886628643E-5</c:v>
                </c:pt>
                <c:pt idx="9">
                  <c:v>-3.4768404318476272E-5</c:v>
                </c:pt>
                <c:pt idx="10">
                  <c:v>-2.3245244750323902E-5</c:v>
                </c:pt>
                <c:pt idx="11">
                  <c:v>-1.1722085182171525E-5</c:v>
                </c:pt>
                <c:pt idx="12">
                  <c:v>9.8010743859808495E-6</c:v>
                </c:pt>
                <c:pt idx="13">
                  <c:v>7.1324233954133231E-5</c:v>
                </c:pt>
                <c:pt idx="14">
                  <c:v>3.2284739352228558E-4</c:v>
                </c:pt>
              </c:numCache>
            </c:numRef>
          </c:xVal>
          <c:yVal>
            <c:numRef>
              <c:f>'%'!$N$156:$N$170</c:f>
              <c:numCache>
                <c:formatCode>0.00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6-4328-B0A8-FA380A26F7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4656"/>
        <c:axId val="-1844911392"/>
      </c:scatterChart>
      <c:valAx>
        <c:axId val="-1844914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1392"/>
        <c:crosses val="autoZero"/>
        <c:crossBetween val="midCat"/>
      </c:valAx>
      <c:valAx>
        <c:axId val="-1844911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4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'%'!$L$189:$L$220</c:f>
              <c:numCache>
                <c:formatCode>0.000000000000000000</c:formatCode>
                <c:ptCount val="32"/>
                <c:pt idx="0">
                  <c:v>-9.0000000000000006E-5</c:v>
                </c:pt>
                <c:pt idx="1">
                  <c:v>-1.0000000000000001E-5</c:v>
                </c:pt>
                <c:pt idx="2">
                  <c:v>-1.0000000000000001E-5</c:v>
                </c:pt>
                <c:pt idx="3">
                  <c:v>-2.0000000000000002E-5</c:v>
                </c:pt>
                <c:pt idx="4">
                  <c:v>-3.0000000000000001E-5</c:v>
                </c:pt>
                <c:pt idx="5">
                  <c:v>-5.0000000000000002E-5</c:v>
                </c:pt>
                <c:pt idx="6">
                  <c:v>-8.0000000000000007E-5</c:v>
                </c:pt>
                <c:pt idx="7">
                  <c:v>-1E-4</c:v>
                </c:pt>
                <c:pt idx="8">
                  <c:v>-1E-4</c:v>
                </c:pt>
                <c:pt idx="9">
                  <c:v>-1E-4</c:v>
                </c:pt>
                <c:pt idx="10">
                  <c:v>-2.999999999991898E-5</c:v>
                </c:pt>
                <c:pt idx="11">
                  <c:v>5.0000000000000004E-6</c:v>
                </c:pt>
                <c:pt idx="12">
                  <c:v>5.0000000000000004E-6</c:v>
                </c:pt>
                <c:pt idx="13">
                  <c:v>1.0000000000000001E-5</c:v>
                </c:pt>
                <c:pt idx="14">
                  <c:v>2.0000000000000001E-4</c:v>
                </c:pt>
                <c:pt idx="15">
                  <c:v>4.0000000000000002E-4</c:v>
                </c:pt>
              </c:numCache>
            </c:numRef>
          </c:xVal>
          <c:yVal>
            <c:numRef>
              <c:f>'%'!$N$189:$N$220</c:f>
              <c:numCache>
                <c:formatCode>0.00</c:formatCode>
                <c:ptCount val="3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A7-4B87-BC32-7F998C2BD3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844914112"/>
        <c:axId val="-1844926080"/>
      </c:scatterChart>
      <c:valAx>
        <c:axId val="-1844914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000000000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26080"/>
        <c:crosses val="autoZero"/>
        <c:crossBetween val="midCat"/>
      </c:valAx>
      <c:valAx>
        <c:axId val="-184492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8449141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18" Type="http://schemas.openxmlformats.org/officeDocument/2006/relationships/image" Target="../media/image19.png"/><Relationship Id="rId26" Type="http://schemas.openxmlformats.org/officeDocument/2006/relationships/image" Target="../media/image27.png"/><Relationship Id="rId3" Type="http://schemas.openxmlformats.org/officeDocument/2006/relationships/image" Target="../media/image4.png"/><Relationship Id="rId21" Type="http://schemas.openxmlformats.org/officeDocument/2006/relationships/image" Target="../media/image22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17" Type="http://schemas.openxmlformats.org/officeDocument/2006/relationships/image" Target="../media/image18.png"/><Relationship Id="rId25" Type="http://schemas.openxmlformats.org/officeDocument/2006/relationships/image" Target="../media/image26.png"/><Relationship Id="rId2" Type="http://schemas.openxmlformats.org/officeDocument/2006/relationships/image" Target="../media/image3.png"/><Relationship Id="rId16" Type="http://schemas.openxmlformats.org/officeDocument/2006/relationships/image" Target="../media/image17.png"/><Relationship Id="rId20" Type="http://schemas.openxmlformats.org/officeDocument/2006/relationships/image" Target="../media/image21.png"/><Relationship Id="rId29" Type="http://schemas.openxmlformats.org/officeDocument/2006/relationships/image" Target="../media/image30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24" Type="http://schemas.openxmlformats.org/officeDocument/2006/relationships/image" Target="../media/image25.png"/><Relationship Id="rId32" Type="http://schemas.openxmlformats.org/officeDocument/2006/relationships/image" Target="../media/image33.jpe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23" Type="http://schemas.openxmlformats.org/officeDocument/2006/relationships/image" Target="../media/image24.png"/><Relationship Id="rId28" Type="http://schemas.openxmlformats.org/officeDocument/2006/relationships/image" Target="../media/image29.png"/><Relationship Id="rId10" Type="http://schemas.openxmlformats.org/officeDocument/2006/relationships/image" Target="../media/image11.png"/><Relationship Id="rId19" Type="http://schemas.openxmlformats.org/officeDocument/2006/relationships/image" Target="../media/image20.png"/><Relationship Id="rId31" Type="http://schemas.openxmlformats.org/officeDocument/2006/relationships/image" Target="../media/image32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Relationship Id="rId22" Type="http://schemas.openxmlformats.org/officeDocument/2006/relationships/image" Target="../media/image23.png"/><Relationship Id="rId27" Type="http://schemas.openxmlformats.org/officeDocument/2006/relationships/image" Target="../media/image28.png"/><Relationship Id="rId30" Type="http://schemas.openxmlformats.org/officeDocument/2006/relationships/image" Target="../media/image3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6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9.jpeg"/><Relationship Id="rId1" Type="http://schemas.openxmlformats.org/officeDocument/2006/relationships/chart" Target="../charts/chart1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40.jpeg"/><Relationship Id="rId1" Type="http://schemas.openxmlformats.org/officeDocument/2006/relationships/chart" Target="../charts/chart2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13" Type="http://schemas.openxmlformats.org/officeDocument/2006/relationships/chart" Target="../charts/chart15.xml"/><Relationship Id="rId18" Type="http://schemas.openxmlformats.org/officeDocument/2006/relationships/chart" Target="../charts/chart2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12" Type="http://schemas.openxmlformats.org/officeDocument/2006/relationships/chart" Target="../charts/chart14.xml"/><Relationship Id="rId17" Type="http://schemas.openxmlformats.org/officeDocument/2006/relationships/chart" Target="../charts/chart19.xml"/><Relationship Id="rId2" Type="http://schemas.openxmlformats.org/officeDocument/2006/relationships/chart" Target="../charts/chart4.xml"/><Relationship Id="rId16" Type="http://schemas.openxmlformats.org/officeDocument/2006/relationships/chart" Target="../charts/chart18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11" Type="http://schemas.openxmlformats.org/officeDocument/2006/relationships/chart" Target="../charts/chart13.xml"/><Relationship Id="rId5" Type="http://schemas.openxmlformats.org/officeDocument/2006/relationships/chart" Target="../charts/chart7.xml"/><Relationship Id="rId15" Type="http://schemas.openxmlformats.org/officeDocument/2006/relationships/chart" Target="../charts/chart17.xml"/><Relationship Id="rId10" Type="http://schemas.openxmlformats.org/officeDocument/2006/relationships/chart" Target="../charts/chart12.xml"/><Relationship Id="rId4" Type="http://schemas.openxmlformats.org/officeDocument/2006/relationships/chart" Target="../charts/chart6.xml"/><Relationship Id="rId9" Type="http://schemas.openxmlformats.org/officeDocument/2006/relationships/chart" Target="../charts/chart11.xml"/><Relationship Id="rId14" Type="http://schemas.openxmlformats.org/officeDocument/2006/relationships/chart" Target="../charts/chart1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448734</xdr:colOff>
      <xdr:row>111</xdr:row>
      <xdr:rowOff>148167</xdr:rowOff>
    </xdr:from>
    <xdr:to>
      <xdr:col>7</xdr:col>
      <xdr:colOff>645583</xdr:colOff>
      <xdr:row>121</xdr:row>
      <xdr:rowOff>179917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6999817" y="23643167"/>
          <a:ext cx="1953683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645584</xdr:colOff>
      <xdr:row>113</xdr:row>
      <xdr:rowOff>105833</xdr:rowOff>
    </xdr:from>
    <xdr:to>
      <xdr:col>4</xdr:col>
      <xdr:colOff>2599267</xdr:colOff>
      <xdr:row>124</xdr:row>
      <xdr:rowOff>137583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2084917" y="23495000"/>
          <a:ext cx="1953683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2309814</xdr:colOff>
      <xdr:row>192</xdr:row>
      <xdr:rowOff>47625</xdr:rowOff>
    </xdr:from>
    <xdr:to>
      <xdr:col>11</xdr:col>
      <xdr:colOff>997702</xdr:colOff>
      <xdr:row>201</xdr:row>
      <xdr:rowOff>107156</xdr:rowOff>
    </xdr:to>
    <xdr:pic>
      <xdr:nvPicPr>
        <xdr:cNvPr id="202" name="Imagen 201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2" y="38111906"/>
          <a:ext cx="2616950" cy="1774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2262188</xdr:colOff>
      <xdr:row>173</xdr:row>
      <xdr:rowOff>130969</xdr:rowOff>
    </xdr:from>
    <xdr:to>
      <xdr:col>11</xdr:col>
      <xdr:colOff>992664</xdr:colOff>
      <xdr:row>186</xdr:row>
      <xdr:rowOff>47625</xdr:rowOff>
    </xdr:to>
    <xdr:pic>
      <xdr:nvPicPr>
        <xdr:cNvPr id="199" name="Imagen 198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6376" y="34551938"/>
          <a:ext cx="2659538" cy="23931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2047875</xdr:colOff>
      <xdr:row>151</xdr:row>
      <xdr:rowOff>47625</xdr:rowOff>
    </xdr:from>
    <xdr:to>
      <xdr:col>11</xdr:col>
      <xdr:colOff>1267917</xdr:colOff>
      <xdr:row>166</xdr:row>
      <xdr:rowOff>23812</xdr:rowOff>
    </xdr:to>
    <xdr:pic>
      <xdr:nvPicPr>
        <xdr:cNvPr id="197" name="Imagen 196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92063" y="29872781"/>
          <a:ext cx="3149104" cy="283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381000</xdr:colOff>
      <xdr:row>796</xdr:row>
      <xdr:rowOff>117872</xdr:rowOff>
    </xdr:from>
    <xdr:to>
      <xdr:col>11</xdr:col>
      <xdr:colOff>3464719</xdr:colOff>
      <xdr:row>803</xdr:row>
      <xdr:rowOff>64294</xdr:rowOff>
    </xdr:to>
    <xdr:pic>
      <xdr:nvPicPr>
        <xdr:cNvPr id="239" name="Imagen 238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25188" y="161042747"/>
          <a:ext cx="7012781" cy="14704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10</xdr:col>
      <xdr:colOff>2486215</xdr:colOff>
      <xdr:row>154</xdr:row>
      <xdr:rowOff>43222</xdr:rowOff>
    </xdr:from>
    <xdr:to>
      <xdr:col>10</xdr:col>
      <xdr:colOff>3221198</xdr:colOff>
      <xdr:row>159</xdr:row>
      <xdr:rowOff>98651</xdr:rowOff>
    </xdr:to>
    <xdr:sp macro="" textlink="">
      <xdr:nvSpPr>
        <xdr:cNvPr id="15" name="14 Rectángulo redondeado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13176627" y="31923957"/>
          <a:ext cx="734983" cy="1007929"/>
        </a:xfrm>
        <a:prstGeom prst="roundRect">
          <a:avLst/>
        </a:prstGeom>
        <a:noFill/>
        <a:ln w="28575">
          <a:solidFill>
            <a:srgbClr val="003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2648090</xdr:colOff>
      <xdr:row>178</xdr:row>
      <xdr:rowOff>174392</xdr:rowOff>
    </xdr:from>
    <xdr:to>
      <xdr:col>11</xdr:col>
      <xdr:colOff>743090</xdr:colOff>
      <xdr:row>180</xdr:row>
      <xdr:rowOff>62333</xdr:rowOff>
    </xdr:to>
    <xdr:sp macro="" textlink="">
      <xdr:nvSpPr>
        <xdr:cNvPr id="17" name="16 Rectángulo redondead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13292278" y="35547861"/>
          <a:ext cx="2024062" cy="268941"/>
        </a:xfrm>
        <a:prstGeom prst="roundRect">
          <a:avLst/>
        </a:prstGeom>
        <a:noFill/>
        <a:ln w="28575">
          <a:solidFill>
            <a:srgbClr val="003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3005705</xdr:colOff>
      <xdr:row>192</xdr:row>
      <xdr:rowOff>105827</xdr:rowOff>
    </xdr:from>
    <xdr:to>
      <xdr:col>11</xdr:col>
      <xdr:colOff>606524</xdr:colOff>
      <xdr:row>195</xdr:row>
      <xdr:rowOff>67540</xdr:rowOff>
    </xdr:to>
    <xdr:sp macro="" textlink="">
      <xdr:nvSpPr>
        <xdr:cNvPr id="20" name="19 Rectángulo redondeado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/>
      </xdr:nvSpPr>
      <xdr:spPr>
        <a:xfrm>
          <a:off x="13649893" y="37158077"/>
          <a:ext cx="1529881" cy="628463"/>
        </a:xfrm>
        <a:prstGeom prst="roundRect">
          <a:avLst/>
        </a:prstGeom>
        <a:noFill/>
        <a:ln w="28575">
          <a:solidFill>
            <a:srgbClr val="003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10</xdr:col>
      <xdr:colOff>108857</xdr:colOff>
      <xdr:row>439</xdr:row>
      <xdr:rowOff>130968</xdr:rowOff>
    </xdr:from>
    <xdr:to>
      <xdr:col>10</xdr:col>
      <xdr:colOff>3673571</xdr:colOff>
      <xdr:row>450</xdr:row>
      <xdr:rowOff>69110</xdr:rowOff>
    </xdr:to>
    <xdr:pic>
      <xdr:nvPicPr>
        <xdr:cNvPr id="33" name="32 Imagen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3045" y="92844937"/>
          <a:ext cx="3564714" cy="2033642"/>
        </a:xfrm>
        <a:prstGeom prst="rect">
          <a:avLst/>
        </a:prstGeom>
        <a:ln>
          <a:solidFill>
            <a:schemeClr val="bg1">
              <a:lumMod val="50000"/>
            </a:schemeClr>
          </a:solidFill>
        </a:ln>
      </xdr:spPr>
    </xdr:pic>
    <xdr:clientData/>
  </xdr:twoCellAnchor>
  <xdr:twoCellAnchor editAs="oneCell">
    <xdr:from>
      <xdr:col>10</xdr:col>
      <xdr:colOff>394607</xdr:colOff>
      <xdr:row>502</xdr:row>
      <xdr:rowOff>86474</xdr:rowOff>
    </xdr:from>
    <xdr:to>
      <xdr:col>10</xdr:col>
      <xdr:colOff>2256378</xdr:colOff>
      <xdr:row>512</xdr:row>
      <xdr:rowOff>30088</xdr:rowOff>
    </xdr:to>
    <xdr:pic>
      <xdr:nvPicPr>
        <xdr:cNvPr id="36" name="35 Imagen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117036" y="90886938"/>
          <a:ext cx="1861771" cy="1848614"/>
        </a:xfrm>
        <a:prstGeom prst="rect">
          <a:avLst/>
        </a:prstGeom>
      </xdr:spPr>
    </xdr:pic>
    <xdr:clientData/>
  </xdr:twoCellAnchor>
  <xdr:twoCellAnchor editAs="oneCell">
    <xdr:from>
      <xdr:col>10</xdr:col>
      <xdr:colOff>2716481</xdr:colOff>
      <xdr:row>502</xdr:row>
      <xdr:rowOff>13607</xdr:rowOff>
    </xdr:from>
    <xdr:to>
      <xdr:col>11</xdr:col>
      <xdr:colOff>837001</xdr:colOff>
      <xdr:row>512</xdr:row>
      <xdr:rowOff>81642</xdr:rowOff>
    </xdr:to>
    <xdr:pic>
      <xdr:nvPicPr>
        <xdr:cNvPr id="37" name="36 Imagen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3438910" y="90814071"/>
          <a:ext cx="2052984" cy="1973035"/>
        </a:xfrm>
        <a:prstGeom prst="rect">
          <a:avLst/>
        </a:prstGeom>
      </xdr:spPr>
    </xdr:pic>
    <xdr:clientData/>
  </xdr:twoCellAnchor>
  <xdr:twoCellAnchor editAs="oneCell">
    <xdr:from>
      <xdr:col>11</xdr:col>
      <xdr:colOff>1187532</xdr:colOff>
      <xdr:row>502</xdr:row>
      <xdr:rowOff>8929</xdr:rowOff>
    </xdr:from>
    <xdr:to>
      <xdr:col>11</xdr:col>
      <xdr:colOff>3265714</xdr:colOff>
      <xdr:row>512</xdr:row>
      <xdr:rowOff>13608</xdr:rowOff>
    </xdr:to>
    <xdr:pic>
      <xdr:nvPicPr>
        <xdr:cNvPr id="42" name="41 Imagen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15842425" y="90809393"/>
          <a:ext cx="2078182" cy="1909679"/>
        </a:xfrm>
        <a:prstGeom prst="rect">
          <a:avLst/>
        </a:prstGeom>
      </xdr:spPr>
    </xdr:pic>
    <xdr:clientData/>
  </xdr:twoCellAnchor>
  <xdr:twoCellAnchor>
    <xdr:from>
      <xdr:col>10</xdr:col>
      <xdr:colOff>1229745</xdr:colOff>
      <xdr:row>520</xdr:row>
      <xdr:rowOff>18710</xdr:rowOff>
    </xdr:from>
    <xdr:to>
      <xdr:col>10</xdr:col>
      <xdr:colOff>3192952</xdr:colOff>
      <xdr:row>533</xdr:row>
      <xdr:rowOff>121164</xdr:rowOff>
    </xdr:to>
    <xdr:grpSp>
      <xdr:nvGrpSpPr>
        <xdr:cNvPr id="43" name="42 Grupo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GrpSpPr/>
      </xdr:nvGrpSpPr>
      <xdr:grpSpPr>
        <a:xfrm>
          <a:off x="11873933" y="102341023"/>
          <a:ext cx="1963207" cy="2578954"/>
          <a:chOff x="12067441" y="86040058"/>
          <a:chExt cx="2930770" cy="2783601"/>
        </a:xfrm>
      </xdr:grpSpPr>
      <xdr:pic>
        <xdr:nvPicPr>
          <xdr:cNvPr id="44" name="43 Imagen">
            <a:extLst>
              <a:ext uri="{FF2B5EF4-FFF2-40B4-BE49-F238E27FC236}">
                <a16:creationId xmlns:a16="http://schemas.microsoft.com/office/drawing/2014/main" id="{00000000-0008-0000-0200-00002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tretch>
            <a:fillRect/>
          </a:stretch>
        </xdr:blipFill>
        <xdr:spPr>
          <a:xfrm>
            <a:off x="12067441" y="86040058"/>
            <a:ext cx="2894136" cy="2783601"/>
          </a:xfrm>
          <a:prstGeom prst="rect">
            <a:avLst/>
          </a:prstGeom>
        </xdr:spPr>
      </xdr:pic>
      <xdr:sp macro="" textlink="">
        <xdr:nvSpPr>
          <xdr:cNvPr id="45" name="44 Elipse">
            <a:extLst>
              <a:ext uri="{FF2B5EF4-FFF2-40B4-BE49-F238E27FC236}">
                <a16:creationId xmlns:a16="http://schemas.microsoft.com/office/drawing/2014/main" id="{00000000-0008-0000-0200-00002D000000}"/>
              </a:ext>
            </a:extLst>
          </xdr:cNvPr>
          <xdr:cNvSpPr/>
        </xdr:nvSpPr>
        <xdr:spPr>
          <a:xfrm>
            <a:off x="12433788" y="87065827"/>
            <a:ext cx="2564423" cy="133350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3702358</xdr:colOff>
      <xdr:row>519</xdr:row>
      <xdr:rowOff>93574</xdr:rowOff>
    </xdr:from>
    <xdr:to>
      <xdr:col>11</xdr:col>
      <xdr:colOff>1893093</xdr:colOff>
      <xdr:row>534</xdr:row>
      <xdr:rowOff>59531</xdr:rowOff>
    </xdr:to>
    <xdr:grpSp>
      <xdr:nvGrpSpPr>
        <xdr:cNvPr id="46" name="45 Grupo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GrpSpPr/>
      </xdr:nvGrpSpPr>
      <xdr:grpSpPr>
        <a:xfrm>
          <a:off x="14346546" y="102225387"/>
          <a:ext cx="2119797" cy="2823457"/>
          <a:chOff x="15487973" y="86137087"/>
          <a:chExt cx="2392626" cy="2538119"/>
        </a:xfrm>
      </xdr:grpSpPr>
      <xdr:pic>
        <xdr:nvPicPr>
          <xdr:cNvPr id="47" name="46 Imagen">
            <a:extLst>
              <a:ext uri="{FF2B5EF4-FFF2-40B4-BE49-F238E27FC236}">
                <a16:creationId xmlns:a16="http://schemas.microsoft.com/office/drawing/2014/main" id="{00000000-0008-0000-0200-00002F0000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 r="13376"/>
          <a:stretch/>
        </xdr:blipFill>
        <xdr:spPr>
          <a:xfrm>
            <a:off x="15487973" y="86137087"/>
            <a:ext cx="2392626" cy="2538119"/>
          </a:xfrm>
          <a:prstGeom prst="rect">
            <a:avLst/>
          </a:prstGeom>
        </xdr:spPr>
      </xdr:pic>
      <xdr:sp macro="" textlink="">
        <xdr:nvSpPr>
          <xdr:cNvPr id="48" name="47 Elipse">
            <a:extLst>
              <a:ext uri="{FF2B5EF4-FFF2-40B4-BE49-F238E27FC236}">
                <a16:creationId xmlns:a16="http://schemas.microsoft.com/office/drawing/2014/main" id="{00000000-0008-0000-0200-000030000000}"/>
              </a:ext>
            </a:extLst>
          </xdr:cNvPr>
          <xdr:cNvSpPr/>
        </xdr:nvSpPr>
        <xdr:spPr>
          <a:xfrm>
            <a:off x="15641514" y="87298825"/>
            <a:ext cx="1173774" cy="1012580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687698</xdr:colOff>
      <xdr:row>546</xdr:row>
      <xdr:rowOff>47624</xdr:rowOff>
    </xdr:from>
    <xdr:to>
      <xdr:col>11</xdr:col>
      <xdr:colOff>3250406</xdr:colOff>
      <xdr:row>574</xdr:row>
      <xdr:rowOff>184897</xdr:rowOff>
    </xdr:to>
    <xdr:grpSp>
      <xdr:nvGrpSpPr>
        <xdr:cNvPr id="49" name="48 Grupo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GrpSpPr/>
      </xdr:nvGrpSpPr>
      <xdr:grpSpPr>
        <a:xfrm>
          <a:off x="11331886" y="107322937"/>
          <a:ext cx="6491770" cy="5471273"/>
          <a:chOff x="15644132" y="86527821"/>
          <a:chExt cx="3686175" cy="2130878"/>
        </a:xfrm>
      </xdr:grpSpPr>
      <xdr:pic>
        <xdr:nvPicPr>
          <xdr:cNvPr id="50" name="49 Imagen">
            <a:extLst>
              <a:ext uri="{FF2B5EF4-FFF2-40B4-BE49-F238E27FC236}">
                <a16:creationId xmlns:a16="http://schemas.microsoft.com/office/drawing/2014/main" id="{00000000-0008-0000-0200-000032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15644132" y="86527821"/>
            <a:ext cx="3686175" cy="2101089"/>
          </a:xfrm>
          <a:prstGeom prst="rect">
            <a:avLst/>
          </a:prstGeom>
          <a:ln>
            <a:solidFill>
              <a:schemeClr val="bg1">
                <a:lumMod val="50000"/>
              </a:schemeClr>
            </a:solidFill>
          </a:ln>
        </xdr:spPr>
      </xdr:pic>
      <xdr:sp macro="" textlink="">
        <xdr:nvSpPr>
          <xdr:cNvPr id="51" name="50 Elipse">
            <a:extLst>
              <a:ext uri="{FF2B5EF4-FFF2-40B4-BE49-F238E27FC236}">
                <a16:creationId xmlns:a16="http://schemas.microsoft.com/office/drawing/2014/main" id="{00000000-0008-0000-0200-000033000000}"/>
              </a:ext>
            </a:extLst>
          </xdr:cNvPr>
          <xdr:cNvSpPr/>
        </xdr:nvSpPr>
        <xdr:spPr>
          <a:xfrm>
            <a:off x="17923758" y="88258546"/>
            <a:ext cx="990171" cy="400153"/>
          </a:xfrm>
          <a:prstGeom prst="ellipse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10</xdr:col>
      <xdr:colOff>1383318</xdr:colOff>
      <xdr:row>632</xdr:row>
      <xdr:rowOff>91847</xdr:rowOff>
    </xdr:from>
    <xdr:to>
      <xdr:col>11</xdr:col>
      <xdr:colOff>1738312</xdr:colOff>
      <xdr:row>657</xdr:row>
      <xdr:rowOff>128776</xdr:rowOff>
    </xdr:to>
    <xdr:pic>
      <xdr:nvPicPr>
        <xdr:cNvPr id="52" name="51 Imagen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027506" y="126762441"/>
          <a:ext cx="4284056" cy="4799429"/>
        </a:xfrm>
        <a:prstGeom prst="rect">
          <a:avLst/>
        </a:prstGeom>
      </xdr:spPr>
    </xdr:pic>
    <xdr:clientData/>
  </xdr:twoCellAnchor>
  <xdr:twoCellAnchor editAs="oneCell">
    <xdr:from>
      <xdr:col>10</xdr:col>
      <xdr:colOff>1181725</xdr:colOff>
      <xdr:row>605</xdr:row>
      <xdr:rowOff>32315</xdr:rowOff>
    </xdr:from>
    <xdr:to>
      <xdr:col>11</xdr:col>
      <xdr:colOff>2612942</xdr:colOff>
      <xdr:row>631</xdr:row>
      <xdr:rowOff>83342</xdr:rowOff>
    </xdr:to>
    <xdr:pic>
      <xdr:nvPicPr>
        <xdr:cNvPr id="53" name="52 Imagen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1825913" y="121368909"/>
          <a:ext cx="5360279" cy="5194527"/>
        </a:xfrm>
        <a:prstGeom prst="rect">
          <a:avLst/>
        </a:prstGeom>
      </xdr:spPr>
    </xdr:pic>
    <xdr:clientData/>
  </xdr:twoCellAnchor>
  <xdr:twoCellAnchor editAs="oneCell">
    <xdr:from>
      <xdr:col>10</xdr:col>
      <xdr:colOff>527277</xdr:colOff>
      <xdr:row>674</xdr:row>
      <xdr:rowOff>42523</xdr:rowOff>
    </xdr:from>
    <xdr:to>
      <xdr:col>11</xdr:col>
      <xdr:colOff>3190874</xdr:colOff>
      <xdr:row>688</xdr:row>
      <xdr:rowOff>20039</xdr:rowOff>
    </xdr:to>
    <xdr:pic>
      <xdr:nvPicPr>
        <xdr:cNvPr id="54" name="53 Imagen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1171465" y="134737929"/>
          <a:ext cx="6592659" cy="2775486"/>
        </a:xfrm>
        <a:prstGeom prst="rect">
          <a:avLst/>
        </a:prstGeom>
      </xdr:spPr>
    </xdr:pic>
    <xdr:clientData/>
  </xdr:twoCellAnchor>
  <xdr:twoCellAnchor>
    <xdr:from>
      <xdr:col>10</xdr:col>
      <xdr:colOff>35719</xdr:colOff>
      <xdr:row>692</xdr:row>
      <xdr:rowOff>166684</xdr:rowOff>
    </xdr:from>
    <xdr:to>
      <xdr:col>11</xdr:col>
      <xdr:colOff>3869532</xdr:colOff>
      <xdr:row>710</xdr:row>
      <xdr:rowOff>81918</xdr:rowOff>
    </xdr:to>
    <xdr:grpSp>
      <xdr:nvGrpSpPr>
        <xdr:cNvPr id="56" name="55 Grupo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GrpSpPr/>
      </xdr:nvGrpSpPr>
      <xdr:grpSpPr>
        <a:xfrm>
          <a:off x="10679907" y="136040809"/>
          <a:ext cx="7762875" cy="3344234"/>
          <a:chOff x="11881851" y="100250265"/>
          <a:chExt cx="6563585" cy="2221159"/>
        </a:xfrm>
      </xdr:grpSpPr>
      <xdr:grpSp>
        <xdr:nvGrpSpPr>
          <xdr:cNvPr id="58" name="57 Grupo">
            <a:extLst>
              <a:ext uri="{FF2B5EF4-FFF2-40B4-BE49-F238E27FC236}">
                <a16:creationId xmlns:a16="http://schemas.microsoft.com/office/drawing/2014/main" id="{00000000-0008-0000-0200-00003A000000}"/>
              </a:ext>
            </a:extLst>
          </xdr:cNvPr>
          <xdr:cNvGrpSpPr/>
        </xdr:nvGrpSpPr>
        <xdr:grpSpPr>
          <a:xfrm>
            <a:off x="11881851" y="100250265"/>
            <a:ext cx="6563585" cy="2221159"/>
            <a:chOff x="11881851" y="100250265"/>
            <a:chExt cx="6563585" cy="2221159"/>
          </a:xfrm>
        </xdr:grpSpPr>
        <xdr:grpSp>
          <xdr:nvGrpSpPr>
            <xdr:cNvPr id="62" name="61 Grupo">
              <a:extLst>
                <a:ext uri="{FF2B5EF4-FFF2-40B4-BE49-F238E27FC236}">
                  <a16:creationId xmlns:a16="http://schemas.microsoft.com/office/drawing/2014/main" id="{00000000-0008-0000-0200-00003E000000}"/>
                </a:ext>
              </a:extLst>
            </xdr:cNvPr>
            <xdr:cNvGrpSpPr/>
          </xdr:nvGrpSpPr>
          <xdr:grpSpPr>
            <a:xfrm>
              <a:off x="11881851" y="100353053"/>
              <a:ext cx="3022560" cy="2118371"/>
              <a:chOff x="11881851" y="100353053"/>
              <a:chExt cx="3022560" cy="2118371"/>
            </a:xfrm>
          </xdr:grpSpPr>
          <xdr:pic>
            <xdr:nvPicPr>
              <xdr:cNvPr id="66" name="65 Imagen">
                <a:extLst>
                  <a:ext uri="{FF2B5EF4-FFF2-40B4-BE49-F238E27FC236}">
                    <a16:creationId xmlns:a16="http://schemas.microsoft.com/office/drawing/2014/main" id="{00000000-0008-0000-0200-000042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1"/>
              <a:srcRect l="2728" t="21020" r="3149"/>
              <a:stretch/>
            </xdr:blipFill>
            <xdr:spPr>
              <a:xfrm>
                <a:off x="11881851" y="100353053"/>
                <a:ext cx="3022560" cy="2118371"/>
              </a:xfrm>
              <a:prstGeom prst="rect">
                <a:avLst/>
              </a:prstGeom>
            </xdr:spPr>
          </xdr:pic>
          <xdr:sp macro="" textlink="">
            <xdr:nvSpPr>
              <xdr:cNvPr id="67" name="66 Elipse">
                <a:extLst>
                  <a:ext uri="{FF2B5EF4-FFF2-40B4-BE49-F238E27FC236}">
                    <a16:creationId xmlns:a16="http://schemas.microsoft.com/office/drawing/2014/main" id="{00000000-0008-0000-0200-000043000000}"/>
                  </a:ext>
                </a:extLst>
              </xdr:cNvPr>
              <xdr:cNvSpPr/>
            </xdr:nvSpPr>
            <xdr:spPr>
              <a:xfrm>
                <a:off x="13254403" y="101562669"/>
                <a:ext cx="925286" cy="779793"/>
              </a:xfrm>
              <a:prstGeom prst="ellipse">
                <a:avLst/>
              </a:prstGeom>
              <a:noFill/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CO" sz="1100"/>
              </a:p>
            </xdr:txBody>
          </xdr:sp>
        </xdr:grpSp>
        <xdr:grpSp>
          <xdr:nvGrpSpPr>
            <xdr:cNvPr id="63" name="62 Grupo">
              <a:extLst>
                <a:ext uri="{FF2B5EF4-FFF2-40B4-BE49-F238E27FC236}">
                  <a16:creationId xmlns:a16="http://schemas.microsoft.com/office/drawing/2014/main" id="{00000000-0008-0000-0200-00003F000000}"/>
                </a:ext>
              </a:extLst>
            </xdr:cNvPr>
            <xdr:cNvGrpSpPr/>
          </xdr:nvGrpSpPr>
          <xdr:grpSpPr>
            <a:xfrm>
              <a:off x="15359325" y="100250265"/>
              <a:ext cx="3086111" cy="2139144"/>
              <a:chOff x="15359325" y="100250265"/>
              <a:chExt cx="3086111" cy="2139144"/>
            </a:xfrm>
          </xdr:grpSpPr>
          <xdr:pic>
            <xdr:nvPicPr>
              <xdr:cNvPr id="64" name="63 Imagen">
                <a:extLst>
                  <a:ext uri="{FF2B5EF4-FFF2-40B4-BE49-F238E27FC236}">
                    <a16:creationId xmlns:a16="http://schemas.microsoft.com/office/drawing/2014/main" id="{00000000-0008-0000-0200-00004000000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2"/>
              <a:srcRect t="9163" r="3615"/>
              <a:stretch/>
            </xdr:blipFill>
            <xdr:spPr>
              <a:xfrm>
                <a:off x="15359325" y="100250265"/>
                <a:ext cx="3086111" cy="2139144"/>
              </a:xfrm>
              <a:prstGeom prst="rect">
                <a:avLst/>
              </a:prstGeom>
            </xdr:spPr>
          </xdr:pic>
          <xdr:sp macro="" textlink="">
            <xdr:nvSpPr>
              <xdr:cNvPr id="65" name="64 Elipse">
                <a:extLst>
                  <a:ext uri="{FF2B5EF4-FFF2-40B4-BE49-F238E27FC236}">
                    <a16:creationId xmlns:a16="http://schemas.microsoft.com/office/drawing/2014/main" id="{00000000-0008-0000-0200-000041000000}"/>
                  </a:ext>
                </a:extLst>
              </xdr:cNvPr>
              <xdr:cNvSpPr/>
            </xdr:nvSpPr>
            <xdr:spPr>
              <a:xfrm>
                <a:off x="16483483" y="100514608"/>
                <a:ext cx="800729" cy="1292988"/>
              </a:xfrm>
              <a:prstGeom prst="ellipse">
                <a:avLst/>
              </a:prstGeom>
              <a:noFill/>
              <a:ln>
                <a:solidFill>
                  <a:srgbClr val="FF00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es-CO" sz="1100"/>
              </a:p>
            </xdr:txBody>
          </xdr:sp>
        </xdr:grpSp>
      </xdr:grpSp>
      <xdr:cxnSp macro="">
        <xdr:nvCxnSpPr>
          <xdr:cNvPr id="59" name="58 Conector recto de flecha">
            <a:extLst>
              <a:ext uri="{FF2B5EF4-FFF2-40B4-BE49-F238E27FC236}">
                <a16:creationId xmlns:a16="http://schemas.microsoft.com/office/drawing/2014/main" id="{00000000-0008-0000-0200-00003B000000}"/>
              </a:ext>
            </a:extLst>
          </xdr:cNvPr>
          <xdr:cNvCxnSpPr>
            <a:endCxn id="67" idx="7"/>
          </xdr:cNvCxnSpPr>
        </xdr:nvCxnSpPr>
        <xdr:spPr>
          <a:xfrm flipH="1">
            <a:off x="14044184" y="101148173"/>
            <a:ext cx="976008" cy="528694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cxnSp macro="">
        <xdr:nvCxnSpPr>
          <xdr:cNvPr id="60" name="59 Conector recto de flecha">
            <a:extLst>
              <a:ext uri="{FF2B5EF4-FFF2-40B4-BE49-F238E27FC236}">
                <a16:creationId xmlns:a16="http://schemas.microsoft.com/office/drawing/2014/main" id="{00000000-0008-0000-0200-00003C000000}"/>
              </a:ext>
            </a:extLst>
          </xdr:cNvPr>
          <xdr:cNvCxnSpPr/>
        </xdr:nvCxnSpPr>
        <xdr:spPr>
          <a:xfrm>
            <a:off x="15240000" y="101140846"/>
            <a:ext cx="1267558" cy="7327"/>
          </a:xfrm>
          <a:prstGeom prst="straightConnector1">
            <a:avLst/>
          </a:prstGeom>
          <a:ln>
            <a:solidFill>
              <a:srgbClr val="FF0000"/>
            </a:solidFill>
            <a:tailEnd type="arrow"/>
          </a:ln>
        </xdr:spPr>
        <xdr:style>
          <a:lnRef idx="3">
            <a:schemeClr val="accent2"/>
          </a:lnRef>
          <a:fillRef idx="0">
            <a:schemeClr val="accent2"/>
          </a:fillRef>
          <a:effectRef idx="2">
            <a:schemeClr val="accent2"/>
          </a:effectRef>
          <a:fontRef idx="minor">
            <a:schemeClr val="tx1"/>
          </a:fontRef>
        </xdr:style>
      </xdr:cxnSp>
      <xdr:sp macro="" textlink="">
        <xdr:nvSpPr>
          <xdr:cNvPr id="61" name="60 CuadroTexto">
            <a:extLst>
              <a:ext uri="{FF2B5EF4-FFF2-40B4-BE49-F238E27FC236}">
                <a16:creationId xmlns:a16="http://schemas.microsoft.com/office/drawing/2014/main" id="{00000000-0008-0000-0200-00003D000000}"/>
              </a:ext>
            </a:extLst>
          </xdr:cNvPr>
          <xdr:cNvSpPr txBox="1"/>
        </xdr:nvSpPr>
        <xdr:spPr>
          <a:xfrm>
            <a:off x="14968904" y="100906384"/>
            <a:ext cx="688731" cy="747348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s-CO" sz="700">
                <a:solidFill>
                  <a:srgbClr val="FF0000"/>
                </a:solidFill>
              </a:rPr>
              <a:t>Ancho tomado para cada muro: Ejemplo 0,65 para el muro de 2m de alto</a:t>
            </a:r>
          </a:p>
        </xdr:txBody>
      </xdr:sp>
    </xdr:grpSp>
    <xdr:clientData/>
  </xdr:twoCellAnchor>
  <xdr:twoCellAnchor editAs="oneCell">
    <xdr:from>
      <xdr:col>10</xdr:col>
      <xdr:colOff>573211</xdr:colOff>
      <xdr:row>742</xdr:row>
      <xdr:rowOff>11906</xdr:rowOff>
    </xdr:from>
    <xdr:to>
      <xdr:col>11</xdr:col>
      <xdr:colOff>2174885</xdr:colOff>
      <xdr:row>752</xdr:row>
      <xdr:rowOff>154782</xdr:rowOff>
    </xdr:to>
    <xdr:pic>
      <xdr:nvPicPr>
        <xdr:cNvPr id="68" name="67 Imagen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1217399" y="148971000"/>
          <a:ext cx="5530736" cy="2202656"/>
        </a:xfrm>
        <a:prstGeom prst="rect">
          <a:avLst/>
        </a:prstGeom>
      </xdr:spPr>
    </xdr:pic>
    <xdr:clientData/>
  </xdr:twoCellAnchor>
  <xdr:twoCellAnchor editAs="oneCell">
    <xdr:from>
      <xdr:col>10</xdr:col>
      <xdr:colOff>2102662</xdr:colOff>
      <xdr:row>758</xdr:row>
      <xdr:rowOff>40821</xdr:rowOff>
    </xdr:from>
    <xdr:to>
      <xdr:col>11</xdr:col>
      <xdr:colOff>1115786</xdr:colOff>
      <xdr:row>767</xdr:row>
      <xdr:rowOff>154782</xdr:rowOff>
    </xdr:to>
    <xdr:pic>
      <xdr:nvPicPr>
        <xdr:cNvPr id="69" name="Imagen 36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746850" y="152595602"/>
          <a:ext cx="2942186" cy="1959429"/>
        </a:xfrm>
        <a:prstGeom prst="rect">
          <a:avLst/>
        </a:prstGeom>
      </xdr:spPr>
    </xdr:pic>
    <xdr:clientData/>
  </xdr:twoCellAnchor>
  <xdr:twoCellAnchor>
    <xdr:from>
      <xdr:col>10</xdr:col>
      <xdr:colOff>2107260</xdr:colOff>
      <xdr:row>801</xdr:row>
      <xdr:rowOff>985</xdr:rowOff>
    </xdr:from>
    <xdr:to>
      <xdr:col>11</xdr:col>
      <xdr:colOff>2143125</xdr:colOff>
      <xdr:row>802</xdr:row>
      <xdr:rowOff>83345</xdr:rowOff>
    </xdr:to>
    <xdr:sp macro="" textlink="">
      <xdr:nvSpPr>
        <xdr:cNvPr id="73" name="72 Rectángulo redondeado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/>
      </xdr:nvSpPr>
      <xdr:spPr>
        <a:xfrm>
          <a:off x="12751448" y="161878360"/>
          <a:ext cx="3964927" cy="272860"/>
        </a:xfrm>
        <a:prstGeom prst="roundRect">
          <a:avLst/>
        </a:prstGeom>
        <a:noFill/>
        <a:ln w="28575">
          <a:solidFill>
            <a:srgbClr val="003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1089343</xdr:colOff>
      <xdr:row>815</xdr:row>
      <xdr:rowOff>11906</xdr:rowOff>
    </xdr:from>
    <xdr:to>
      <xdr:col>11</xdr:col>
      <xdr:colOff>2631280</xdr:colOff>
      <xdr:row>844</xdr:row>
      <xdr:rowOff>47624</xdr:rowOff>
    </xdr:to>
    <xdr:grpSp>
      <xdr:nvGrpSpPr>
        <xdr:cNvPr id="74" name="73 Grupo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GrpSpPr/>
      </xdr:nvGrpSpPr>
      <xdr:grpSpPr>
        <a:xfrm>
          <a:off x="11733531" y="159889031"/>
          <a:ext cx="5470999" cy="5560218"/>
          <a:chOff x="16165288" y="112381393"/>
          <a:chExt cx="3106228" cy="2286000"/>
        </a:xfrm>
      </xdr:grpSpPr>
      <xdr:pic>
        <xdr:nvPicPr>
          <xdr:cNvPr id="75" name="74 Imagen">
            <a:extLst>
              <a:ext uri="{FF2B5EF4-FFF2-40B4-BE49-F238E27FC236}">
                <a16:creationId xmlns:a16="http://schemas.microsoft.com/office/drawing/2014/main" id="{00000000-0008-0000-0200-00004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6165288" y="112381393"/>
            <a:ext cx="3106228" cy="2286000"/>
          </a:xfrm>
          <a:prstGeom prst="rect">
            <a:avLst/>
          </a:prstGeom>
        </xdr:spPr>
      </xdr:pic>
      <xdr:sp macro="" textlink="">
        <xdr:nvSpPr>
          <xdr:cNvPr id="76" name="75 Rectángulo redondeado">
            <a:extLst>
              <a:ext uri="{FF2B5EF4-FFF2-40B4-BE49-F238E27FC236}">
                <a16:creationId xmlns:a16="http://schemas.microsoft.com/office/drawing/2014/main" id="{00000000-0008-0000-0200-00004C000000}"/>
              </a:ext>
            </a:extLst>
          </xdr:cNvPr>
          <xdr:cNvSpPr/>
        </xdr:nvSpPr>
        <xdr:spPr>
          <a:xfrm>
            <a:off x="16927285" y="113020928"/>
            <a:ext cx="449035" cy="966108"/>
          </a:xfrm>
          <a:prstGeom prst="roundRect">
            <a:avLst/>
          </a:prstGeom>
          <a:noFill/>
          <a:ln w="28575">
            <a:solidFill>
              <a:srgbClr val="0033CC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10</xdr:col>
      <xdr:colOff>1006929</xdr:colOff>
      <xdr:row>859</xdr:row>
      <xdr:rowOff>149678</xdr:rowOff>
    </xdr:from>
    <xdr:to>
      <xdr:col>11</xdr:col>
      <xdr:colOff>2695195</xdr:colOff>
      <xdr:row>874</xdr:row>
      <xdr:rowOff>149678</xdr:rowOff>
    </xdr:to>
    <xdr:pic>
      <xdr:nvPicPr>
        <xdr:cNvPr id="77" name="76 Imagen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/>
        <a:srcRect t="17055"/>
        <a:stretch/>
      </xdr:blipFill>
      <xdr:spPr>
        <a:xfrm>
          <a:off x="11729358" y="129594428"/>
          <a:ext cx="5620730" cy="2857500"/>
        </a:xfrm>
        <a:prstGeom prst="rect">
          <a:avLst/>
        </a:prstGeom>
      </xdr:spPr>
    </xdr:pic>
    <xdr:clientData/>
  </xdr:twoCellAnchor>
  <xdr:twoCellAnchor>
    <xdr:from>
      <xdr:col>10</xdr:col>
      <xdr:colOff>1273968</xdr:colOff>
      <xdr:row>879</xdr:row>
      <xdr:rowOff>153082</xdr:rowOff>
    </xdr:from>
    <xdr:to>
      <xdr:col>11</xdr:col>
      <xdr:colOff>2393155</xdr:colOff>
      <xdr:row>905</xdr:row>
      <xdr:rowOff>142875</xdr:rowOff>
    </xdr:to>
    <xdr:grpSp>
      <xdr:nvGrpSpPr>
        <xdr:cNvPr id="78" name="77 Grupo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GrpSpPr/>
      </xdr:nvGrpSpPr>
      <xdr:grpSpPr>
        <a:xfrm>
          <a:off x="11918156" y="172269832"/>
          <a:ext cx="5048249" cy="5085668"/>
          <a:chOff x="16165288" y="112381393"/>
          <a:chExt cx="3106228" cy="2286000"/>
        </a:xfrm>
      </xdr:grpSpPr>
      <xdr:pic>
        <xdr:nvPicPr>
          <xdr:cNvPr id="79" name="78 Imagen">
            <a:extLst>
              <a:ext uri="{FF2B5EF4-FFF2-40B4-BE49-F238E27FC236}">
                <a16:creationId xmlns:a16="http://schemas.microsoft.com/office/drawing/2014/main" id="{00000000-0008-0000-0200-00004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/>
          <a:stretch>
            <a:fillRect/>
          </a:stretch>
        </xdr:blipFill>
        <xdr:spPr>
          <a:xfrm>
            <a:off x="16165288" y="112381393"/>
            <a:ext cx="3106228" cy="2286000"/>
          </a:xfrm>
          <a:prstGeom prst="rect">
            <a:avLst/>
          </a:prstGeom>
        </xdr:spPr>
      </xdr:pic>
      <xdr:sp macro="" textlink="">
        <xdr:nvSpPr>
          <xdr:cNvPr id="80" name="79 Rectángulo redondeado">
            <a:extLst>
              <a:ext uri="{FF2B5EF4-FFF2-40B4-BE49-F238E27FC236}">
                <a16:creationId xmlns:a16="http://schemas.microsoft.com/office/drawing/2014/main" id="{00000000-0008-0000-0200-000050000000}"/>
              </a:ext>
            </a:extLst>
          </xdr:cNvPr>
          <xdr:cNvSpPr/>
        </xdr:nvSpPr>
        <xdr:spPr>
          <a:xfrm>
            <a:off x="16859253" y="113646858"/>
            <a:ext cx="517067" cy="340178"/>
          </a:xfrm>
          <a:prstGeom prst="roundRect">
            <a:avLst/>
          </a:prstGeom>
          <a:noFill/>
          <a:ln w="28575">
            <a:solidFill>
              <a:srgbClr val="0033CC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>
    <xdr:from>
      <xdr:col>10</xdr:col>
      <xdr:colOff>3388178</xdr:colOff>
      <xdr:row>943</xdr:row>
      <xdr:rowOff>122464</xdr:rowOff>
    </xdr:from>
    <xdr:to>
      <xdr:col>11</xdr:col>
      <xdr:colOff>1428750</xdr:colOff>
      <xdr:row>952</xdr:row>
      <xdr:rowOff>95250</xdr:rowOff>
    </xdr:to>
    <xdr:grpSp>
      <xdr:nvGrpSpPr>
        <xdr:cNvPr id="81" name="80 Grupo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GrpSpPr/>
      </xdr:nvGrpSpPr>
      <xdr:grpSpPr>
        <a:xfrm>
          <a:off x="14032366" y="184597902"/>
          <a:ext cx="1969634" cy="1687286"/>
          <a:chOff x="18284310" y="122790858"/>
          <a:chExt cx="711256" cy="775607"/>
        </a:xfrm>
      </xdr:grpSpPr>
      <xdr:pic>
        <xdr:nvPicPr>
          <xdr:cNvPr id="82" name="81 Imagen">
            <a:extLst>
              <a:ext uri="{FF2B5EF4-FFF2-40B4-BE49-F238E27FC236}">
                <a16:creationId xmlns:a16="http://schemas.microsoft.com/office/drawing/2014/main" id="{00000000-0008-0000-0200-000052000000}"/>
              </a:ext>
            </a:extLst>
          </xdr:cNvPr>
          <xdr:cNvPicPr/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461" b="77734"/>
          <a:stretch/>
        </xdr:blipFill>
        <xdr:spPr bwMode="auto">
          <a:xfrm>
            <a:off x="18284310" y="122790858"/>
            <a:ext cx="684047" cy="775607"/>
          </a:xfrm>
          <a:prstGeom prst="rect">
            <a:avLst/>
          </a:prstGeom>
          <a:noFill/>
          <a:ln>
            <a:noFill/>
          </a:ln>
        </xdr:spPr>
      </xdr:pic>
      <xdr:sp macro="" textlink="">
        <xdr:nvSpPr>
          <xdr:cNvPr id="83" name="82 Rectángulo redondeado">
            <a:extLst>
              <a:ext uri="{FF2B5EF4-FFF2-40B4-BE49-F238E27FC236}">
                <a16:creationId xmlns:a16="http://schemas.microsoft.com/office/drawing/2014/main" id="{00000000-0008-0000-0200-000053000000}"/>
              </a:ext>
            </a:extLst>
          </xdr:cNvPr>
          <xdr:cNvSpPr/>
        </xdr:nvSpPr>
        <xdr:spPr>
          <a:xfrm>
            <a:off x="18478499" y="122818072"/>
            <a:ext cx="517067" cy="340178"/>
          </a:xfrm>
          <a:prstGeom prst="roundRect">
            <a:avLst/>
          </a:prstGeom>
          <a:noFill/>
          <a:ln w="2857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O" sz="1100"/>
          </a:p>
        </xdr:txBody>
      </xdr:sp>
    </xdr:grpSp>
    <xdr:clientData/>
  </xdr:twoCellAnchor>
  <xdr:twoCellAnchor editAs="oneCell">
    <xdr:from>
      <xdr:col>10</xdr:col>
      <xdr:colOff>750093</xdr:colOff>
      <xdr:row>207</xdr:row>
      <xdr:rowOff>142875</xdr:rowOff>
    </xdr:from>
    <xdr:to>
      <xdr:col>11</xdr:col>
      <xdr:colOff>2745581</xdr:colOff>
      <xdr:row>215</xdr:row>
      <xdr:rowOff>109538</xdr:rowOff>
    </xdr:to>
    <xdr:pic>
      <xdr:nvPicPr>
        <xdr:cNvPr id="165" name="Imagen 164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8707"/>
        <a:stretch/>
      </xdr:blipFill>
      <xdr:spPr bwMode="auto">
        <a:xfrm>
          <a:off x="11394281" y="40516969"/>
          <a:ext cx="5924550" cy="14906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1285874</xdr:colOff>
      <xdr:row>246</xdr:row>
      <xdr:rowOff>35718</xdr:rowOff>
    </xdr:from>
    <xdr:to>
      <xdr:col>11</xdr:col>
      <xdr:colOff>2162175</xdr:colOff>
      <xdr:row>254</xdr:row>
      <xdr:rowOff>177682</xdr:rowOff>
    </xdr:to>
    <xdr:pic>
      <xdr:nvPicPr>
        <xdr:cNvPr id="166" name="Imagen 165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3103"/>
        <a:stretch/>
      </xdr:blipFill>
      <xdr:spPr bwMode="auto">
        <a:xfrm>
          <a:off x="11930062" y="49470468"/>
          <a:ext cx="4805363" cy="16659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833438</xdr:colOff>
      <xdr:row>260</xdr:row>
      <xdr:rowOff>178596</xdr:rowOff>
    </xdr:from>
    <xdr:to>
      <xdr:col>11</xdr:col>
      <xdr:colOff>2828926</xdr:colOff>
      <xdr:row>267</xdr:row>
      <xdr:rowOff>133352</xdr:rowOff>
    </xdr:to>
    <xdr:pic>
      <xdr:nvPicPr>
        <xdr:cNvPr id="167" name="Imagen 166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314"/>
        <a:stretch/>
      </xdr:blipFill>
      <xdr:spPr bwMode="auto">
        <a:xfrm>
          <a:off x="11477626" y="52851846"/>
          <a:ext cx="5924550" cy="1288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762000</xdr:colOff>
      <xdr:row>276</xdr:row>
      <xdr:rowOff>166687</xdr:rowOff>
    </xdr:from>
    <xdr:to>
      <xdr:col>11</xdr:col>
      <xdr:colOff>2757488</xdr:colOff>
      <xdr:row>283</xdr:row>
      <xdr:rowOff>121443</xdr:rowOff>
    </xdr:to>
    <xdr:pic>
      <xdr:nvPicPr>
        <xdr:cNvPr id="168" name="Imagen 167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4314"/>
        <a:stretch/>
      </xdr:blipFill>
      <xdr:spPr bwMode="auto">
        <a:xfrm>
          <a:off x="11406188" y="56602312"/>
          <a:ext cx="5924550" cy="1288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95250</xdr:colOff>
      <xdr:row>458</xdr:row>
      <xdr:rowOff>33599</xdr:rowOff>
    </xdr:from>
    <xdr:to>
      <xdr:col>10</xdr:col>
      <xdr:colOff>3777411</xdr:colOff>
      <xdr:row>473</xdr:row>
      <xdr:rowOff>47625</xdr:rowOff>
    </xdr:to>
    <xdr:pic>
      <xdr:nvPicPr>
        <xdr:cNvPr id="225" name="Imagen 22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9438" y="93295255"/>
          <a:ext cx="3682161" cy="2871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3899369</xdr:colOff>
      <xdr:row>458</xdr:row>
      <xdr:rowOff>0</xdr:rowOff>
    </xdr:from>
    <xdr:to>
      <xdr:col>11</xdr:col>
      <xdr:colOff>3721878</xdr:colOff>
      <xdr:row>473</xdr:row>
      <xdr:rowOff>71437</xdr:rowOff>
    </xdr:to>
    <xdr:pic>
      <xdr:nvPicPr>
        <xdr:cNvPr id="227" name="Imagen 22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43557" y="93261656"/>
          <a:ext cx="3751571" cy="29289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140814</xdr:colOff>
      <xdr:row>475</xdr:row>
      <xdr:rowOff>130969</xdr:rowOff>
    </xdr:from>
    <xdr:to>
      <xdr:col>11</xdr:col>
      <xdr:colOff>128587</xdr:colOff>
      <xdr:row>493</xdr:row>
      <xdr:rowOff>119062</xdr:rowOff>
    </xdr:to>
    <xdr:pic>
      <xdr:nvPicPr>
        <xdr:cNvPr id="229" name="Imagen 228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85002" y="94154625"/>
          <a:ext cx="3916835" cy="34170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366172</xdr:colOff>
      <xdr:row>773</xdr:row>
      <xdr:rowOff>130970</xdr:rowOff>
    </xdr:from>
    <xdr:to>
      <xdr:col>11</xdr:col>
      <xdr:colOff>3764756</xdr:colOff>
      <xdr:row>786</xdr:row>
      <xdr:rowOff>154782</xdr:rowOff>
    </xdr:to>
    <xdr:pic>
      <xdr:nvPicPr>
        <xdr:cNvPr id="237" name="Imagen 23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10360" y="156269533"/>
          <a:ext cx="7327646" cy="25003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1012031</xdr:colOff>
      <xdr:row>978</xdr:row>
      <xdr:rowOff>0</xdr:rowOff>
    </xdr:from>
    <xdr:to>
      <xdr:col>11</xdr:col>
      <xdr:colOff>3932463</xdr:colOff>
      <xdr:row>980</xdr:row>
      <xdr:rowOff>50662</xdr:rowOff>
    </xdr:to>
    <xdr:pic>
      <xdr:nvPicPr>
        <xdr:cNvPr id="320" name="Imagen 319">
          <a:extLst>
            <a:ext uri="{FF2B5EF4-FFF2-40B4-BE49-F238E27FC236}">
              <a16:creationId xmlns:a16="http://schemas.microsoft.com/office/drawing/2014/main" id="{00000000-0008-0000-02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19575062"/>
          <a:ext cx="7870031" cy="441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1012031</xdr:colOff>
      <xdr:row>978</xdr:row>
      <xdr:rowOff>0</xdr:rowOff>
    </xdr:from>
    <xdr:to>
      <xdr:col>11</xdr:col>
      <xdr:colOff>3932463</xdr:colOff>
      <xdr:row>980</xdr:row>
      <xdr:rowOff>47260</xdr:rowOff>
    </xdr:to>
    <xdr:pic>
      <xdr:nvPicPr>
        <xdr:cNvPr id="321" name="Imagen 320">
          <a:extLst>
            <a:ext uri="{FF2B5EF4-FFF2-40B4-BE49-F238E27FC236}">
              <a16:creationId xmlns:a16="http://schemas.microsoft.com/office/drawing/2014/main" id="{00000000-0008-0000-02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210026251"/>
          <a:ext cx="7870031" cy="441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1012031</xdr:colOff>
      <xdr:row>978</xdr:row>
      <xdr:rowOff>0</xdr:rowOff>
    </xdr:from>
    <xdr:to>
      <xdr:col>11</xdr:col>
      <xdr:colOff>3932463</xdr:colOff>
      <xdr:row>980</xdr:row>
      <xdr:rowOff>50661</xdr:rowOff>
    </xdr:to>
    <xdr:pic>
      <xdr:nvPicPr>
        <xdr:cNvPr id="322" name="Imagen 321">
          <a:extLst>
            <a:ext uri="{FF2B5EF4-FFF2-40B4-BE49-F238E27FC236}">
              <a16:creationId xmlns:a16="http://schemas.microsoft.com/office/drawing/2014/main" id="{00000000-0008-0000-02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87999688"/>
          <a:ext cx="7870031" cy="441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1012031</xdr:colOff>
      <xdr:row>658</xdr:row>
      <xdr:rowOff>178595</xdr:rowOff>
    </xdr:from>
    <xdr:to>
      <xdr:col>11</xdr:col>
      <xdr:colOff>3932463</xdr:colOff>
      <xdr:row>661</xdr:row>
      <xdr:rowOff>48963</xdr:rowOff>
    </xdr:to>
    <xdr:pic>
      <xdr:nvPicPr>
        <xdr:cNvPr id="323" name="Imagen 322">
          <a:extLst>
            <a:ext uri="{FF2B5EF4-FFF2-40B4-BE49-F238E27FC236}">
              <a16:creationId xmlns:a16="http://schemas.microsoft.com/office/drawing/2014/main" id="{00000000-0008-0000-02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1" y="129147095"/>
          <a:ext cx="7870031" cy="441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1012032</xdr:colOff>
      <xdr:row>344</xdr:row>
      <xdr:rowOff>4524376</xdr:rowOff>
    </xdr:from>
    <xdr:to>
      <xdr:col>12</xdr:col>
      <xdr:colOff>0</xdr:colOff>
      <xdr:row>347</xdr:row>
      <xdr:rowOff>60869</xdr:rowOff>
    </xdr:to>
    <xdr:pic>
      <xdr:nvPicPr>
        <xdr:cNvPr id="325" name="Imagen 324">
          <a:extLst>
            <a:ext uri="{FF2B5EF4-FFF2-40B4-BE49-F238E27FC236}">
              <a16:creationId xmlns:a16="http://schemas.microsoft.com/office/drawing/2014/main" id="{00000000-0008-0000-02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32282" y="70318314"/>
          <a:ext cx="7870031" cy="441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1226345</xdr:colOff>
      <xdr:row>14</xdr:row>
      <xdr:rowOff>107156</xdr:rowOff>
    </xdr:from>
    <xdr:to>
      <xdr:col>11</xdr:col>
      <xdr:colOff>2428859</xdr:colOff>
      <xdr:row>30</xdr:row>
      <xdr:rowOff>166687</xdr:rowOff>
    </xdr:to>
    <xdr:pic>
      <xdr:nvPicPr>
        <xdr:cNvPr id="145" name="Imagen 14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70533" y="3059906"/>
          <a:ext cx="5131576" cy="31075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190500</xdr:colOff>
      <xdr:row>70</xdr:row>
      <xdr:rowOff>95250</xdr:rowOff>
    </xdr:from>
    <xdr:to>
      <xdr:col>10</xdr:col>
      <xdr:colOff>1986642</xdr:colOff>
      <xdr:row>83</xdr:row>
      <xdr:rowOff>79214</xdr:rowOff>
    </xdr:to>
    <xdr:pic>
      <xdr:nvPicPr>
        <xdr:cNvPr id="147" name="Imagen 146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12929" y="13716000"/>
          <a:ext cx="1796142" cy="2596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95251</xdr:colOff>
      <xdr:row>117</xdr:row>
      <xdr:rowOff>71437</xdr:rowOff>
    </xdr:from>
    <xdr:to>
      <xdr:col>10</xdr:col>
      <xdr:colOff>1317237</xdr:colOff>
      <xdr:row>126</xdr:row>
      <xdr:rowOff>119062</xdr:rowOff>
    </xdr:to>
    <xdr:pic>
      <xdr:nvPicPr>
        <xdr:cNvPr id="179" name="Imagen 178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9439" y="23145750"/>
          <a:ext cx="1221986" cy="1762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1976437</xdr:colOff>
      <xdr:row>132</xdr:row>
      <xdr:rowOff>142875</xdr:rowOff>
    </xdr:from>
    <xdr:to>
      <xdr:col>11</xdr:col>
      <xdr:colOff>1196479</xdr:colOff>
      <xdr:row>146</xdr:row>
      <xdr:rowOff>178593</xdr:rowOff>
    </xdr:to>
    <xdr:pic>
      <xdr:nvPicPr>
        <xdr:cNvPr id="195" name="Imagen 194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20625" y="26098500"/>
          <a:ext cx="3149104" cy="28336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142874</xdr:colOff>
      <xdr:row>348</xdr:row>
      <xdr:rowOff>47625</xdr:rowOff>
    </xdr:from>
    <xdr:to>
      <xdr:col>10</xdr:col>
      <xdr:colOff>3727682</xdr:colOff>
      <xdr:row>360</xdr:row>
      <xdr:rowOff>136071</xdr:rowOff>
    </xdr:to>
    <xdr:pic>
      <xdr:nvPicPr>
        <xdr:cNvPr id="209" name="Imagen 208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65303" y="69008625"/>
          <a:ext cx="3584808" cy="2374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59531</xdr:colOff>
      <xdr:row>396</xdr:row>
      <xdr:rowOff>178593</xdr:rowOff>
    </xdr:from>
    <xdr:to>
      <xdr:col>10</xdr:col>
      <xdr:colOff>2024062</xdr:colOff>
      <xdr:row>404</xdr:row>
      <xdr:rowOff>24787</xdr:rowOff>
    </xdr:to>
    <xdr:pic>
      <xdr:nvPicPr>
        <xdr:cNvPr id="266" name="Imagen 265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3719" y="81426843"/>
          <a:ext cx="1964531" cy="13701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2116930</xdr:colOff>
      <xdr:row>410</xdr:row>
      <xdr:rowOff>128588</xdr:rowOff>
    </xdr:from>
    <xdr:to>
      <xdr:col>10</xdr:col>
      <xdr:colOff>3889736</xdr:colOff>
      <xdr:row>418</xdr:row>
      <xdr:rowOff>33338</xdr:rowOff>
    </xdr:to>
    <xdr:pic>
      <xdr:nvPicPr>
        <xdr:cNvPr id="283" name="Imagen 282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1118" y="84055744"/>
          <a:ext cx="1772806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452438</xdr:colOff>
      <xdr:row>410</xdr:row>
      <xdr:rowOff>71438</xdr:rowOff>
    </xdr:from>
    <xdr:to>
      <xdr:col>10</xdr:col>
      <xdr:colOff>1583531</xdr:colOff>
      <xdr:row>418</xdr:row>
      <xdr:rowOff>178494</xdr:rowOff>
    </xdr:to>
    <xdr:pic>
      <xdr:nvPicPr>
        <xdr:cNvPr id="294" name="Imagen 293">
          <a:extLst>
            <a:ext uri="{FF2B5EF4-FFF2-40B4-BE49-F238E27FC236}">
              <a16:creationId xmlns:a16="http://schemas.microsoft.com/office/drawing/2014/main" id="{00000000-0008-0000-02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6626" y="83998594"/>
          <a:ext cx="1131093" cy="1631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1914523</xdr:colOff>
      <xdr:row>423</xdr:row>
      <xdr:rowOff>176213</xdr:rowOff>
    </xdr:from>
    <xdr:to>
      <xdr:col>10</xdr:col>
      <xdr:colOff>3687329</xdr:colOff>
      <xdr:row>430</xdr:row>
      <xdr:rowOff>116681</xdr:rowOff>
    </xdr:to>
    <xdr:pic>
      <xdr:nvPicPr>
        <xdr:cNvPr id="300" name="Imagen 299">
          <a:extLst>
            <a:ext uri="{FF2B5EF4-FFF2-40B4-BE49-F238E27FC236}">
              <a16:creationId xmlns:a16="http://schemas.microsoft.com/office/drawing/2014/main" id="{00000000-0008-0000-02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58711" y="86591776"/>
          <a:ext cx="1772806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250031</xdr:colOff>
      <xdr:row>423</xdr:row>
      <xdr:rowOff>119063</xdr:rowOff>
    </xdr:from>
    <xdr:to>
      <xdr:col>10</xdr:col>
      <xdr:colOff>1381124</xdr:colOff>
      <xdr:row>431</xdr:row>
      <xdr:rowOff>71337</xdr:rowOff>
    </xdr:to>
    <xdr:pic>
      <xdr:nvPicPr>
        <xdr:cNvPr id="302" name="Imagen 301">
          <a:extLst>
            <a:ext uri="{FF2B5EF4-FFF2-40B4-BE49-F238E27FC236}">
              <a16:creationId xmlns:a16="http://schemas.microsoft.com/office/drawing/2014/main" id="{00000000-0008-0000-02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94219" y="86534626"/>
          <a:ext cx="1131093" cy="16310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273845</xdr:colOff>
      <xdr:row>474</xdr:row>
      <xdr:rowOff>11906</xdr:rowOff>
    </xdr:from>
    <xdr:to>
      <xdr:col>11</xdr:col>
      <xdr:colOff>3742629</xdr:colOff>
      <xdr:row>494</xdr:row>
      <xdr:rowOff>188119</xdr:rowOff>
    </xdr:to>
    <xdr:pic>
      <xdr:nvPicPr>
        <xdr:cNvPr id="306" name="Imagen 305">
          <a:extLst>
            <a:ext uri="{FF2B5EF4-FFF2-40B4-BE49-F238E27FC236}">
              <a16:creationId xmlns:a16="http://schemas.microsoft.com/office/drawing/2014/main" id="{00000000-0008-0000-02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47095" y="93845062"/>
          <a:ext cx="3468784" cy="39862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3738562</xdr:colOff>
      <xdr:row>439</xdr:row>
      <xdr:rowOff>83344</xdr:rowOff>
    </xdr:from>
    <xdr:to>
      <xdr:col>11</xdr:col>
      <xdr:colOff>3811896</xdr:colOff>
      <xdr:row>457</xdr:row>
      <xdr:rowOff>0</xdr:rowOff>
    </xdr:to>
    <xdr:pic>
      <xdr:nvPicPr>
        <xdr:cNvPr id="310" name="Imagen 309">
          <a:extLst>
            <a:ext uri="{FF2B5EF4-FFF2-40B4-BE49-F238E27FC236}">
              <a16:creationId xmlns:a16="http://schemas.microsoft.com/office/drawing/2014/main" id="{00000000-0008-0000-02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0" y="89725500"/>
          <a:ext cx="4002396" cy="3345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1500187</xdr:colOff>
      <xdr:row>1047</xdr:row>
      <xdr:rowOff>83344</xdr:rowOff>
    </xdr:from>
    <xdr:to>
      <xdr:col>11</xdr:col>
      <xdr:colOff>1595438</xdr:colOff>
      <xdr:row>1064</xdr:row>
      <xdr:rowOff>139603</xdr:rowOff>
    </xdr:to>
    <xdr:pic>
      <xdr:nvPicPr>
        <xdr:cNvPr id="336" name="Imagen 335">
          <a:extLst>
            <a:ext uri="{FF2B5EF4-FFF2-40B4-BE49-F238E27FC236}">
              <a16:creationId xmlns:a16="http://schemas.microsoft.com/office/drawing/2014/main" id="{00000000-0008-0000-0200-00005001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816" r="51003" b="22407"/>
        <a:stretch/>
      </xdr:blipFill>
      <xdr:spPr bwMode="auto">
        <a:xfrm>
          <a:off x="12144375" y="273319875"/>
          <a:ext cx="4024313" cy="32947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1932214</xdr:colOff>
      <xdr:row>35</xdr:row>
      <xdr:rowOff>40822</xdr:rowOff>
    </xdr:from>
    <xdr:to>
      <xdr:col>11</xdr:col>
      <xdr:colOff>1409700</xdr:colOff>
      <xdr:row>64</xdr:row>
      <xdr:rowOff>148318</xdr:rowOff>
    </xdr:to>
    <xdr:pic>
      <xdr:nvPicPr>
        <xdr:cNvPr id="128" name="Imagen 12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4643" y="6966858"/>
          <a:ext cx="3409950" cy="5631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1012031</xdr:colOff>
      <xdr:row>954</xdr:row>
      <xdr:rowOff>0</xdr:rowOff>
    </xdr:from>
    <xdr:ext cx="7887039" cy="445270"/>
    <xdr:pic>
      <xdr:nvPicPr>
        <xdr:cNvPr id="129" name="Imagen 128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0317" y="191370857"/>
          <a:ext cx="7887039" cy="44527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1012031</xdr:colOff>
      <xdr:row>954</xdr:row>
      <xdr:rowOff>0</xdr:rowOff>
    </xdr:from>
    <xdr:ext cx="7887039" cy="441868"/>
    <xdr:pic>
      <xdr:nvPicPr>
        <xdr:cNvPr id="130" name="Imagen 129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0317" y="191370857"/>
          <a:ext cx="7887039" cy="441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1012031</xdr:colOff>
      <xdr:row>954</xdr:row>
      <xdr:rowOff>0</xdr:rowOff>
    </xdr:from>
    <xdr:ext cx="7887039" cy="445269"/>
    <xdr:pic>
      <xdr:nvPicPr>
        <xdr:cNvPr id="131" name="Imagen 130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00317" y="191370857"/>
          <a:ext cx="7887039" cy="4452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10</xdr:col>
      <xdr:colOff>503466</xdr:colOff>
      <xdr:row>221</xdr:row>
      <xdr:rowOff>210692</xdr:rowOff>
    </xdr:from>
    <xdr:to>
      <xdr:col>11</xdr:col>
      <xdr:colOff>748393</xdr:colOff>
      <xdr:row>238</xdr:row>
      <xdr:rowOff>139776</xdr:rowOff>
    </xdr:to>
    <xdr:pic>
      <xdr:nvPicPr>
        <xdr:cNvPr id="132" name="Imagen 131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0146"/>
        <a:stretch/>
      </xdr:blipFill>
      <xdr:spPr bwMode="auto">
        <a:xfrm>
          <a:off x="11225895" y="43903228"/>
          <a:ext cx="4177391" cy="3439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630464</xdr:colOff>
      <xdr:row>2</xdr:row>
      <xdr:rowOff>172357</xdr:rowOff>
    </xdr:from>
    <xdr:to>
      <xdr:col>11</xdr:col>
      <xdr:colOff>2547861</xdr:colOff>
      <xdr:row>6</xdr:row>
      <xdr:rowOff>127000</xdr:rowOff>
    </xdr:to>
    <xdr:pic>
      <xdr:nvPicPr>
        <xdr:cNvPr id="84" name="Imagen 83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15140214" y="680357"/>
          <a:ext cx="1917397" cy="7801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201706</xdr:colOff>
      <xdr:row>30</xdr:row>
      <xdr:rowOff>56030</xdr:rowOff>
    </xdr:from>
    <xdr:to>
      <xdr:col>2</xdr:col>
      <xdr:colOff>1393389</xdr:colOff>
      <xdr:row>33</xdr:row>
      <xdr:rowOff>134471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818030" y="6118412"/>
          <a:ext cx="1953683" cy="6499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235323</xdr:colOff>
      <xdr:row>30</xdr:row>
      <xdr:rowOff>134470</xdr:rowOff>
    </xdr:from>
    <xdr:to>
      <xdr:col>2</xdr:col>
      <xdr:colOff>1427006</xdr:colOff>
      <xdr:row>32</xdr:row>
      <xdr:rowOff>145676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885264" y="6566646"/>
          <a:ext cx="1953683" cy="3922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403411</xdr:colOff>
      <xdr:row>88</xdr:row>
      <xdr:rowOff>112059</xdr:rowOff>
    </xdr:from>
    <xdr:to>
      <xdr:col>1</xdr:col>
      <xdr:colOff>1628712</xdr:colOff>
      <xdr:row>93</xdr:row>
      <xdr:rowOff>121397</xdr:rowOff>
    </xdr:to>
    <xdr:pic>
      <xdr:nvPicPr>
        <xdr:cNvPr id="3" name="Imagen 2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403411" y="15419294"/>
          <a:ext cx="1953683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367393</xdr:colOff>
      <xdr:row>54</xdr:row>
      <xdr:rowOff>149678</xdr:rowOff>
    </xdr:from>
    <xdr:to>
      <xdr:col>0</xdr:col>
      <xdr:colOff>2321076</xdr:colOff>
      <xdr:row>58</xdr:row>
      <xdr:rowOff>181428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367393" y="11688535"/>
          <a:ext cx="1953683" cy="793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550333</xdr:colOff>
      <xdr:row>28</xdr:row>
      <xdr:rowOff>52917</xdr:rowOff>
    </xdr:from>
    <xdr:to>
      <xdr:col>1</xdr:col>
      <xdr:colOff>1329266</xdr:colOff>
      <xdr:row>31</xdr:row>
      <xdr:rowOff>127000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550333" y="7048500"/>
          <a:ext cx="1953683" cy="6455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713441</xdr:colOff>
      <xdr:row>67</xdr:row>
      <xdr:rowOff>173876</xdr:rowOff>
    </xdr:from>
    <xdr:to>
      <xdr:col>28</xdr:col>
      <xdr:colOff>0</xdr:colOff>
      <xdr:row>102</xdr:row>
      <xdr:rowOff>95249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179293</xdr:colOff>
      <xdr:row>43</xdr:row>
      <xdr:rowOff>56029</xdr:rowOff>
    </xdr:from>
    <xdr:to>
      <xdr:col>3</xdr:col>
      <xdr:colOff>519329</xdr:colOff>
      <xdr:row>60</xdr:row>
      <xdr:rowOff>110191</xdr:rowOff>
    </xdr:to>
    <xdr:pic>
      <xdr:nvPicPr>
        <xdr:cNvPr id="3" name="Imagen 2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179293" y="5513294"/>
          <a:ext cx="1953683" cy="6256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153148</xdr:colOff>
      <xdr:row>71</xdr:row>
      <xdr:rowOff>16995</xdr:rowOff>
    </xdr:from>
    <xdr:to>
      <xdr:col>16</xdr:col>
      <xdr:colOff>683559</xdr:colOff>
      <xdr:row>105</xdr:row>
      <xdr:rowOff>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244929</xdr:colOff>
      <xdr:row>61</xdr:row>
      <xdr:rowOff>55363</xdr:rowOff>
    </xdr:from>
    <xdr:to>
      <xdr:col>3</xdr:col>
      <xdr:colOff>369252</xdr:colOff>
      <xdr:row>64</xdr:row>
      <xdr:rowOff>165421</xdr:rowOff>
    </xdr:to>
    <xdr:pic>
      <xdr:nvPicPr>
        <xdr:cNvPr id="4" name="Imagen 3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244929" y="9212970"/>
          <a:ext cx="1757180" cy="7087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209549</xdr:colOff>
      <xdr:row>1</xdr:row>
      <xdr:rowOff>66675</xdr:rowOff>
    </xdr:from>
    <xdr:to>
      <xdr:col>8</xdr:col>
      <xdr:colOff>704850</xdr:colOff>
      <xdr:row>12</xdr:row>
      <xdr:rowOff>133350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209549</xdr:colOff>
      <xdr:row>21</xdr:row>
      <xdr:rowOff>66675</xdr:rowOff>
    </xdr:from>
    <xdr:to>
      <xdr:col>9</xdr:col>
      <xdr:colOff>0</xdr:colOff>
      <xdr:row>35</xdr:row>
      <xdr:rowOff>161925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209549</xdr:colOff>
      <xdr:row>39</xdr:row>
      <xdr:rowOff>66675</xdr:rowOff>
    </xdr:from>
    <xdr:to>
      <xdr:col>8</xdr:col>
      <xdr:colOff>809625</xdr:colOff>
      <xdr:row>53</xdr:row>
      <xdr:rowOff>161925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209549</xdr:colOff>
      <xdr:row>57</xdr:row>
      <xdr:rowOff>66675</xdr:rowOff>
    </xdr:from>
    <xdr:to>
      <xdr:col>8</xdr:col>
      <xdr:colOff>800100</xdr:colOff>
      <xdr:row>81</xdr:row>
      <xdr:rowOff>161925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209549</xdr:colOff>
      <xdr:row>85</xdr:row>
      <xdr:rowOff>66675</xdr:rowOff>
    </xdr:from>
    <xdr:to>
      <xdr:col>8</xdr:col>
      <xdr:colOff>790575</xdr:colOff>
      <xdr:row>99</xdr:row>
      <xdr:rowOff>161925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209549</xdr:colOff>
      <xdr:row>103</xdr:row>
      <xdr:rowOff>66675</xdr:rowOff>
    </xdr:from>
    <xdr:to>
      <xdr:col>8</xdr:col>
      <xdr:colOff>771525</xdr:colOff>
      <xdr:row>117</xdr:row>
      <xdr:rowOff>161925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209549</xdr:colOff>
      <xdr:row>121</xdr:row>
      <xdr:rowOff>66675</xdr:rowOff>
    </xdr:from>
    <xdr:to>
      <xdr:col>8</xdr:col>
      <xdr:colOff>771525</xdr:colOff>
      <xdr:row>135</xdr:row>
      <xdr:rowOff>161925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209549</xdr:colOff>
      <xdr:row>155</xdr:row>
      <xdr:rowOff>66675</xdr:rowOff>
    </xdr:from>
    <xdr:to>
      <xdr:col>8</xdr:col>
      <xdr:colOff>771525</xdr:colOff>
      <xdr:row>169</xdr:row>
      <xdr:rowOff>161925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F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209549</xdr:colOff>
      <xdr:row>188</xdr:row>
      <xdr:rowOff>66675</xdr:rowOff>
    </xdr:from>
    <xdr:to>
      <xdr:col>8</xdr:col>
      <xdr:colOff>762000</xdr:colOff>
      <xdr:row>202</xdr:row>
      <xdr:rowOff>161925</xdr:rowOff>
    </xdr:to>
    <xdr:graphicFrame macro="">
      <xdr:nvGraphicFramePr>
        <xdr:cNvPr id="10" name="Gráfico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209549</xdr:colOff>
      <xdr:row>224</xdr:row>
      <xdr:rowOff>66675</xdr:rowOff>
    </xdr:from>
    <xdr:to>
      <xdr:col>9</xdr:col>
      <xdr:colOff>0</xdr:colOff>
      <xdr:row>238</xdr:row>
      <xdr:rowOff>161925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257175</xdr:colOff>
      <xdr:row>0</xdr:row>
      <xdr:rowOff>161925</xdr:rowOff>
    </xdr:from>
    <xdr:to>
      <xdr:col>21</xdr:col>
      <xdr:colOff>438151</xdr:colOff>
      <xdr:row>16</xdr:row>
      <xdr:rowOff>66675</xdr:rowOff>
    </xdr:to>
    <xdr:graphicFrame macro="">
      <xdr:nvGraphicFramePr>
        <xdr:cNvPr id="14" name="Gráfico 13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14</xdr:col>
      <xdr:colOff>171450</xdr:colOff>
      <xdr:row>19</xdr:row>
      <xdr:rowOff>76200</xdr:rowOff>
    </xdr:from>
    <xdr:to>
      <xdr:col>19</xdr:col>
      <xdr:colOff>171450</xdr:colOff>
      <xdr:row>33</xdr:row>
      <xdr:rowOff>171450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14</xdr:col>
      <xdr:colOff>180975</xdr:colOff>
      <xdr:row>38</xdr:row>
      <xdr:rowOff>19050</xdr:rowOff>
    </xdr:from>
    <xdr:to>
      <xdr:col>20</xdr:col>
      <xdr:colOff>238125</xdr:colOff>
      <xdr:row>52</xdr:row>
      <xdr:rowOff>114300</xdr:rowOff>
    </xdr:to>
    <xdr:graphicFrame macro="">
      <xdr:nvGraphicFramePr>
        <xdr:cNvPr id="15" name="Gráfico 1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14</xdr:col>
      <xdr:colOff>219075</xdr:colOff>
      <xdr:row>57</xdr:row>
      <xdr:rowOff>19050</xdr:rowOff>
    </xdr:from>
    <xdr:to>
      <xdr:col>21</xdr:col>
      <xdr:colOff>400051</xdr:colOff>
      <xdr:row>81</xdr:row>
      <xdr:rowOff>114300</xdr:rowOff>
    </xdr:to>
    <xdr:graphicFrame macro="">
      <xdr:nvGraphicFramePr>
        <xdr:cNvPr id="16" name="Gráfico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14</xdr:col>
      <xdr:colOff>219074</xdr:colOff>
      <xdr:row>103</xdr:row>
      <xdr:rowOff>28575</xdr:rowOff>
    </xdr:from>
    <xdr:to>
      <xdr:col>18</xdr:col>
      <xdr:colOff>628649</xdr:colOff>
      <xdr:row>117</xdr:row>
      <xdr:rowOff>123825</xdr:rowOff>
    </xdr:to>
    <xdr:graphicFrame macro="">
      <xdr:nvGraphicFramePr>
        <xdr:cNvPr id="17" name="Gráfico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14</xdr:col>
      <xdr:colOff>142875</xdr:colOff>
      <xdr:row>120</xdr:row>
      <xdr:rowOff>171450</xdr:rowOff>
    </xdr:from>
    <xdr:to>
      <xdr:col>21</xdr:col>
      <xdr:colOff>323851</xdr:colOff>
      <xdr:row>135</xdr:row>
      <xdr:rowOff>76200</xdr:rowOff>
    </xdr:to>
    <xdr:graphicFrame macro="">
      <xdr:nvGraphicFramePr>
        <xdr:cNvPr id="18" name="Gráfico 17"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14</xdr:col>
      <xdr:colOff>161925</xdr:colOff>
      <xdr:row>155</xdr:row>
      <xdr:rowOff>28575</xdr:rowOff>
    </xdr:from>
    <xdr:to>
      <xdr:col>21</xdr:col>
      <xdr:colOff>342901</xdr:colOff>
      <xdr:row>169</xdr:row>
      <xdr:rowOff>123825</xdr:rowOff>
    </xdr:to>
    <xdr:graphicFrame macro="">
      <xdr:nvGraphicFramePr>
        <xdr:cNvPr id="19" name="Gráfico 18"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14</xdr:col>
      <xdr:colOff>114300</xdr:colOff>
      <xdr:row>188</xdr:row>
      <xdr:rowOff>66675</xdr:rowOff>
    </xdr:from>
    <xdr:to>
      <xdr:col>21</xdr:col>
      <xdr:colOff>295276</xdr:colOff>
      <xdr:row>202</xdr:row>
      <xdr:rowOff>161925</xdr:rowOff>
    </xdr:to>
    <xdr:graphicFrame macro="">
      <xdr:nvGraphicFramePr>
        <xdr:cNvPr id="20" name="Gráfico 19">
          <a:extLst>
            <a:ext uri="{FF2B5EF4-FFF2-40B4-BE49-F238E27FC236}">
              <a16:creationId xmlns:a16="http://schemas.microsoft.com/office/drawing/2014/main" id="{00000000-0008-0000-0F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486834</xdr:colOff>
      <xdr:row>34</xdr:row>
      <xdr:rowOff>95249</xdr:rowOff>
    </xdr:from>
    <xdr:to>
      <xdr:col>1</xdr:col>
      <xdr:colOff>21168</xdr:colOff>
      <xdr:row>42</xdr:row>
      <xdr:rowOff>105832</xdr:rowOff>
    </xdr:to>
    <xdr:pic>
      <xdr:nvPicPr>
        <xdr:cNvPr id="2" name="Imagen 1" descr="WhatsApp Image 2021-06-21 at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928" t="39088" r="16965" b="42902"/>
        <a:stretch>
          <a:fillRect/>
        </a:stretch>
      </xdr:blipFill>
      <xdr:spPr bwMode="auto">
        <a:xfrm>
          <a:off x="486834" y="8191499"/>
          <a:ext cx="1820334" cy="5820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V%20_%20no%20borrar\PRESUPUESTOS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ZXPREPLIEGOS%20PUENTE%20ARMADA\PRESUP\ZPREPLIEGOS%20PUENTE%20ARMADA\OBRAS%20PUENTE%20ARMADA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cuments\NEVADO-TOLIMA\EJECUCION%20DEL%20PROYECTO\ANALISIS%20DE%20PRECIOS%20UNITARIOS\APUs%20Analisis%20de%20precios%20unitarios-ABRIL%203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viteri/Mis%20documentos/jviteri/Presupuestos/a%20%20aaInformaci&#243;n%20GRUPO%204/A%20MInformes%20Mensuales/Informe%20de%20estado%20vial%20ene/aCCIDENTES%20DE%201995%20-%201996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ANTENIMIENTO%20lA%20LAGUNA%20SALILAS%20OLIVOS/PRESUPUESTO%20EXCEL/presupuesto%20bioseguridad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MANTENIMIENTO%20lA%20LAGUNA%20SALILAS%20OLIVOS/PRESUPUESTO%20EXCEL/PAGA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FORMACION%20DARIO\CONSULTORIAS\BELEN-SANPABLO\PREDIOS\PRECIO%20PREDIOS%20POR%20EJE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CA/Desktop/CONSULTORIA/Presupuesto%20Guaitarilla/Presupuesto_Guaitarilla.V.2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os\TECNO-INGENIERIA-06%20Oct.16\BELEN\Informaci&#243;n\CORDOBA%20ORDENADO\18.%20PRESUPUESTO,%20CRONOGRAMA,%20APUs\0.%20PRESUPUESTO%20DETALLADO%20CORDOB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ó&gt;_x005f_x0000__x005f_x0001__x005f_x0000__x005f_x0000__"/>
      <sheetName val="PRES"/>
      <sheetName val="CRA.MODI"/>
      <sheetName val="Base de Datos"/>
      <sheetName val="Transportes"/>
      <sheetName val="Hoja3"/>
      <sheetName val="Hoja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 DE PRECIOS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Accidentalidad"/>
      <sheetName val="Patrimonio neto personal"/>
      <sheetName val="Cálculos"/>
      <sheetName val="Causa Posible"/>
      <sheetName val="SNP7 Anclajes pasivos6j_x0000_"/>
      <sheetName val="Elementos Involucrados"/>
      <sheetName val="MYE OBRA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 refreshError="1"/>
      <sheetData sheetId="758" refreshError="1"/>
      <sheetData sheetId="759" refreshError="1"/>
      <sheetData sheetId="760" refreshError="1"/>
      <sheetData sheetId="761">
        <row r="2">
          <cell r="A2">
            <v>0</v>
          </cell>
        </row>
      </sheetData>
      <sheetData sheetId="762" refreshError="1"/>
      <sheetData sheetId="763" refreshError="1"/>
      <sheetData sheetId="764" refreshError="1"/>
      <sheetData sheetId="765" refreshError="1"/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/>
      <sheetData sheetId="799"/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/>
      <sheetData sheetId="825"/>
      <sheetData sheetId="826"/>
      <sheetData sheetId="827"/>
      <sheetData sheetId="828"/>
      <sheetData sheetId="829"/>
      <sheetData sheetId="830"/>
      <sheetData sheetId="831">
        <row r="2">
          <cell r="A2">
            <v>0</v>
          </cell>
        </row>
      </sheetData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/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/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/>
      <sheetData sheetId="902"/>
      <sheetData sheetId="903"/>
      <sheetData sheetId="904"/>
      <sheetData sheetId="905"/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/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/>
      <sheetData sheetId="913"/>
      <sheetData sheetId="914"/>
      <sheetData sheetId="915"/>
      <sheetData sheetId="916"/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/>
      <sheetData sheetId="920"/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/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/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 refreshError="1"/>
      <sheetData sheetId="1045"/>
      <sheetData sheetId="1046"/>
      <sheetData sheetId="1047" refreshError="1"/>
      <sheetData sheetId="1048">
        <row r="2">
          <cell r="B2" t="str">
            <v>Patrimonio
neto
personal</v>
          </cell>
        </row>
      </sheetData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Informe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aCCIDENTES%20DE%201995%20-%2019"/>
      <sheetName val="aCCIDENTES DE 1995 - 1996.xls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Informe"/>
      <sheetName val="Seguim-16"/>
      <sheetName val="INV"/>
      <sheetName val="AASHTO"/>
      <sheetName val="SUB APU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Res-Accide-10"/>
      <sheetName val="[aCCIDENTES DE 1995 - 1996.xls]"/>
      <sheetName val="\Users\HP\AppData\Local\Microso"/>
      <sheetName val="Lista obra"/>
      <sheetName val="\Documents and Settings\Pedro "/>
      <sheetName val="\Users\Administrador\Desktop\AM"/>
      <sheetName val="\\Escritorio\amv 2011\a  aaInfo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Users\cmeza\Documents\INVIAS\D"/>
      <sheetName val="\Documents and Settings\jviter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avargase\AppData\Local\M"/>
      <sheetName val="\Mini HP Enero 2015\Proyectos i"/>
      <sheetName val="\C\Users\avargase\AppData\Local"/>
      <sheetName val="\Volumes\USB PIOLIN\Escritorio\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  <sheetData sheetId="284" refreshError="1"/>
      <sheetData sheetId="285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\MANTENIMIENTO RUTA 1001_MARZO "/>
      <sheetName val="\I\MANTENIMIENTO RUTA 1001_MARZ"/>
      <sheetName val="\F\MANTENIMIENTO RUTA 1001_MARZ"/>
      <sheetName val="BASES"/>
      <sheetName val="CDItem"/>
      <sheetName val="APUs"/>
      <sheetName val="INSUMOS"/>
      <sheetName val="PptoGral"/>
      <sheetName val="a__aaInformación"/>
      <sheetName val="a__aaInformación1"/>
      <sheetName val="a__aaInformación2"/>
      <sheetName val="Datos"/>
      <sheetName val="Cuadrillas"/>
      <sheetName val="Jornal"/>
      <sheetName val="CONT_ADI"/>
      <sheetName val="Formulario N° 4"/>
      <sheetName val="MATERIALES"/>
      <sheetName val="EQUIPO"/>
      <sheetName val="Presupuesto"/>
      <sheetName val="ANEXO IX"/>
      <sheetName val="otros"/>
      <sheetName val="\\SERVIDOR\Public2\MANTENIMIENT"/>
      <sheetName val="INDICMICROEMP"/>
      <sheetName val="INDIC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rnales"/>
      <sheetName val="MATERIALES"/>
      <sheetName val="Materiales (2)"/>
      <sheetName val="PRESUPUESTO PEE"/>
      <sheetName val="APUs PREL-PISOS"/>
      <sheetName val="APUs METALIST.-PINTURA-PAÑETE"/>
      <sheetName val="APUs MAMP.-ESTRUCT.-CUBIERTA"/>
      <sheetName val="LOSA ALIGERADA"/>
      <sheetName val="APUs ELECT.-HIDROSANITARIO"/>
      <sheetName val="APUs APSAN-ENCH-VAR-EXT-TRANSP"/>
      <sheetName val="APUs FILTRO-RELLENO"/>
      <sheetName val="ANALISIS DISTANCIAS"/>
      <sheetName val="DIST. ESCUELAS"/>
      <sheetName val="Hoja1"/>
      <sheetName val="Hoja2"/>
      <sheetName val="APUs MURO ARMADO LIBANO"/>
      <sheetName val="APUs MURO ARMADO LIBERTAD"/>
      <sheetName val="APUs MURO GAVION LIBERTAD"/>
      <sheetName val="APUs MURO ARMADO LA TOMA"/>
      <sheetName val="APUs MURO ARMADO FALAN"/>
      <sheetName val="APUs MURO GAVION FALAN"/>
      <sheetName val="APUs MURO ARMADO HERVEO"/>
      <sheetName val="APUs MURO GAVION HERVEO"/>
    </sheetNames>
    <sheetDataSet>
      <sheetData sheetId="0">
        <row r="6">
          <cell r="C6" t="str">
            <v>Jornal Ayudante</v>
          </cell>
        </row>
        <row r="7">
          <cell r="C7" t="str">
            <v>Jornal Oficial</v>
          </cell>
        </row>
        <row r="8">
          <cell r="C8" t="str">
            <v>Jornal Maestro</v>
          </cell>
        </row>
        <row r="9">
          <cell r="C9" t="str">
            <v>Jornal Residente</v>
          </cell>
        </row>
        <row r="10">
          <cell r="C10" t="str">
            <v>Cadenero</v>
          </cell>
        </row>
        <row r="11">
          <cell r="C11" t="str">
            <v>Topografo</v>
          </cell>
        </row>
        <row r="12">
          <cell r="C12" t="str">
            <v>Retiro Horizontal Tierra</v>
          </cell>
        </row>
        <row r="13">
          <cell r="C13" t="str">
            <v>CUADRILLA (A) 1Ofic.+1Ayud.</v>
          </cell>
        </row>
        <row r="14">
          <cell r="C14" t="str">
            <v>CUADRILLA (B) 1Ofic.+2Ayud.</v>
          </cell>
        </row>
        <row r="15">
          <cell r="C15" t="str">
            <v>CUADRILLA (C) 1Ofic.+4Ayud.</v>
          </cell>
        </row>
        <row r="16">
          <cell r="C16" t="str">
            <v>CUADRILLA (D) 1Ofic.+5Ayud.</v>
          </cell>
        </row>
        <row r="17">
          <cell r="C17" t="str">
            <v>CUADRILLA (E) 2Ayud.</v>
          </cell>
        </row>
        <row r="18">
          <cell r="C18" t="str">
            <v>CUADRILLA (E) 1Ofic.</v>
          </cell>
        </row>
        <row r="19">
          <cell r="C19" t="str">
            <v>CUADRILLA (F) 1Ayud.</v>
          </cell>
        </row>
        <row r="25">
          <cell r="C25" t="str">
            <v>Andamios</v>
          </cell>
        </row>
        <row r="26">
          <cell r="C26" t="str">
            <v>Andamio Colgante</v>
          </cell>
        </row>
        <row r="27">
          <cell r="C27" t="str">
            <v>Cortadora de Ladrillo</v>
          </cell>
        </row>
        <row r="28">
          <cell r="C28" t="str">
            <v>Cercha de 3.00 Mts.</v>
          </cell>
        </row>
        <row r="29">
          <cell r="C29" t="str">
            <v>Camilla de Madera (1.40x0.70)</v>
          </cell>
        </row>
        <row r="30">
          <cell r="C30" t="str">
            <v>Camilla de Madera (1.00x0.50)</v>
          </cell>
        </row>
        <row r="31">
          <cell r="C31" t="str">
            <v>Camilla Metálica (1,20x0,75)</v>
          </cell>
        </row>
        <row r="32">
          <cell r="C32" t="str">
            <v>Camioneta / Transporte</v>
          </cell>
        </row>
        <row r="33">
          <cell r="C33" t="str">
            <v>Cinta métrica</v>
          </cell>
        </row>
        <row r="34">
          <cell r="C34" t="str">
            <v>Compresor Aire</v>
          </cell>
        </row>
        <row r="35">
          <cell r="C35" t="str">
            <v>Equino / mula</v>
          </cell>
        </row>
        <row r="36">
          <cell r="C36" t="str">
            <v>Equipo de nivelación</v>
          </cell>
        </row>
        <row r="37">
          <cell r="C37" t="str">
            <v>Estacion total</v>
          </cell>
        </row>
        <row r="38">
          <cell r="C38" t="str">
            <v>Fonclas</v>
          </cell>
        </row>
        <row r="39">
          <cell r="C39" t="str">
            <v>Formaleta Metálica Columna 30*30</v>
          </cell>
        </row>
        <row r="40">
          <cell r="C40" t="str">
            <v>Formaleta Metálica Columna 35*35</v>
          </cell>
        </row>
        <row r="41">
          <cell r="C41" t="str">
            <v>Formaleta Metálica Columna 40*30</v>
          </cell>
        </row>
        <row r="42">
          <cell r="C42" t="str">
            <v>Formaleta Muro</v>
          </cell>
        </row>
        <row r="43">
          <cell r="C43" t="str">
            <v>Formaleta Sardinel</v>
          </cell>
        </row>
        <row r="44">
          <cell r="C44" t="str">
            <v>Herramienta Menor</v>
          </cell>
        </row>
        <row r="45">
          <cell r="C45" t="str">
            <v>Hidrolavadora</v>
          </cell>
        </row>
        <row r="46">
          <cell r="C46" t="str">
            <v>Irrigador-Tanque</v>
          </cell>
        </row>
        <row r="47">
          <cell r="C47" t="str">
            <v>Jeep</v>
          </cell>
        </row>
        <row r="48">
          <cell r="C48" t="str">
            <v>Pluma Grua</v>
          </cell>
        </row>
        <row r="49">
          <cell r="C49" t="str">
            <v>Mira autonivelante</v>
          </cell>
        </row>
        <row r="50">
          <cell r="C50" t="str">
            <v>Motobomba</v>
          </cell>
        </row>
        <row r="51">
          <cell r="C51" t="str">
            <v>Motoniveladora</v>
          </cell>
        </row>
        <row r="52">
          <cell r="C52" t="str">
            <v>Mezcladora 1 Bto.</v>
          </cell>
        </row>
        <row r="53">
          <cell r="C53" t="str">
            <v>Mezcladora 2 Bto</v>
          </cell>
        </row>
        <row r="54">
          <cell r="C54" t="str">
            <v>Pulidora</v>
          </cell>
        </row>
        <row r="55">
          <cell r="C55" t="str">
            <v>Pulidora para pisos</v>
          </cell>
        </row>
        <row r="56">
          <cell r="C56" t="str">
            <v>Rana Compactadora</v>
          </cell>
        </row>
        <row r="57">
          <cell r="C57" t="str">
            <v>Retro-Excavadora (EXC.)</v>
          </cell>
        </row>
        <row r="58">
          <cell r="C58" t="str">
            <v>Retro-Excavadora (EXC.).</v>
          </cell>
        </row>
        <row r="59">
          <cell r="C59" t="str">
            <v>Soldador Eléctrico</v>
          </cell>
        </row>
        <row r="60">
          <cell r="C60" t="str">
            <v>Tijera Cortas-Largas</v>
          </cell>
        </row>
        <row r="61">
          <cell r="C61" t="str">
            <v>Taco Metálico 2.00 Mts.</v>
          </cell>
        </row>
        <row r="62">
          <cell r="C62" t="str">
            <v>Ttaladro percutor</v>
          </cell>
        </row>
        <row r="63">
          <cell r="C63" t="str">
            <v>Vibrador Elect.</v>
          </cell>
        </row>
        <row r="64">
          <cell r="C64" t="str">
            <v>VibroCompapctador</v>
          </cell>
        </row>
        <row r="65">
          <cell r="C65" t="str">
            <v>Vibrador Gas.</v>
          </cell>
        </row>
        <row r="66">
          <cell r="C66" t="str">
            <v>Viga de Madera de 10x10</v>
          </cell>
        </row>
        <row r="67">
          <cell r="C67" t="str">
            <v>Volqueta</v>
          </cell>
        </row>
        <row r="68">
          <cell r="C68" t="str">
            <v>Volqueta de 5.00 M3</v>
          </cell>
        </row>
      </sheetData>
      <sheetData sheetId="1"/>
      <sheetData sheetId="2">
        <row r="3">
          <cell r="B3" t="str">
            <v>Accesorio Gres Ø 3"</v>
          </cell>
        </row>
        <row r="4">
          <cell r="B4" t="str">
            <v>Abrazadera metálica 3/4"</v>
          </cell>
        </row>
        <row r="5">
          <cell r="B5" t="str">
            <v>Abrazadera metálica  1 1/4"</v>
          </cell>
        </row>
        <row r="6">
          <cell r="B6" t="str">
            <v>Abrazadera metálica 1 1/2"</v>
          </cell>
        </row>
        <row r="7">
          <cell r="B7" t="str">
            <v>Accesorio Gres Ø 4"</v>
          </cell>
        </row>
        <row r="8">
          <cell r="B8" t="str">
            <v>Accesorio Gres Ø 6"</v>
          </cell>
        </row>
        <row r="9">
          <cell r="B9" t="str">
            <v>Accesorio Gres Ø 8"</v>
          </cell>
        </row>
        <row r="10">
          <cell r="B10" t="str">
            <v>Accesorio Gres Yee Ø 8"</v>
          </cell>
        </row>
        <row r="11">
          <cell r="B11" t="str">
            <v>Accesorios PVC</v>
          </cell>
        </row>
        <row r="12">
          <cell r="B12" t="str">
            <v>ACERO DE REFUERZO</v>
          </cell>
        </row>
        <row r="13">
          <cell r="B13" t="str">
            <v>Acido Muriatico</v>
          </cell>
        </row>
        <row r="14">
          <cell r="B14" t="str">
            <v>Acido Nitrico</v>
          </cell>
        </row>
        <row r="15">
          <cell r="B15" t="str">
            <v>Acido Oxalico</v>
          </cell>
        </row>
        <row r="16">
          <cell r="B16" t="str">
            <v>Acople Flexible Sanitario</v>
          </cell>
        </row>
        <row r="17">
          <cell r="B17" t="str">
            <v>Adapatador EMT 1/2</v>
          </cell>
        </row>
        <row r="18">
          <cell r="B18" t="str">
            <v>Adapatador EMT 3/4</v>
          </cell>
        </row>
        <row r="19">
          <cell r="B19" t="str">
            <v>Adapt. Limpieza PVC-S Ø 3"</v>
          </cell>
        </row>
        <row r="20">
          <cell r="B20" t="str">
            <v>Adapt. Limpieza PVC-S Ø 4"</v>
          </cell>
        </row>
        <row r="21">
          <cell r="B21" t="str">
            <v>Adaptador Hembra PVC ½"</v>
          </cell>
        </row>
        <row r="22">
          <cell r="B22" t="str">
            <v>Adaptador Hembra PVC ½"x¼"</v>
          </cell>
        </row>
        <row r="23">
          <cell r="B23" t="str">
            <v>Adaptador Hembra PVC ½"x3/8"</v>
          </cell>
        </row>
        <row r="24">
          <cell r="B24" t="str">
            <v>Adaptador Hembra PVC 3/4"</v>
          </cell>
        </row>
        <row r="25">
          <cell r="B25" t="str">
            <v>Adaptador Macho PVC ½" Manguera</v>
          </cell>
        </row>
        <row r="26">
          <cell r="B26" t="str">
            <v>Adaptador Macho PVC 3/4"</v>
          </cell>
        </row>
        <row r="27">
          <cell r="B27" t="str">
            <v>Adpatador Macho PVC ½"</v>
          </cell>
        </row>
        <row r="28">
          <cell r="B28" t="str">
            <v>Adaptador Macho PVC  1"</v>
          </cell>
        </row>
        <row r="29">
          <cell r="B29" t="str">
            <v>Adhesivo ep+oxico Red Head</v>
          </cell>
        </row>
        <row r="30">
          <cell r="B30" t="str">
            <v>Agua Potable</v>
          </cell>
        </row>
        <row r="31">
          <cell r="B31" t="str">
            <v>Alambre Elect. AWG Desnudo</v>
          </cell>
        </row>
        <row r="32">
          <cell r="B32" t="str">
            <v>Alambre Elect. AWG No.8</v>
          </cell>
        </row>
        <row r="33">
          <cell r="B33" t="str">
            <v>Alambre Elect. AWG No.10</v>
          </cell>
        </row>
        <row r="34">
          <cell r="B34" t="str">
            <v>Alambre Elect. AWG No.12</v>
          </cell>
        </row>
        <row r="35">
          <cell r="B35" t="str">
            <v>Alambre Elect. AWG No.14</v>
          </cell>
        </row>
        <row r="36">
          <cell r="B36" t="str">
            <v>Alambre Elect. AWG No.8</v>
          </cell>
        </row>
        <row r="37">
          <cell r="B37" t="str">
            <v>Alambre Negro No.18</v>
          </cell>
        </row>
        <row r="38">
          <cell r="B38" t="str">
            <v>ALAMBRE GALVANIZADO  No. 10</v>
          </cell>
        </row>
        <row r="39">
          <cell r="B39" t="str">
            <v>Amarres Tejas</v>
          </cell>
        </row>
        <row r="40">
          <cell r="B40" t="str">
            <v>Angulo  21/2"x3/16</v>
          </cell>
        </row>
        <row r="41">
          <cell r="B41" t="str">
            <v>Angulo  2"x1/4</v>
          </cell>
        </row>
        <row r="42">
          <cell r="B42" t="str">
            <v>Angulo &lt; 1¼"x1¼"x3/16</v>
          </cell>
        </row>
        <row r="43">
          <cell r="B43" t="str">
            <v>Angulo &lt; 1¼"x1¼"x3/16</v>
          </cell>
        </row>
        <row r="44">
          <cell r="B44" t="str">
            <v>Anticorrosivo</v>
          </cell>
        </row>
        <row r="45">
          <cell r="B45" t="str">
            <v>Arena Blanca Vergel</v>
          </cell>
        </row>
        <row r="46">
          <cell r="B46" t="str">
            <v>Arena de Peñon</v>
          </cell>
        </row>
        <row r="47">
          <cell r="B47" t="str">
            <v>Arena de Rio</v>
          </cell>
        </row>
        <row r="48">
          <cell r="B48" t="str">
            <v>Arena Negra</v>
          </cell>
        </row>
        <row r="49">
          <cell r="B49" t="str">
            <v>ARO Y TAPA POZO INSPECCION EN HF LIVIANO</v>
          </cell>
        </row>
        <row r="50">
          <cell r="B50" t="str">
            <v>Asflato 190</v>
          </cell>
        </row>
        <row r="51">
          <cell r="B51" t="str">
            <v>Asfalto Planta</v>
          </cell>
        </row>
        <row r="52">
          <cell r="B52" t="str">
            <v>Automaticos</v>
          </cell>
        </row>
        <row r="53">
          <cell r="B53" t="str">
            <v>Automaticos 15 AMP.</v>
          </cell>
        </row>
        <row r="54">
          <cell r="B54" t="str">
            <v>Automaticos 20 AMP.</v>
          </cell>
        </row>
        <row r="55">
          <cell r="B55" t="str">
            <v>Automaticos 30 AMP.</v>
          </cell>
        </row>
        <row r="56">
          <cell r="B56" t="str">
            <v>Bajante Tipo Amazonas X 3</v>
          </cell>
        </row>
        <row r="57">
          <cell r="B57" t="str">
            <v>Bajante A.LL. PVC Ø 3"</v>
          </cell>
        </row>
        <row r="58">
          <cell r="B58" t="str">
            <v>Bajante A.LL. PVC Ø 4"</v>
          </cell>
        </row>
        <row r="59">
          <cell r="B59" t="str">
            <v>Bajantes A.N. PVC Ø 3"</v>
          </cell>
        </row>
        <row r="60">
          <cell r="B60" t="str">
            <v>Bajantes A.N. PVC Ø 4"</v>
          </cell>
        </row>
        <row r="61">
          <cell r="B61" t="str">
            <v>Baldosin de cemento</v>
          </cell>
        </row>
        <row r="62">
          <cell r="B62" t="str">
            <v>Baranda Metálica</v>
          </cell>
        </row>
        <row r="63">
          <cell r="B63" t="str">
            <v>Bisagra de 3"</v>
          </cell>
        </row>
        <row r="64">
          <cell r="B64" t="str">
            <v>Blanco de Zinc</v>
          </cell>
        </row>
        <row r="65">
          <cell r="B65" t="str">
            <v>Bloque Cemento 12x20x40</v>
          </cell>
        </row>
        <row r="66">
          <cell r="B66" t="str">
            <v>Bloque Cemento 15x20x40</v>
          </cell>
        </row>
        <row r="67">
          <cell r="B67" t="str">
            <v>Bloque Cemento 20x20x40</v>
          </cell>
        </row>
        <row r="68">
          <cell r="B68" t="str">
            <v>Bloque Estructural</v>
          </cell>
        </row>
        <row r="69">
          <cell r="B69" t="str">
            <v>Bloque Estructural</v>
          </cell>
        </row>
        <row r="70">
          <cell r="B70" t="str">
            <v>Bloque G. No-4  9x23x33 TS</v>
          </cell>
        </row>
        <row r="71">
          <cell r="B71" t="str">
            <v>Bloque G. No-5  11.5x23x33 TS</v>
          </cell>
        </row>
        <row r="72">
          <cell r="B72" t="str">
            <v>Bloque Gres No. 5</v>
          </cell>
        </row>
        <row r="73">
          <cell r="B73" t="str">
            <v>Bloque Gres No. 6</v>
          </cell>
        </row>
        <row r="74">
          <cell r="B74" t="str">
            <v>Bloquelón Gres 80*23*8</v>
          </cell>
        </row>
        <row r="75">
          <cell r="B75" t="str">
            <v>Bombillo</v>
          </cell>
        </row>
        <row r="76">
          <cell r="B76" t="str">
            <v>Boquillas 1"</v>
          </cell>
        </row>
        <row r="77">
          <cell r="B77" t="str">
            <v>Boquillas 1¼"</v>
          </cell>
        </row>
        <row r="78">
          <cell r="B78" t="str">
            <v>Breaker</v>
          </cell>
        </row>
        <row r="79">
          <cell r="B79" t="str">
            <v>Breaker</v>
          </cell>
        </row>
        <row r="80">
          <cell r="B80" t="str">
            <v>Breaker Atornillado 2x30</v>
          </cell>
        </row>
        <row r="81">
          <cell r="B81" t="str">
            <v>BREAKER INDUSTRIAL 3X50 AMP</v>
          </cell>
        </row>
        <row r="82">
          <cell r="B82" t="str">
            <v>Brocha</v>
          </cell>
        </row>
        <row r="83">
          <cell r="B83" t="str">
            <v>BROCA TUGSTENO 5/8</v>
          </cell>
        </row>
        <row r="84">
          <cell r="B84" t="str">
            <v>Bto. Alambre Pua (14x10)</v>
          </cell>
        </row>
        <row r="85">
          <cell r="B85" t="str">
            <v>Buje Roscado PVC 3/4"x1/2"</v>
          </cell>
        </row>
        <row r="86">
          <cell r="B86" t="str">
            <v>Buje Soldado PVC 3/4"x1/2"</v>
          </cell>
        </row>
        <row r="87">
          <cell r="B87" t="str">
            <v>Buje Soldado PVC-S   Ø 6"x4"</v>
          </cell>
        </row>
        <row r="88">
          <cell r="B88" t="str">
            <v>Buje Soldado PVC-S  Ø 3"x2"</v>
          </cell>
        </row>
        <row r="89">
          <cell r="B89" t="str">
            <v>Buje Soldado PVC-S  Ø 4"x2"</v>
          </cell>
        </row>
        <row r="90">
          <cell r="B90" t="str">
            <v>Buje Soldado PVC-S  Ø 4"x3"</v>
          </cell>
        </row>
        <row r="91">
          <cell r="B91" t="str">
            <v>Caballete Articulado</v>
          </cell>
        </row>
        <row r="92">
          <cell r="B92" t="str">
            <v>Caballete Fijo</v>
          </cell>
        </row>
        <row r="93">
          <cell r="B93" t="str">
            <v>Caballete Trapezoidal Acesco</v>
          </cell>
        </row>
        <row r="94">
          <cell r="B94" t="str">
            <v>Cable Antifraude Monofa. 1No.8+1No.10</v>
          </cell>
        </row>
        <row r="95">
          <cell r="B95" t="str">
            <v>Cable Antifraude Trifilar 2No.8+1No.10</v>
          </cell>
        </row>
        <row r="96">
          <cell r="B96" t="str">
            <v>Cable Antifraude Trifilar 2No.10+1No.10</v>
          </cell>
        </row>
        <row r="97">
          <cell r="B97" t="str">
            <v>Cable AntifraudeTrifasico 3No 4.+1No.6</v>
          </cell>
        </row>
        <row r="98">
          <cell r="B98" t="str">
            <v>Cable AntifraudeTrifasico 3No 6.+1No.8</v>
          </cell>
        </row>
        <row r="99">
          <cell r="B99" t="str">
            <v>Cable AntifraudeTrifasico 3No.8+1No.10</v>
          </cell>
        </row>
        <row r="100">
          <cell r="B100" t="str">
            <v>Cable Coaxial  RG59</v>
          </cell>
        </row>
        <row r="101">
          <cell r="B101" t="str">
            <v>Cable Coaxial  RG6</v>
          </cell>
        </row>
        <row r="102">
          <cell r="B102" t="str">
            <v>Cable desnudo 12</v>
          </cell>
        </row>
        <row r="103">
          <cell r="B103" t="str">
            <v>Cable desnudo 8</v>
          </cell>
        </row>
        <row r="104">
          <cell r="B104" t="str">
            <v>Cable desnudo 10</v>
          </cell>
        </row>
        <row r="105">
          <cell r="B105" t="str">
            <v>Cable desnudo 2/0</v>
          </cell>
        </row>
        <row r="106">
          <cell r="B106" t="str">
            <v>Cable Elect. AWG No.10</v>
          </cell>
        </row>
        <row r="107">
          <cell r="B107" t="str">
            <v>Cable Elect. AWG No.8</v>
          </cell>
        </row>
        <row r="108">
          <cell r="B108" t="str">
            <v>Cable Elect. AWG No.6</v>
          </cell>
        </row>
        <row r="109">
          <cell r="B109" t="str">
            <v>Cable encauchetado 2#10</v>
          </cell>
        </row>
        <row r="110">
          <cell r="B110" t="str">
            <v>Cable Telefonico Triplex 22</v>
          </cell>
        </row>
        <row r="111">
          <cell r="B111" t="str">
            <v>Caja  Tablero 24 Circuitos</v>
          </cell>
        </row>
        <row r="112">
          <cell r="B112" t="str">
            <v>Caja  Tablero 18 Circuitos</v>
          </cell>
        </row>
        <row r="113">
          <cell r="B113" t="str">
            <v>Caja  Tablero 12 Circuitos</v>
          </cell>
        </row>
        <row r="114">
          <cell r="B114" t="str">
            <v>Caja  Tablero 2 Circuitos</v>
          </cell>
        </row>
        <row r="115">
          <cell r="B115" t="str">
            <v>Caja  Tablero 4 Circuitos</v>
          </cell>
        </row>
        <row r="116">
          <cell r="B116" t="str">
            <v>Caja  Tablero 6 Circuitos</v>
          </cell>
        </row>
        <row r="117">
          <cell r="B117" t="str">
            <v>Caja  Tablero 9 Circuitos</v>
          </cell>
        </row>
        <row r="118">
          <cell r="B118" t="str">
            <v>Caja Contador Monf. Antifraude</v>
          </cell>
        </row>
        <row r="119">
          <cell r="B119" t="str">
            <v>Caja Contador Tapa Met.</v>
          </cell>
        </row>
        <row r="120">
          <cell r="B120" t="str">
            <v>Caja de Empalme</v>
          </cell>
        </row>
        <row r="121">
          <cell r="B121" t="str">
            <v>Caja Metálica de 50x30 Trifilar</v>
          </cell>
        </row>
        <row r="122">
          <cell r="B122" t="str">
            <v>Cajas de 2x4</v>
          </cell>
        </row>
        <row r="123">
          <cell r="B123" t="str">
            <v>Cajas de 4x4</v>
          </cell>
        </row>
        <row r="124">
          <cell r="B124" t="str">
            <v>Cajas de distribucion  20  x  20</v>
          </cell>
        </row>
        <row r="125">
          <cell r="B125" t="str">
            <v>Cajas Octogonales</v>
          </cell>
        </row>
        <row r="126">
          <cell r="B126" t="str">
            <v>Caja rawel 1/2</v>
          </cell>
        </row>
        <row r="127">
          <cell r="B127" t="str">
            <v>Caja rawel 3/4</v>
          </cell>
        </row>
        <row r="128">
          <cell r="B128" t="str">
            <v>Caja totalizador</v>
          </cell>
        </row>
        <row r="129">
          <cell r="B129" t="str">
            <v>Cal Hidratada 10 Kgs</v>
          </cell>
        </row>
        <row r="130">
          <cell r="B130" t="str">
            <v>Calado en concreto</v>
          </cell>
        </row>
        <row r="131">
          <cell r="B131" t="str">
            <v>Canal  en PVC amazonas x 3</v>
          </cell>
        </row>
        <row r="132">
          <cell r="B132" t="str">
            <v>Canal en Lámina Cal.26 de 10x20</v>
          </cell>
        </row>
        <row r="133">
          <cell r="B133" t="str">
            <v>Canaleta 90-6.00</v>
          </cell>
        </row>
        <row r="134">
          <cell r="B134" t="str">
            <v>Canaleta 90-9.00</v>
          </cell>
        </row>
        <row r="135">
          <cell r="B135" t="str">
            <v>Cancho Teja</v>
          </cell>
        </row>
        <row r="136">
          <cell r="B136" t="str">
            <v>Cantonera</v>
          </cell>
        </row>
        <row r="137">
          <cell r="B137" t="str">
            <v>Capacetes de 1"</v>
          </cell>
        </row>
        <row r="138">
          <cell r="B138" t="str">
            <v>Caramica Mayolica</v>
          </cell>
        </row>
        <row r="139">
          <cell r="B139" t="str">
            <v>Carpeta Asfaltica e= 2,00+Imprimac.</v>
          </cell>
        </row>
        <row r="140">
          <cell r="B140" t="str">
            <v>Carpeta Asfaltica e=4"+Imprimac.</v>
          </cell>
        </row>
        <row r="141">
          <cell r="B141" t="str">
            <v>Casetón de Guadua</v>
          </cell>
        </row>
        <row r="142">
          <cell r="B142" t="str">
            <v>Celocia Gres 20x20</v>
          </cell>
        </row>
        <row r="143">
          <cell r="B143" t="str">
            <v>Cemento Blanco</v>
          </cell>
        </row>
        <row r="144">
          <cell r="B144" t="str">
            <v>Cemento Gris</v>
          </cell>
        </row>
        <row r="145">
          <cell r="B145" t="str">
            <v>Cepillera Acuacer</v>
          </cell>
        </row>
        <row r="146">
          <cell r="B146" t="str">
            <v>Cepillo cerda dura</v>
          </cell>
        </row>
        <row r="147">
          <cell r="B147" t="str">
            <v>Cera para pisos</v>
          </cell>
        </row>
        <row r="148">
          <cell r="B148" t="str">
            <v>Céramica 20.5x20.5 Pared Portugal</v>
          </cell>
        </row>
        <row r="149">
          <cell r="B149" t="str">
            <v>Ceramica Mármol Suave 30x30</v>
          </cell>
        </row>
        <row r="150">
          <cell r="B150" t="str">
            <v>Ceramica Oporto Verde 33x33</v>
          </cell>
        </row>
        <row r="151">
          <cell r="B151" t="str">
            <v>Cercha Metalica 2 Ø 3/8"-1 ½"-C 3/8"</v>
          </cell>
        </row>
        <row r="152">
          <cell r="B152" t="str">
            <v>Cercha Metalica 3 Ø 1/2"-Cel 3/8"</v>
          </cell>
        </row>
        <row r="153">
          <cell r="B153" t="str">
            <v>Cerco Cepillado de 4x8</v>
          </cell>
        </row>
        <row r="154">
          <cell r="B154" t="str">
            <v>Cerco de 4.5x9</v>
          </cell>
        </row>
        <row r="155">
          <cell r="B155" t="str">
            <v>Cérmica 20.5x20.5 Lorca Piso</v>
          </cell>
        </row>
        <row r="156">
          <cell r="B156" t="str">
            <v>Cerradura</v>
          </cell>
        </row>
        <row r="157">
          <cell r="B157" t="str">
            <v>Cerradura Puerta Alcoba INAFER</v>
          </cell>
        </row>
        <row r="158">
          <cell r="B158" t="str">
            <v>Cerradura Puerta W.C. INAFER</v>
          </cell>
        </row>
        <row r="159">
          <cell r="B159" t="str">
            <v>Cerradura Seguridad P-Acceso</v>
          </cell>
        </row>
        <row r="160">
          <cell r="B160" t="str">
            <v>Cerramiento en malla eslabonada cal. 10 h=2</v>
          </cell>
        </row>
        <row r="161">
          <cell r="B161" t="str">
            <v>Chazo plástico  1/4"</v>
          </cell>
        </row>
        <row r="162">
          <cell r="B162" t="str">
            <v>Cheque R.W. 1/2"</v>
          </cell>
        </row>
        <row r="163">
          <cell r="B163" t="str">
            <v>Cheque R.W. 3/4"</v>
          </cell>
        </row>
        <row r="164">
          <cell r="B164" t="str">
            <v>Cheque  ½"</v>
          </cell>
        </row>
        <row r="165">
          <cell r="B165" t="str">
            <v>Cheque vertical 1"</v>
          </cell>
        </row>
        <row r="166">
          <cell r="B166" t="str">
            <v>Cinta AislanteX20</v>
          </cell>
        </row>
        <row r="167">
          <cell r="B167" t="str">
            <v>Cloro</v>
          </cell>
        </row>
        <row r="168">
          <cell r="B168" t="str">
            <v>Closets en Madera</v>
          </cell>
        </row>
        <row r="169">
          <cell r="B169" t="str">
            <v>Codo 45º  CxC PVC-S Ø 2"</v>
          </cell>
        </row>
        <row r="170">
          <cell r="B170" t="str">
            <v>Codo 45º  CxC PVC-S Ø 4"</v>
          </cell>
        </row>
        <row r="171">
          <cell r="B171" t="str">
            <v>Codo 45º  CxC PVC-S Ø 4"</v>
          </cell>
        </row>
        <row r="172">
          <cell r="B172" t="str">
            <v>Codo 90º  CxC PVC-S  Ø 6"</v>
          </cell>
        </row>
        <row r="173">
          <cell r="B173" t="str">
            <v>Codo 90º  CxC PVC-S Ø 2"</v>
          </cell>
        </row>
        <row r="174">
          <cell r="B174" t="str">
            <v>Codo 90º  CxC PVC-S Ø 3"</v>
          </cell>
        </row>
        <row r="175">
          <cell r="B175" t="str">
            <v>Codo 90º  CxC PVC-S Ø 4"</v>
          </cell>
        </row>
        <row r="176">
          <cell r="B176" t="str">
            <v>Codo 90º  CxC PVC-S Ø 6"</v>
          </cell>
        </row>
        <row r="177">
          <cell r="B177" t="str">
            <v>Codo PVC ½"</v>
          </cell>
        </row>
        <row r="178">
          <cell r="B178" t="str">
            <v>Codo PVC 3/4"</v>
          </cell>
        </row>
        <row r="179">
          <cell r="B179" t="str">
            <v>Codo HG ½"</v>
          </cell>
        </row>
        <row r="180">
          <cell r="B180" t="str">
            <v>Codo HG 3/4"</v>
          </cell>
        </row>
        <row r="181">
          <cell r="B181" t="str">
            <v>Collar Derivación 2"x1/2"</v>
          </cell>
        </row>
        <row r="182">
          <cell r="B182" t="str">
            <v>Collar Derivación 4"x1/2"</v>
          </cell>
        </row>
        <row r="183">
          <cell r="B183" t="str">
            <v>Colorante</v>
          </cell>
        </row>
        <row r="184">
          <cell r="B184" t="str">
            <v xml:space="preserve">Colorplast </v>
          </cell>
        </row>
        <row r="185">
          <cell r="B185" t="str">
            <v>CONCRETO 1,500 PSI P.O (105 Kg/Cm²)</v>
          </cell>
        </row>
        <row r="186">
          <cell r="B186" t="str">
            <v>CONCRETO 2,000 PSI P.O (140 Kg/Cm²)</v>
          </cell>
        </row>
        <row r="187">
          <cell r="B187" t="str">
            <v>CONCRETO 2,500 PSI P.O (175 Kg/Cm²)</v>
          </cell>
        </row>
        <row r="188">
          <cell r="B188" t="str">
            <v>CONCRETO 3.000 PSI IMPERMEAB.</v>
          </cell>
        </row>
        <row r="189">
          <cell r="B189" t="str">
            <v>CONCRETO 3.000 PSI P.O (210 Kg/Cm²)</v>
          </cell>
        </row>
        <row r="190">
          <cell r="B190" t="str">
            <v>CONCRETO 3.500 PSI P.O (245 Kg/Cm²)</v>
          </cell>
        </row>
        <row r="191">
          <cell r="B191" t="str">
            <v>CONCRETO 4.000 PSI P.O (280 Kg/Cm²)</v>
          </cell>
        </row>
        <row r="192">
          <cell r="B192" t="str">
            <v>Conduleta 1"</v>
          </cell>
        </row>
        <row r="193">
          <cell r="B193" t="str">
            <v>Conectores Bimetalicos</v>
          </cell>
        </row>
        <row r="194">
          <cell r="B194" t="str">
            <v>Conector de cobre CW 5/8</v>
          </cell>
        </row>
        <row r="195">
          <cell r="B195" t="str">
            <v>Contador Agua Kent Volum.</v>
          </cell>
        </row>
        <row r="196">
          <cell r="B196" t="str">
            <v>Contador Agua Tavira Veloc.</v>
          </cell>
        </row>
        <row r="197">
          <cell r="B197" t="str">
            <v>Contador Monofasico 15 AMP.</v>
          </cell>
        </row>
        <row r="198">
          <cell r="B198" t="str">
            <v>Contador Trifilar 15 AMP.</v>
          </cell>
        </row>
        <row r="199">
          <cell r="B199" t="str">
            <v>Contador Trifilar 20 AMP.</v>
          </cell>
        </row>
        <row r="200">
          <cell r="B200" t="str">
            <v>Contador Trifilar 30 AMP.</v>
          </cell>
        </row>
        <row r="201">
          <cell r="B201" t="str">
            <v>Corpalaza Cal.18</v>
          </cell>
        </row>
        <row r="202">
          <cell r="B202" t="str">
            <v>Corpaloza Cal.20</v>
          </cell>
        </row>
        <row r="203">
          <cell r="B203" t="str">
            <v>Corpaloza Cal.22</v>
          </cell>
        </row>
        <row r="204">
          <cell r="B204" t="str">
            <v>Correa Metálica Doble de 10X4</v>
          </cell>
        </row>
        <row r="205">
          <cell r="B205" t="str">
            <v>Correa Metalica Sencilla de 4x10</v>
          </cell>
        </row>
        <row r="206">
          <cell r="B206" t="str">
            <v>Cuartón 2x4 x 2.9</v>
          </cell>
        </row>
        <row r="207">
          <cell r="B207" t="str">
            <v>Curva Conduit Electrica 1¼"</v>
          </cell>
        </row>
        <row r="208">
          <cell r="B208" t="str">
            <v>Curva Conduit Electrica 1½"</v>
          </cell>
        </row>
        <row r="209">
          <cell r="B209" t="str">
            <v>Curva Conduit Electrica 2"</v>
          </cell>
        </row>
        <row r="210">
          <cell r="B210" t="str">
            <v>Curva Conduit PVC Electrica 1"</v>
          </cell>
        </row>
        <row r="211">
          <cell r="B211" t="str">
            <v>Curva Conduit PVC Electrica 1/2"</v>
          </cell>
        </row>
        <row r="212">
          <cell r="B212" t="str">
            <v>Curva Conduit PVC Electrica 3/4"</v>
          </cell>
        </row>
        <row r="213">
          <cell r="B213" t="str">
            <v>Curva Metalica</v>
          </cell>
        </row>
        <row r="214">
          <cell r="B214" t="str">
            <v>Curva EMT 1/2</v>
          </cell>
        </row>
        <row r="215">
          <cell r="B215" t="str">
            <v>Curva EMT 3/4</v>
          </cell>
        </row>
        <row r="216">
          <cell r="B216" t="str">
            <v>Detergente en polvo</v>
          </cell>
        </row>
        <row r="217">
          <cell r="B217" t="str">
            <v>Dilatación plástica</v>
          </cell>
        </row>
        <row r="218">
          <cell r="B218" t="str">
            <v>Dilataciòn de Vidrio</v>
          </cell>
        </row>
        <row r="219">
          <cell r="B219" t="str">
            <v>Divisiones Metálicas en Lam. Cal.18</v>
          </cell>
        </row>
        <row r="220">
          <cell r="B220" t="str">
            <v>Divisiones Metálicas en Lam. Cal.20</v>
          </cell>
        </row>
        <row r="221">
          <cell r="B221" t="str">
            <v>Disco corte diamantado 7"</v>
          </cell>
        </row>
        <row r="222">
          <cell r="B222" t="str">
            <v>Ducha Grival Monocontrol</v>
          </cell>
        </row>
        <row r="223">
          <cell r="B223" t="str">
            <v>Ducha Grival Sencilla</v>
          </cell>
        </row>
        <row r="224">
          <cell r="B224" t="str">
            <v>Ducha corriente briza</v>
          </cell>
        </row>
        <row r="225">
          <cell r="B225" t="str">
            <v>Durita</v>
          </cell>
        </row>
        <row r="226">
          <cell r="B226" t="str">
            <v>Electrolima Consumo</v>
          </cell>
        </row>
        <row r="227">
          <cell r="B227" t="str">
            <v>Emboquilla / Boquilla</v>
          </cell>
        </row>
        <row r="228">
          <cell r="B228" t="str">
            <v xml:space="preserve">Empaque  x Rollo X 100 </v>
          </cell>
        </row>
        <row r="229">
          <cell r="B229" t="str">
            <v>Emulsión asfaltica (Manto)</v>
          </cell>
        </row>
        <row r="230">
          <cell r="B230" t="str">
            <v>Enchape Egeo 20.5 X 20.5</v>
          </cell>
        </row>
        <row r="231">
          <cell r="B231" t="str">
            <v>Enchape duropiso 33.8 x 33.8</v>
          </cell>
        </row>
        <row r="232">
          <cell r="B232" t="str">
            <v>Energía eléctrica 110 V</v>
          </cell>
        </row>
        <row r="233">
          <cell r="B233" t="str">
            <v>Equino / Mula</v>
          </cell>
        </row>
        <row r="234">
          <cell r="B234" t="str">
            <v>Escoba</v>
          </cell>
        </row>
        <row r="235">
          <cell r="B235" t="str">
            <v xml:space="preserve">Esmalte   </v>
          </cell>
        </row>
        <row r="236">
          <cell r="B236" t="str">
            <v>Esmalte Domestico</v>
          </cell>
        </row>
        <row r="237">
          <cell r="B237" t="str">
            <v>Espejos Biselados 4 mm</v>
          </cell>
        </row>
        <row r="238">
          <cell r="B238" t="str">
            <v>Estacas de madera</v>
          </cell>
        </row>
        <row r="239">
          <cell r="B239" t="str">
            <v>Esterilla 4.00 Mts</v>
          </cell>
        </row>
        <row r="240">
          <cell r="B240" t="str">
            <v>Estructura en aluminio</v>
          </cell>
        </row>
        <row r="241">
          <cell r="B241" t="str">
            <v>Estuco</v>
          </cell>
        </row>
        <row r="242">
          <cell r="B242" t="str">
            <v>Explosivos</v>
          </cell>
        </row>
        <row r="243">
          <cell r="B243" t="str">
            <v>Fijamix</v>
          </cell>
        </row>
        <row r="244">
          <cell r="B244" t="str">
            <v>Flanche metálico Galv. Cal. 20 X 33</v>
          </cell>
        </row>
        <row r="245">
          <cell r="B245" t="str">
            <v>Flotador Helbert 1/2"</v>
          </cell>
        </row>
        <row r="246">
          <cell r="B246" t="str">
            <v>Flotador mecánico de 1/2"</v>
          </cell>
        </row>
        <row r="247">
          <cell r="B247" t="str">
            <v>Flotador mecánico de 3/4"</v>
          </cell>
        </row>
        <row r="248">
          <cell r="B248" t="str">
            <v>Flotador mecánico de 1"</v>
          </cell>
        </row>
        <row r="249">
          <cell r="B249" t="str">
            <v>Flotador mecánico de 1 1/2"</v>
          </cell>
        </row>
        <row r="250">
          <cell r="B250" t="str">
            <v>Flotador Helbert 3/4"</v>
          </cell>
        </row>
        <row r="251">
          <cell r="B251" t="str">
            <v>Franela 90X60</v>
          </cell>
        </row>
        <row r="252">
          <cell r="B252" t="str">
            <v>Galapago de 3"</v>
          </cell>
        </row>
        <row r="253">
          <cell r="B253" t="str">
            <v>Gancho Acucer</v>
          </cell>
        </row>
        <row r="254">
          <cell r="B254" t="str">
            <v>Gancho para teja</v>
          </cell>
        </row>
        <row r="255">
          <cell r="B255" t="str">
            <v>Gancho Canaleta</v>
          </cell>
        </row>
        <row r="256">
          <cell r="B256" t="str">
            <v>GAVIONES 2 X 1 X 1 CAL 13</v>
          </cell>
        </row>
        <row r="257">
          <cell r="B257" t="str">
            <v>Geotextil NT 1600</v>
          </cell>
        </row>
        <row r="258">
          <cell r="B258" t="str">
            <v>Grama Cesped</v>
          </cell>
        </row>
        <row r="259">
          <cell r="B259" t="str">
            <v>Graniplast Esgrafiado</v>
          </cell>
        </row>
        <row r="260">
          <cell r="B260" t="str">
            <v>Granito Blanco No.2</v>
          </cell>
        </row>
        <row r="261">
          <cell r="B261" t="str">
            <v>Granito Negro No.2</v>
          </cell>
        </row>
        <row r="262">
          <cell r="B262" t="str">
            <v>Gravilla de Rio</v>
          </cell>
        </row>
        <row r="263">
          <cell r="B263" t="str">
            <v>Gravilla Rio No.2 (Bto.40 Kgs)</v>
          </cell>
        </row>
        <row r="264">
          <cell r="B264" t="str">
            <v xml:space="preserve">Griferia </v>
          </cell>
        </row>
        <row r="265">
          <cell r="B265" t="str">
            <v>Griferia Lavaplatos</v>
          </cell>
        </row>
        <row r="266">
          <cell r="B266" t="str">
            <v>Griferia lavamanos</v>
          </cell>
        </row>
        <row r="267">
          <cell r="B267" t="str">
            <v>Guadua de 8.00</v>
          </cell>
        </row>
        <row r="268">
          <cell r="B268" t="str">
            <v>Guardaescoba en Madera</v>
          </cell>
        </row>
        <row r="269">
          <cell r="B269" t="str">
            <v>Herraje / División metálica</v>
          </cell>
        </row>
        <row r="270">
          <cell r="B270" t="str">
            <v>Hierro figurado 6000 psi</v>
          </cell>
        </row>
        <row r="271">
          <cell r="B271" t="str">
            <v>Hierro figurado 3700 psi</v>
          </cell>
        </row>
        <row r="272">
          <cell r="B272" t="str">
            <v>Hierro de 1"</v>
          </cell>
        </row>
        <row r="273">
          <cell r="B273" t="str">
            <v>Hierro de 1/2"</v>
          </cell>
        </row>
        <row r="274">
          <cell r="B274" t="str">
            <v>Hierro de 1/4"</v>
          </cell>
        </row>
        <row r="275">
          <cell r="B275" t="str">
            <v>Hierro de 11.5 mm.</v>
          </cell>
        </row>
        <row r="276">
          <cell r="B276" t="str">
            <v>Hierro de 12.5 mm.</v>
          </cell>
        </row>
        <row r="277">
          <cell r="B277" t="str">
            <v>Hierro de 14.55 mm.</v>
          </cell>
        </row>
        <row r="278">
          <cell r="B278" t="str">
            <v>Hierro de 15.5 mm.</v>
          </cell>
        </row>
        <row r="279">
          <cell r="B279" t="str">
            <v>Hierro de 3/4"</v>
          </cell>
        </row>
        <row r="280">
          <cell r="B280" t="str">
            <v>Hierro de 3/8"</v>
          </cell>
        </row>
        <row r="281">
          <cell r="B281" t="str">
            <v>Hierro de 5.5 mm</v>
          </cell>
        </row>
        <row r="282">
          <cell r="B282" t="str">
            <v>Hierro de 5/8"</v>
          </cell>
        </row>
        <row r="283">
          <cell r="B283" t="str">
            <v>Hierro de 7.5 mm.</v>
          </cell>
        </row>
        <row r="284">
          <cell r="B284" t="str">
            <v>Hierro de 7/8"</v>
          </cell>
        </row>
        <row r="285">
          <cell r="B285" t="str">
            <v>Hierro de 8.5 mm.</v>
          </cell>
        </row>
        <row r="286">
          <cell r="B286" t="str">
            <v>Hierro de 9.5 mm.</v>
          </cell>
        </row>
        <row r="287">
          <cell r="B287" t="str">
            <v>Hidrosolta (15 KG)</v>
          </cell>
        </row>
        <row r="288">
          <cell r="B288" t="str">
            <v>Hilaza</v>
          </cell>
        </row>
        <row r="289">
          <cell r="B289" t="str">
            <v>Ibal Consumo</v>
          </cell>
        </row>
        <row r="290">
          <cell r="B290" t="str">
            <v>Igas Gris</v>
          </cell>
        </row>
        <row r="291">
          <cell r="B291" t="str">
            <v>Imprimación</v>
          </cell>
        </row>
        <row r="292">
          <cell r="B292" t="str">
            <v>Imprimante</v>
          </cell>
        </row>
        <row r="293">
          <cell r="B293" t="str">
            <v>Insumos Aseo (DETERGENTES-ACIDOS)</v>
          </cell>
        </row>
        <row r="294">
          <cell r="B294" t="str">
            <v>Interruptor Doble</v>
          </cell>
        </row>
        <row r="295">
          <cell r="B295" t="str">
            <v>Interruptor Sencillo</v>
          </cell>
        </row>
        <row r="296">
          <cell r="B296" t="str">
            <v>Jabonera Acuacer</v>
          </cell>
        </row>
        <row r="297">
          <cell r="B297" t="str">
            <v>Juego Incrustacion Acuacer</v>
          </cell>
        </row>
        <row r="298">
          <cell r="B298" t="str">
            <v>Juego Incrustacion Nova</v>
          </cell>
        </row>
        <row r="299">
          <cell r="B299" t="str">
            <v>Juego Incrustaciones Royal</v>
          </cell>
        </row>
        <row r="300">
          <cell r="B300" t="str">
            <v>Koraza</v>
          </cell>
        </row>
        <row r="301">
          <cell r="B301" t="str">
            <v>Laca Madera</v>
          </cell>
        </row>
        <row r="302">
          <cell r="B302" t="str">
            <v>LadriBloq No. 14 14x19x39</v>
          </cell>
        </row>
        <row r="303">
          <cell r="B303" t="str">
            <v>Ladrillo Estructural SFE 9x14,5x29</v>
          </cell>
        </row>
        <row r="304">
          <cell r="B304" t="str">
            <v>Ladrillo Prensado TS 5.5x12.5x24</v>
          </cell>
        </row>
        <row r="305">
          <cell r="B305" t="str">
            <v>Ladrillo Prensado TS 6.5x12x24</v>
          </cell>
        </row>
        <row r="306">
          <cell r="B306" t="str">
            <v>Ladrillo Prensado TS 5.5x12.5x24</v>
          </cell>
        </row>
        <row r="307">
          <cell r="B307" t="str">
            <v>Ladrillo Tolete Común</v>
          </cell>
        </row>
        <row r="308">
          <cell r="B308" t="str">
            <v>Ladrillo Tolete Común Recocido</v>
          </cell>
        </row>
        <row r="309">
          <cell r="B309" t="str">
            <v>Lamina Col Roller Cal.18 2,00x1,00</v>
          </cell>
        </row>
        <row r="310">
          <cell r="B310" t="str">
            <v>Lamina Col Roller Cal.20 2,00x1,00</v>
          </cell>
        </row>
        <row r="311">
          <cell r="B311" t="str">
            <v>Lamina Cal.26 2,00x1,00</v>
          </cell>
        </row>
        <row r="312">
          <cell r="B312" t="str">
            <v>Lámina fibrocemento</v>
          </cell>
        </row>
        <row r="313">
          <cell r="B313" t="str">
            <v>Lamina Madeflex (1,20x2,40)</v>
          </cell>
        </row>
        <row r="314">
          <cell r="B314" t="str">
            <v>Lampara Slim Line 1x40" Con Balastro</v>
          </cell>
        </row>
        <row r="315">
          <cell r="B315" t="str">
            <v>Lampara Slim Line 2x*96" Con Balastro</v>
          </cell>
        </row>
        <row r="316">
          <cell r="B316" t="str">
            <v>Lampara Slim Line 2x48" Con Balastro</v>
          </cell>
        </row>
        <row r="317">
          <cell r="B317" t="str">
            <v>Lampara Slim Line 2x32" Con Balastro</v>
          </cell>
        </row>
        <row r="318">
          <cell r="B318" t="str">
            <v>Lámpara de 70 W x 250 V</v>
          </cell>
        </row>
        <row r="319">
          <cell r="B319" t="str">
            <v>Lámpara metali halide 220VX400 W</v>
          </cell>
        </row>
        <row r="320">
          <cell r="B320" t="str">
            <v>Lavadero Prefabricado 1.00x70</v>
          </cell>
        </row>
        <row r="321">
          <cell r="B321" t="str">
            <v>Lavamanos Acuacer 1 Llave</v>
          </cell>
        </row>
        <row r="322">
          <cell r="B322" t="str">
            <v>Lavamanos Acuacer 2 Llaves</v>
          </cell>
        </row>
        <row r="323">
          <cell r="B323" t="str">
            <v>Lavamanos Nova Sobreponer</v>
          </cell>
        </row>
        <row r="324">
          <cell r="B324" t="str">
            <v xml:space="preserve">Lavamanos Pdesteal Nova </v>
          </cell>
        </row>
        <row r="325">
          <cell r="B325" t="str">
            <v>Lavamansos Pedestal Royal</v>
          </cell>
        </row>
        <row r="326">
          <cell r="B326" t="str">
            <v>Lavaplaltos Esmaltado 40x60</v>
          </cell>
        </row>
        <row r="327">
          <cell r="B327" t="str">
            <v>Lavaplatos Inox. 40x60</v>
          </cell>
        </row>
        <row r="328">
          <cell r="B328" t="str">
            <v xml:space="preserve">Lija   </v>
          </cell>
        </row>
        <row r="329">
          <cell r="B329" t="str">
            <v>Lija de agua 400</v>
          </cell>
        </row>
        <row r="330">
          <cell r="B330" t="str">
            <v xml:space="preserve">Limpiador PVC ¼GL  </v>
          </cell>
        </row>
        <row r="331">
          <cell r="B331" t="str">
            <v>Liston Cepillado de 2x2</v>
          </cell>
        </row>
        <row r="332">
          <cell r="B332" t="str">
            <v>Liston de 2x4</v>
          </cell>
        </row>
        <row r="333">
          <cell r="B333" t="str">
            <v>Lubricante</v>
          </cell>
        </row>
        <row r="334">
          <cell r="B334" t="str">
            <v>Llave de Bola Paso R. ½"</v>
          </cell>
        </row>
        <row r="335">
          <cell r="B335" t="str">
            <v>Llave cromadda 1/2" con rosca</v>
          </cell>
        </row>
        <row r="336">
          <cell r="B336" t="str">
            <v>Llave Gricol Terminal</v>
          </cell>
        </row>
        <row r="337">
          <cell r="B337" t="str">
            <v>Llave Lavaplatos</v>
          </cell>
        </row>
        <row r="338">
          <cell r="B338" t="str">
            <v>Llave Orinal</v>
          </cell>
        </row>
        <row r="339">
          <cell r="B339" t="str">
            <v xml:space="preserve">Llave individual </v>
          </cell>
        </row>
        <row r="340">
          <cell r="B340" t="str">
            <v>Llave Paso R.W. ½"</v>
          </cell>
        </row>
        <row r="341">
          <cell r="B341" t="str">
            <v>Llave Paso R.W. 3/4"</v>
          </cell>
        </row>
        <row r="342">
          <cell r="B342" t="str">
            <v>Llave Terminal 1/2"</v>
          </cell>
        </row>
        <row r="343">
          <cell r="B343" t="str">
            <v>Machimbre Pino+Entramado</v>
          </cell>
        </row>
        <row r="344">
          <cell r="B344" t="str">
            <v>Malla Con Vena ,60*2,00</v>
          </cell>
        </row>
        <row r="345">
          <cell r="B345" t="str">
            <v>Malla Electrosoldada 4 mm. (6.00x2.35)</v>
          </cell>
        </row>
        <row r="346">
          <cell r="B346" t="str">
            <v>Malla Electrosoldada 5 mm. (6.00x2.35)</v>
          </cell>
        </row>
        <row r="347">
          <cell r="B347" t="str">
            <v>MALLA ELECTROSOLDADA M.184</v>
          </cell>
        </row>
        <row r="348">
          <cell r="B348" t="str">
            <v>Malla Eslabonada Cal. 10  2x2</v>
          </cell>
        </row>
        <row r="349">
          <cell r="B349" t="str">
            <v>Malla Eslabonada Cal. 12  2x2</v>
          </cell>
        </row>
        <row r="350">
          <cell r="B350" t="str">
            <v>Malla Gavion Cal.12 (2x1x1)</v>
          </cell>
        </row>
        <row r="351">
          <cell r="B351" t="str">
            <v>Malla Gavion Cal.13 (2x1x1)</v>
          </cell>
        </row>
        <row r="352">
          <cell r="B352" t="str">
            <v>Manguera Presión Flexible ½"</v>
          </cell>
        </row>
        <row r="353">
          <cell r="B353" t="str">
            <v>Manto edil</v>
          </cell>
        </row>
        <row r="354">
          <cell r="B354" t="str">
            <v>Marco Metálico 0.70</v>
          </cell>
        </row>
        <row r="355">
          <cell r="B355" t="str">
            <v>Marco Metálico 0.80-0.90</v>
          </cell>
        </row>
        <row r="356">
          <cell r="B356" t="str">
            <v>MATERIAL GRANULAR</v>
          </cell>
        </row>
        <row r="357">
          <cell r="B357" t="str">
            <v>Marmolina</v>
          </cell>
        </row>
        <row r="358">
          <cell r="B358" t="str">
            <v>Masilla</v>
          </cell>
        </row>
        <row r="359">
          <cell r="B359" t="str">
            <v>Mat. Explosivo (TNT-Fules-Mecha)</v>
          </cell>
        </row>
        <row r="360">
          <cell r="B360" t="str">
            <v>Material Electrico Acometida</v>
          </cell>
        </row>
        <row r="361">
          <cell r="B361" t="str">
            <v>Material Remates Generales</v>
          </cell>
        </row>
        <row r="362">
          <cell r="B362" t="str">
            <v>Material Seleccionado Rellenos</v>
          </cell>
        </row>
        <row r="363">
          <cell r="B363" t="str">
            <v>Medio Cerco  5x4</v>
          </cell>
        </row>
        <row r="364">
          <cell r="B364" t="str">
            <v>Medio Cerco Cepillado 4x4</v>
          </cell>
        </row>
        <row r="365">
          <cell r="B365" t="str">
            <v>Mineral Bayer</v>
          </cell>
        </row>
        <row r="366">
          <cell r="B366" t="str">
            <v xml:space="preserve">MOLDURA GRES </v>
          </cell>
        </row>
        <row r="367">
          <cell r="B367" t="str">
            <v>MORTERO 1:4 PEGA BLOQUE CEM.</v>
          </cell>
        </row>
        <row r="368">
          <cell r="B368" t="str">
            <v>MORTERO PAÑETE 1:4</v>
          </cell>
        </row>
        <row r="369">
          <cell r="B369" t="str">
            <v>MORTERO PAÑETE 1:4 IMPERMEAB.</v>
          </cell>
        </row>
        <row r="370">
          <cell r="B370" t="str">
            <v>MORTERO RELLENOS 1:3</v>
          </cell>
        </row>
        <row r="371">
          <cell r="B371" t="str">
            <v>MORTERO PEGA 1:3</v>
          </cell>
        </row>
        <row r="372">
          <cell r="B372" t="str">
            <v>MORTERO PEGA 1:4</v>
          </cell>
        </row>
        <row r="373">
          <cell r="B373" t="str">
            <v>Mueble en Madera</v>
          </cell>
        </row>
        <row r="374">
          <cell r="B374" t="str">
            <v>MultiJuego No.3 Maderas</v>
          </cell>
        </row>
        <row r="375">
          <cell r="B375" t="str">
            <v>Niple Galvanizado 3/4"x5"</v>
          </cell>
        </row>
        <row r="376">
          <cell r="B376" t="str">
            <v>Niple Galvanizado 1/2"x5"</v>
          </cell>
        </row>
        <row r="377">
          <cell r="B377" t="str">
            <v>Orinal Institucional Institucional</v>
          </cell>
        </row>
        <row r="378">
          <cell r="B378" t="str">
            <v>Orinal mediano</v>
          </cell>
        </row>
        <row r="379">
          <cell r="B379" t="str">
            <v>Papelera Acuacer</v>
          </cell>
        </row>
        <row r="380">
          <cell r="B380" t="str">
            <v>Paso Esc. Prefabricado</v>
          </cell>
        </row>
        <row r="381">
          <cell r="B381" t="str">
            <v>Pegacor</v>
          </cell>
        </row>
        <row r="382">
          <cell r="B382" t="str">
            <v>Percha de 3 Hilos</v>
          </cell>
        </row>
        <row r="383">
          <cell r="B383" t="str">
            <v>Perfil Acesco 120X60 C-16 6.00 Mts.</v>
          </cell>
        </row>
        <row r="384">
          <cell r="B384" t="str">
            <v>Perfil de Acero de 12x10</v>
          </cell>
        </row>
        <row r="385">
          <cell r="B385" t="str">
            <v>Perfil en aluminio</v>
          </cell>
        </row>
        <row r="386">
          <cell r="B386" t="str">
            <v>Perno de 3/8</v>
          </cell>
        </row>
        <row r="387">
          <cell r="B387" t="str">
            <v>Perno de 1/2</v>
          </cell>
        </row>
        <row r="388">
          <cell r="B388" t="str">
            <v>Perno de 3/4</v>
          </cell>
        </row>
        <row r="389">
          <cell r="B389" t="str">
            <v>Piedra</v>
          </cell>
        </row>
        <row r="390">
          <cell r="B390" t="str">
            <v>PIEDRA RIO ZONGA  D=20</v>
          </cell>
        </row>
        <row r="391">
          <cell r="B391" t="str">
            <v>Pin de Ø 3/8"</v>
          </cell>
        </row>
        <row r="392">
          <cell r="B392" t="str">
            <v>PLACA DE IDENTIFICACION 2X1  CM</v>
          </cell>
        </row>
        <row r="393">
          <cell r="B393" t="str">
            <v>Plafon Losa</v>
          </cell>
        </row>
        <row r="394">
          <cell r="B394" t="str">
            <v>Plafon Plastico</v>
          </cell>
        </row>
        <row r="395">
          <cell r="B395" t="str">
            <v>Plantas Ornamentales</v>
          </cell>
        </row>
        <row r="396">
          <cell r="B396" t="str">
            <v>Platina de i"x3-16</v>
          </cell>
        </row>
        <row r="397">
          <cell r="B397" t="str">
            <v>Poceta 60X40 / laboratorio</v>
          </cell>
        </row>
        <row r="398">
          <cell r="B398" t="str">
            <v>Porton Mtetalico en Reja de 1½"x1½"</v>
          </cell>
        </row>
        <row r="399">
          <cell r="B399" t="str">
            <v>Poste Cemento 2.00 Mts.</v>
          </cell>
        </row>
        <row r="400">
          <cell r="B400" t="str">
            <v>Poste Cemento 2.20 Mts.</v>
          </cell>
        </row>
        <row r="401">
          <cell r="B401" t="str">
            <v>Prelosa</v>
          </cell>
        </row>
        <row r="402">
          <cell r="B402" t="str">
            <v>PROTECCIONES</v>
          </cell>
        </row>
        <row r="403">
          <cell r="B403" t="str">
            <v>Puerta Madera 0.70x2.00 W.C.</v>
          </cell>
        </row>
        <row r="404">
          <cell r="B404" t="str">
            <v>Puerta Madera 0.80x2.00</v>
          </cell>
        </row>
        <row r="405">
          <cell r="B405" t="str">
            <v>Puerta Metálica</v>
          </cell>
        </row>
        <row r="406">
          <cell r="B406" t="str">
            <v>Puerta Metalica 1.00x2.30</v>
          </cell>
        </row>
        <row r="407">
          <cell r="B407" t="str">
            <v>Puerta Metálica Lamina Cal.20 Guacharca</v>
          </cell>
        </row>
        <row r="408">
          <cell r="B408" t="str">
            <v xml:space="preserve">Puerta Aluminio </v>
          </cell>
        </row>
        <row r="409">
          <cell r="B409" t="str">
            <v>Puntilla de 2"-3"</v>
          </cell>
        </row>
        <row r="410">
          <cell r="B410" t="str">
            <v>Puntilla de Acero</v>
          </cell>
        </row>
        <row r="411">
          <cell r="B411" t="str">
            <v>Recebo Común</v>
          </cell>
        </row>
        <row r="412">
          <cell r="B412" t="str">
            <v>Recebo Vergel</v>
          </cell>
        </row>
        <row r="413">
          <cell r="B413" t="str">
            <v>Reja metálica</v>
          </cell>
        </row>
        <row r="414">
          <cell r="B414" t="str">
            <v>Registro de Corte 1/2"</v>
          </cell>
        </row>
        <row r="415">
          <cell r="B415" t="str">
            <v>Registro RW X 1/2"</v>
          </cell>
        </row>
        <row r="416">
          <cell r="B416" t="str">
            <v>Registro RW X 3/4"</v>
          </cell>
        </row>
        <row r="417">
          <cell r="B417" t="str">
            <v>Registro Incorporación 1/2"</v>
          </cell>
        </row>
        <row r="418">
          <cell r="B418" t="str">
            <v>Rejilla de piso 3X2</v>
          </cell>
        </row>
        <row r="419">
          <cell r="B419" t="str">
            <v>Rejilla de ¢ 3" Aluminio</v>
          </cell>
        </row>
        <row r="420">
          <cell r="B420" t="str">
            <v>Rejilla de ¢ 4" Aluminio</v>
          </cell>
        </row>
        <row r="421">
          <cell r="B421" t="str">
            <v>Rejilla de &lt; 1¼x1½*x3,16 Hierro 5/8"</v>
          </cell>
        </row>
        <row r="422">
          <cell r="B422" t="str">
            <v>Rodillo de felpa</v>
          </cell>
        </row>
        <row r="423">
          <cell r="B423" t="str">
            <v xml:space="preserve">Rollo Cinta Telflón </v>
          </cell>
        </row>
        <row r="424">
          <cell r="B424" t="str">
            <v>Sanitario Corona Acuacer</v>
          </cell>
        </row>
        <row r="425">
          <cell r="B425" t="str">
            <v>Sanitario Corona Nova</v>
          </cell>
        </row>
        <row r="426">
          <cell r="B426" t="str">
            <v>Sanitario Corona Royal</v>
          </cell>
        </row>
        <row r="427">
          <cell r="B427" t="str">
            <v>Sanitario infantil blanco</v>
          </cell>
        </row>
        <row r="428">
          <cell r="B428" t="str">
            <v>Segueta</v>
          </cell>
        </row>
        <row r="429">
          <cell r="B429" t="str">
            <v>Sello P/canal amazonas</v>
          </cell>
        </row>
        <row r="430">
          <cell r="B430" t="str">
            <v>Sello paternit</v>
          </cell>
        </row>
        <row r="431">
          <cell r="B431" t="str">
            <v>Semicodo PVC ½"</v>
          </cell>
        </row>
        <row r="432">
          <cell r="B432" t="str">
            <v>Semicodo PVC 3/4"</v>
          </cell>
        </row>
        <row r="433">
          <cell r="B433" t="str">
            <v>Sifón PVC-S Ø 3"</v>
          </cell>
        </row>
        <row r="434">
          <cell r="B434" t="str">
            <v>Sifón PVC-S Ø 4"</v>
          </cell>
        </row>
        <row r="435">
          <cell r="B435" t="str">
            <v>Sika-1 X 4KG</v>
          </cell>
        </row>
        <row r="436">
          <cell r="B436" t="str">
            <v>Sikaflex</v>
          </cell>
        </row>
        <row r="437">
          <cell r="B437" t="str">
            <v>Sikarod</v>
          </cell>
        </row>
        <row r="438">
          <cell r="B438" t="str">
            <v>Silocona</v>
          </cell>
        </row>
        <row r="439">
          <cell r="B439" t="str">
            <v>Sistema de tratamiento Séptico colempaques</v>
          </cell>
        </row>
        <row r="440">
          <cell r="B440" t="str">
            <v>Soldadura 6011</v>
          </cell>
        </row>
        <row r="441">
          <cell r="B441" t="str">
            <v>Soldadura 6013</v>
          </cell>
        </row>
        <row r="442">
          <cell r="B442" t="str">
            <v>Soldadura PVC ¼ GL</v>
          </cell>
        </row>
        <row r="443">
          <cell r="B443" t="str">
            <v>Soldadura cadwell 90 gr</v>
          </cell>
        </row>
        <row r="444">
          <cell r="B444" t="str">
            <v>Soporte PVC P/canal amazonas</v>
          </cell>
        </row>
        <row r="445">
          <cell r="B445" t="str">
            <v>Soporte PVC P/bajante amazonas</v>
          </cell>
        </row>
        <row r="446">
          <cell r="B446" t="str">
            <v>Sumplementos 4x4</v>
          </cell>
        </row>
        <row r="447">
          <cell r="B447" t="str">
            <v>Tabla Burra de 3.00x25</v>
          </cell>
        </row>
        <row r="448">
          <cell r="B448" t="str">
            <v>Tabla Cepillada 3.00x25</v>
          </cell>
        </row>
        <row r="449">
          <cell r="B449" t="str">
            <v>Tabla RUSTICA 3.00x25</v>
          </cell>
        </row>
        <row r="450">
          <cell r="B450" t="str">
            <v>TABLERO TRIFASICO 6 CIRCUITOS</v>
          </cell>
        </row>
        <row r="451">
          <cell r="B451" t="str">
            <v>Tableta Gres Romana 18x9</v>
          </cell>
        </row>
        <row r="452">
          <cell r="B452" t="str">
            <v>Tablon Gres Superior 25x25</v>
          </cell>
        </row>
        <row r="453">
          <cell r="B453" t="str">
            <v>Tablon Gres Superior 30x30</v>
          </cell>
        </row>
        <row r="454">
          <cell r="B454" t="str">
            <v>Taco Guadua 4.00 Mts.</v>
          </cell>
        </row>
        <row r="455">
          <cell r="B455" t="str">
            <v>Talco</v>
          </cell>
        </row>
        <row r="456">
          <cell r="B456" t="str">
            <v>Tanque Plastico 500 Lts.</v>
          </cell>
        </row>
        <row r="457">
          <cell r="B457" t="str">
            <v>Tanque Plastico 1000 Lts.</v>
          </cell>
        </row>
        <row r="458">
          <cell r="B458" t="str">
            <v>Tapa Izq. PVC P/canal amazonas</v>
          </cell>
        </row>
        <row r="459">
          <cell r="B459" t="str">
            <v>Tapa Der. PVC P/canal amazonas</v>
          </cell>
        </row>
        <row r="460">
          <cell r="B460" t="str">
            <v>Tapa para tanque sanitario</v>
          </cell>
        </row>
        <row r="461">
          <cell r="B461" t="str">
            <v>TAPA PARA POZO EN POLIPROPILENO D=0,70m</v>
          </cell>
        </row>
        <row r="462">
          <cell r="B462" t="str">
            <v>Tapón Roscado PVC ½"</v>
          </cell>
        </row>
        <row r="463">
          <cell r="B463" t="str">
            <v>Tapón Soldado PVC ½"</v>
          </cell>
        </row>
        <row r="464">
          <cell r="B464" t="str">
            <v>Tapa sanitaria</v>
          </cell>
        </row>
        <row r="465">
          <cell r="B465" t="str">
            <v>Tee PVC ½"</v>
          </cell>
        </row>
        <row r="466">
          <cell r="B466" t="str">
            <v>Tee PVC 3/4"</v>
          </cell>
        </row>
        <row r="467">
          <cell r="B467" t="str">
            <v>Tee PVC-S Ø 2"</v>
          </cell>
        </row>
        <row r="468">
          <cell r="B468" t="str">
            <v>Tee PVC-S Ø 3"</v>
          </cell>
        </row>
        <row r="469">
          <cell r="B469" t="str">
            <v>Tee PVC-S Ø 4"</v>
          </cell>
        </row>
        <row r="470">
          <cell r="B470" t="str">
            <v>Teja española</v>
          </cell>
        </row>
        <row r="471">
          <cell r="B471" t="str">
            <v>Teja A.C. 4 Ondulada</v>
          </cell>
        </row>
        <row r="472">
          <cell r="B472" t="str">
            <v>Teja A.C. 4 Ondulit</v>
          </cell>
        </row>
        <row r="473">
          <cell r="B473" t="str">
            <v>Teja A.C. 5 Ondulada</v>
          </cell>
        </row>
        <row r="474">
          <cell r="B474" t="str">
            <v>Teja A.C. 6 Ondualda</v>
          </cell>
        </row>
        <row r="475">
          <cell r="B475" t="str">
            <v>Teja A.C. 6 Ondulit P-5</v>
          </cell>
        </row>
        <row r="476">
          <cell r="B476" t="str">
            <v>Teja A.C. 8 Ondualda</v>
          </cell>
        </row>
        <row r="477">
          <cell r="B477" t="str">
            <v>Teja A.C. 8 Ondulit</v>
          </cell>
        </row>
        <row r="478">
          <cell r="B478" t="str">
            <v>Teja Plastica Ajover (1,60*0,83)</v>
          </cell>
        </row>
        <row r="479">
          <cell r="B479" t="str">
            <v>Teja Trapezoidal Acesco 3,05x0,73</v>
          </cell>
        </row>
        <row r="480">
          <cell r="B480" t="str">
            <v>Teja Zinc (2,15x0,83)</v>
          </cell>
        </row>
        <row r="481">
          <cell r="B481" t="str">
            <v>Teja Zinc (3,05x0,83)</v>
          </cell>
        </row>
        <row r="482">
          <cell r="B482" t="str">
            <v>Tela lona verde H=2,5</v>
          </cell>
        </row>
        <row r="483">
          <cell r="B483" t="str">
            <v>Terminal Coaxial  Rosca</v>
          </cell>
        </row>
        <row r="484">
          <cell r="B484" t="str">
            <v>Terminal PVC 1/2"</v>
          </cell>
        </row>
        <row r="485">
          <cell r="B485" t="str">
            <v>Terminales PVC  1"</v>
          </cell>
        </row>
        <row r="486">
          <cell r="B486" t="str">
            <v>Tierra Negra</v>
          </cell>
        </row>
        <row r="487">
          <cell r="B487" t="str">
            <v>Tierra Relleno</v>
          </cell>
        </row>
        <row r="488">
          <cell r="B488" t="str">
            <v>Thinner</v>
          </cell>
        </row>
        <row r="489">
          <cell r="B489" t="str">
            <v>Tiras madera 3 x 3 x 3</v>
          </cell>
        </row>
        <row r="490">
          <cell r="B490" t="str">
            <v>Toma Doble</v>
          </cell>
        </row>
        <row r="491">
          <cell r="B491" t="str">
            <v>Toma Polo a Tierra</v>
          </cell>
        </row>
        <row r="492">
          <cell r="B492" t="str">
            <v>Toma Telefonico</v>
          </cell>
        </row>
        <row r="493">
          <cell r="B493" t="str">
            <v>Toma TV Coaxial</v>
          </cell>
        </row>
        <row r="494">
          <cell r="B494" t="str">
            <v>Toxemen Polvo</v>
          </cell>
        </row>
        <row r="495">
          <cell r="B495" t="str">
            <v>Transporte Alfasto M3/KM</v>
          </cell>
        </row>
        <row r="496">
          <cell r="B496" t="str">
            <v>Triturado 1/2"</v>
          </cell>
        </row>
        <row r="497">
          <cell r="B497" t="str">
            <v>Tubería PVC RDE-11   3/4"</v>
          </cell>
        </row>
        <row r="498">
          <cell r="B498" t="str">
            <v>Tuberia PVC RDE-13.5   ½"</v>
          </cell>
        </row>
        <row r="499">
          <cell r="B499" t="str">
            <v>Tuberia PVC RDE-21   ½"</v>
          </cell>
        </row>
        <row r="500">
          <cell r="B500" t="str">
            <v>Tubería PVC RDE-21  1"</v>
          </cell>
        </row>
        <row r="501">
          <cell r="B501" t="str">
            <v>Tubería PVC RDE-21  1 1/4"</v>
          </cell>
        </row>
        <row r="502">
          <cell r="B502" t="str">
            <v>Tubería PVC RDE-21    1 1/2"</v>
          </cell>
        </row>
        <row r="503">
          <cell r="B503" t="str">
            <v>Tubería PVC RDE-21   3/4"</v>
          </cell>
        </row>
        <row r="504">
          <cell r="B504" t="str">
            <v>Tuberia PVC RDE-9    ½"</v>
          </cell>
        </row>
        <row r="505">
          <cell r="B505" t="str">
            <v>Tuberia PVC-S  Ø 2"</v>
          </cell>
        </row>
        <row r="506">
          <cell r="B506" t="str">
            <v>Tuberia PVC-S  Ø 3"</v>
          </cell>
        </row>
        <row r="507">
          <cell r="B507" t="str">
            <v>Tuberia PVC-S  Ø 4"</v>
          </cell>
        </row>
        <row r="508">
          <cell r="B508" t="str">
            <v>Tuberia PVC-S  Ø 6"</v>
          </cell>
        </row>
        <row r="509">
          <cell r="B509" t="str">
            <v>Tuberia Rev. PVC Ø 2"</v>
          </cell>
        </row>
        <row r="510">
          <cell r="B510" t="str">
            <v>Tubería Novafort 10"</v>
          </cell>
        </row>
        <row r="511">
          <cell r="B511" t="str">
            <v>TUBO CONCRETO D=33</v>
          </cell>
        </row>
        <row r="512">
          <cell r="B512" t="str">
            <v>Tubo Conduit PVC Electrico 1"</v>
          </cell>
        </row>
        <row r="513">
          <cell r="B513" t="str">
            <v>Tubo Conduit PVC Electrico 1/2"</v>
          </cell>
        </row>
        <row r="514">
          <cell r="B514" t="str">
            <v>Tubo Conduit PVC Electrico 1¼"</v>
          </cell>
        </row>
        <row r="515">
          <cell r="B515" t="str">
            <v>Tubo Conduit PVC Electrico 1½"</v>
          </cell>
        </row>
        <row r="516">
          <cell r="B516" t="str">
            <v>Tubo Conduit PVC Electrico 2"</v>
          </cell>
        </row>
        <row r="517">
          <cell r="B517" t="str">
            <v>Tubo Conduit PVC Electrico 3/4"</v>
          </cell>
        </row>
        <row r="518">
          <cell r="B518" t="str">
            <v>Tubo EMT 1/2 x 3</v>
          </cell>
        </row>
        <row r="519">
          <cell r="B519" t="str">
            <v>Tubo EMT 3/4 x 3</v>
          </cell>
        </row>
        <row r="520">
          <cell r="B520" t="str">
            <v>Tubo EMT 1 1/4 x 3</v>
          </cell>
        </row>
        <row r="521">
          <cell r="B521" t="str">
            <v>Tubo EMT 1 1/2 x 3</v>
          </cell>
        </row>
        <row r="522">
          <cell r="B522" t="str">
            <v>Tubo galvanizado 1"</v>
          </cell>
        </row>
        <row r="523">
          <cell r="B523" t="str">
            <v>Tubo Gres Ø 2" L=0.70</v>
          </cell>
        </row>
        <row r="524">
          <cell r="B524" t="str">
            <v>Tubo Gres Ø 3"</v>
          </cell>
        </row>
        <row r="525">
          <cell r="B525" t="str">
            <v>Tubo Gres Ø 4"</v>
          </cell>
        </row>
        <row r="526">
          <cell r="B526" t="str">
            <v>Tubo Gres Ø 6"</v>
          </cell>
        </row>
        <row r="527">
          <cell r="B527" t="str">
            <v>Tubo Gres Ø 8"</v>
          </cell>
        </row>
        <row r="528">
          <cell r="B528" t="str">
            <v>Tubo Metalico Ø 2" Cal.15 6.00 Mts</v>
          </cell>
        </row>
        <row r="529">
          <cell r="B529" t="str">
            <v>Tubo Ø 2" Cal.16, 6.00 Mts.</v>
          </cell>
        </row>
        <row r="530">
          <cell r="B530" t="str">
            <v>Unión galvanizada 1/2</v>
          </cell>
        </row>
        <row r="531">
          <cell r="B531" t="str">
            <v>Unión EMT 1/2</v>
          </cell>
        </row>
        <row r="532">
          <cell r="B532" t="str">
            <v>Unión EMT 3/4</v>
          </cell>
        </row>
        <row r="533">
          <cell r="B533" t="str">
            <v>Unión EMT 1 1/4</v>
          </cell>
        </row>
        <row r="534">
          <cell r="B534" t="str">
            <v>Unión EMT 1 1/2</v>
          </cell>
        </row>
        <row r="535">
          <cell r="B535" t="str">
            <v>Unión PVC ½"</v>
          </cell>
        </row>
        <row r="536">
          <cell r="B536" t="str">
            <v>Unión PVC  1"</v>
          </cell>
        </row>
        <row r="537">
          <cell r="B537" t="str">
            <v>Unión PVC  1 1/4"</v>
          </cell>
        </row>
        <row r="538">
          <cell r="B538" t="str">
            <v>Unión PVC  1 1/2"</v>
          </cell>
        </row>
        <row r="539">
          <cell r="B539" t="str">
            <v>Unión PVC 3/4"</v>
          </cell>
        </row>
        <row r="540">
          <cell r="B540" t="str">
            <v>Unión PVC-S  Ø 2"</v>
          </cell>
        </row>
        <row r="541">
          <cell r="B541" t="str">
            <v>Unión PVC-S  Ø 3"</v>
          </cell>
        </row>
        <row r="542">
          <cell r="B542" t="str">
            <v>Unión PVC-S  Ø 4"</v>
          </cell>
        </row>
        <row r="543">
          <cell r="B543" t="str">
            <v>Unión PVC-S  Ø 6"</v>
          </cell>
        </row>
        <row r="544">
          <cell r="B544" t="str">
            <v>Unión PVC P/canal amazonas</v>
          </cell>
        </row>
        <row r="545">
          <cell r="B545" t="str">
            <v>Unión PVC P/bajante amazonas</v>
          </cell>
        </row>
        <row r="546">
          <cell r="B546" t="str">
            <v>Universal PVC ½"</v>
          </cell>
        </row>
        <row r="547">
          <cell r="B547" t="str">
            <v>Universal PVC 3/4"</v>
          </cell>
        </row>
        <row r="548">
          <cell r="B548" t="str">
            <v>Universal galvanizada  3/4"</v>
          </cell>
        </row>
        <row r="549">
          <cell r="B549" t="str">
            <v>Valde negro</v>
          </cell>
        </row>
        <row r="550">
          <cell r="B550" t="str">
            <v>Valvula de 1/2"</v>
          </cell>
        </row>
        <row r="551">
          <cell r="B551" t="str">
            <v>Valla en  lona</v>
          </cell>
        </row>
        <row r="552">
          <cell r="B552" t="str">
            <v>Vara madera</v>
          </cell>
        </row>
        <row r="553">
          <cell r="B553" t="str">
            <v>Varilla Cooper Well 5/8 X 2.4</v>
          </cell>
        </row>
        <row r="554">
          <cell r="B554" t="str">
            <v xml:space="preserve">Varilla cuadrada 1/2 </v>
          </cell>
        </row>
        <row r="555">
          <cell r="B555" t="str">
            <v xml:space="preserve">Varilla Lisa 1/2" </v>
          </cell>
        </row>
        <row r="556">
          <cell r="B556" t="str">
            <v>Varilla Lisa 3/8"</v>
          </cell>
        </row>
        <row r="557">
          <cell r="B557" t="str">
            <v>Ventana en madera</v>
          </cell>
        </row>
        <row r="558">
          <cell r="B558" t="str">
            <v>Ventana en aluminio</v>
          </cell>
        </row>
        <row r="559">
          <cell r="B559" t="str">
            <v>Ventanería Met.+Reja</v>
          </cell>
        </row>
        <row r="560">
          <cell r="B560" t="str">
            <v>Ventanería Met.Lamina Cal.18 Tipo Reja 3/8"</v>
          </cell>
        </row>
        <row r="561">
          <cell r="B561" t="str">
            <v>Ventanería Metálica Lamina Cal.18</v>
          </cell>
        </row>
        <row r="562">
          <cell r="B562" t="str">
            <v>Ventilador</v>
          </cell>
        </row>
        <row r="563">
          <cell r="B563" t="str">
            <v>Vidrio Bronce 4mm.</v>
          </cell>
        </row>
        <row r="564">
          <cell r="B564" t="str">
            <v>Vidrio Bronce 5 mm.</v>
          </cell>
        </row>
        <row r="565">
          <cell r="B565" t="str">
            <v>Vidrio Bronce 5 mm.</v>
          </cell>
        </row>
        <row r="566">
          <cell r="B566" t="str">
            <v>Vidrio Bronce 6 mm.</v>
          </cell>
        </row>
        <row r="567">
          <cell r="B567" t="str">
            <v>Vidrio Crudo 4 mm.</v>
          </cell>
        </row>
        <row r="568">
          <cell r="B568" t="str">
            <v>Vidrio Crudo 6 mm.</v>
          </cell>
        </row>
        <row r="569">
          <cell r="B569" t="str">
            <v>Vidrio Martillado de 4. Mm.</v>
          </cell>
        </row>
        <row r="570">
          <cell r="B570" t="str">
            <v>Vigas de Madera de 10x18</v>
          </cell>
        </row>
        <row r="571">
          <cell r="B571" t="str">
            <v>Vinilo T1</v>
          </cell>
        </row>
        <row r="572">
          <cell r="B572" t="str">
            <v>Vinilo T2</v>
          </cell>
        </row>
        <row r="573">
          <cell r="B573" t="str">
            <v>Vinilo T3</v>
          </cell>
        </row>
        <row r="574">
          <cell r="B574" t="str">
            <v>Viniltex Exterior</v>
          </cell>
        </row>
        <row r="575">
          <cell r="B575" t="str">
            <v>Viniltex Interior</v>
          </cell>
        </row>
        <row r="576">
          <cell r="B576" t="str">
            <v>Wing Metálico</v>
          </cell>
        </row>
        <row r="577">
          <cell r="B577" t="str">
            <v>Wing Plástico</v>
          </cell>
        </row>
        <row r="578">
          <cell r="B578" t="str">
            <v>Yee PVC -S   Ø 6"</v>
          </cell>
        </row>
        <row r="579">
          <cell r="B579" t="str">
            <v>Yee PVC- S  Ø 2"</v>
          </cell>
        </row>
        <row r="580">
          <cell r="B580" t="str">
            <v>Yee PVC- S  Ø 3"</v>
          </cell>
        </row>
        <row r="581">
          <cell r="B581" t="str">
            <v>Yee PVC- S  Ø 4"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uesto remoción de derrumb"/>
      <sheetName val="Insum"/>
      <sheetName val="COSTOS CAMPAMENTO"/>
      <sheetName val="TARIF2002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RELACION MES"/>
      <sheetName val="Insum"/>
      <sheetName val="TABLA 2008"/>
      <sheetName val="c2.5y2.6"/>
      <sheetName val="GCB2000"/>
      <sheetName val="A.P.U"/>
      <sheetName val="Excavación Mat. Común Estacione"/>
      <sheetName val="Demolición Pavimento"/>
      <sheetName val="SUB APU"/>
      <sheetName val="Equipo"/>
      <sheetName val="TRANSPORTE"/>
      <sheetName val="PUNITARIOS%20PARA%20241201%202S"/>
      <sheetName val="ESTADO VÍA-CRIT.TECNICO"/>
      <sheetName val="PRESUPUESTO"/>
      <sheetName val="Listas"/>
      <sheetName val="A. P. U.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CRA.MODI"/>
      <sheetName val="Presup_Cancha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protocolo obra"/>
      <sheetName val="presup protocolo interv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2,1"/>
      <sheetName val="2,2"/>
      <sheetName val="2,3"/>
      <sheetName val="2,4"/>
      <sheetName val="2,5"/>
      <sheetName val="2,6"/>
      <sheetName val="2,7"/>
      <sheetName val="2,8"/>
      <sheetName val="2,9"/>
      <sheetName val="2,10"/>
      <sheetName val="3.1"/>
      <sheetName val="3.2"/>
      <sheetName val="3.3"/>
      <sheetName val="3,4"/>
      <sheetName val="3,5"/>
      <sheetName val="3,6"/>
      <sheetName val="0.7"/>
      <sheetName val="0.1"/>
      <sheetName val="4.1"/>
    </sheetNames>
    <sheetDataSet>
      <sheetData sheetId="0">
        <row r="43">
          <cell r="F43">
            <v>6707620</v>
          </cell>
        </row>
      </sheetData>
      <sheetData sheetId="1">
        <row r="43">
          <cell r="F43">
            <v>3598620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PAGA CAP"/>
      <sheetName val="MO-INSUMOS"/>
      <sheetName val="PLAN DE CARGAS"/>
      <sheetName val="ED AMB"/>
      <sheetName val="DIS RES"/>
      <sheetName val="RES"/>
      <sheetName val="A AFEC"/>
      <sheetName val="PROFAUNA"/>
      <sheetName val="ECOS SEN"/>
      <sheetName val="USUARIO"/>
      <sheetName val="divulg 6-2"/>
      <sheetName val="CulturaVial"/>
      <sheetName val="Pprodc "/>
      <sheetName val="Ges predial"/>
    </sheetNames>
    <sheetDataSet>
      <sheetData sheetId="0">
        <row r="21">
          <cell r="G21">
            <v>8702581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88">
          <cell r="H88">
            <v>199892120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  <sheetName val="FM INTERV"/>
      <sheetName val="Presupuesto"/>
      <sheetName val="Presup.Detallado"/>
      <sheetName val="Cantidades"/>
      <sheetName val="PMT"/>
      <sheetName val="AIU"/>
      <sheetName val="CRONOGRAMA"/>
      <sheetName val="Equipo"/>
      <sheetName val="Materiales"/>
      <sheetName val="MdeObra"/>
      <sheetName val="200.2"/>
      <sheetName val="200.4P"/>
      <sheetName val="201"/>
      <sheetName val="210.1.1"/>
      <sheetName val="210.2.1"/>
      <sheetName val="211.1"/>
      <sheetName val="215"/>
      <sheetName val="220.1"/>
      <sheetName val="230.1"/>
      <sheetName val="310.1"/>
      <sheetName val="311.1"/>
      <sheetName val="320.1"/>
      <sheetName val="500.1"/>
      <sheetName val="600.1.1"/>
      <sheetName val="600.2.1"/>
      <sheetName val="600.2.2"/>
      <sheetName val="600.2.4"/>
      <sheetName val="630.1"/>
      <sheetName val="630.2"/>
      <sheetName val="630.3"/>
      <sheetName val="630.4"/>
      <sheetName val="640.1"/>
      <sheetName val="610.1"/>
      <sheetName val="661.1"/>
      <sheetName val="660.1"/>
      <sheetName val="672.1"/>
      <sheetName val="673.1"/>
      <sheetName val="673.2"/>
      <sheetName val="674.2"/>
      <sheetName val="681.1"/>
      <sheetName val="700.1"/>
      <sheetName val="700.3"/>
      <sheetName val="701.1"/>
      <sheetName val="710.1"/>
      <sheetName val="710.2"/>
      <sheetName val="730.1"/>
      <sheetName val="730.2"/>
      <sheetName val="740.1"/>
      <sheetName val="800.1"/>
      <sheetName val="810.1"/>
      <sheetName val="P1"/>
      <sheetName val="900.1"/>
      <sheetName val="900.2"/>
      <sheetName val="900.3"/>
      <sheetName val="P1. PM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0">
          <cell r="C20">
            <v>40250</v>
          </cell>
        </row>
        <row r="24">
          <cell r="A24" t="str">
            <v>INGENIERO DIRECTOR DE OBRA</v>
          </cell>
        </row>
        <row r="25">
          <cell r="A25" t="str">
            <v xml:space="preserve"> INGENIERO ESPECIALISTA EN VIAS</v>
          </cell>
        </row>
        <row r="26">
          <cell r="A26" t="str">
            <v xml:space="preserve"> INGENIERO RESIDENTE DE OBRA</v>
          </cell>
        </row>
        <row r="27">
          <cell r="A27" t="str">
            <v xml:space="preserve">INGENIERO RESIDENTE AMBIENTAL </v>
          </cell>
        </row>
        <row r="28">
          <cell r="A28" t="str">
            <v>INGENIERO AUXILIAR DE OBRA</v>
          </cell>
        </row>
        <row r="29">
          <cell r="A29" t="str">
            <v>INGENIERO ESPECIALISTA EN GEOTÉCNIA</v>
          </cell>
        </row>
        <row r="30">
          <cell r="A30" t="str">
            <v>INGENIERO ESPECIALISTA EN ESTRUCTURAS</v>
          </cell>
        </row>
        <row r="32">
          <cell r="A32" t="str">
            <v>INGENIERO ESPECIALISTA SISO</v>
          </cell>
        </row>
        <row r="33">
          <cell r="A33" t="str">
            <v xml:space="preserve"> TRABAJADOR SOCIAL </v>
          </cell>
        </row>
        <row r="34">
          <cell r="A34" t="str">
            <v xml:space="preserve"> TOPOGRAFO </v>
          </cell>
        </row>
        <row r="35">
          <cell r="A35" t="str">
            <v xml:space="preserve"> CONTADOR </v>
          </cell>
        </row>
        <row r="36">
          <cell r="A36" t="str">
            <v xml:space="preserve"> INSPECTOR DE OBRA CIVIL</v>
          </cell>
        </row>
        <row r="37">
          <cell r="A37" t="str">
            <v xml:space="preserve"> SECRETARIA </v>
          </cell>
        </row>
        <row r="39">
          <cell r="A39" t="str">
            <v>ABOGADO</v>
          </cell>
        </row>
        <row r="40">
          <cell r="A40" t="str">
            <v>CADENERO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  <sheetName val="FM INTERV"/>
      <sheetName val="PRESUPUESTO DE OBRA"/>
      <sheetName val="PRESUPUESTO DETALLADO"/>
      <sheetName val="AIU"/>
      <sheetName val="CRONOGRAMA"/>
      <sheetName val="PAGA"/>
      <sheetName val="PMT"/>
      <sheetName val="INDICE"/>
      <sheetName val="Equipo"/>
      <sheetName val="Materiales"/>
      <sheetName val="MdeObra"/>
      <sheetName val="200.2"/>
      <sheetName val="200.4P"/>
      <sheetName val="201.7"/>
      <sheetName val="210.1.1"/>
      <sheetName val="210.2.1"/>
      <sheetName val="225P"/>
      <sheetName val="231.1"/>
      <sheetName val="310.1"/>
      <sheetName val="311.1"/>
      <sheetName val="330.1"/>
      <sheetName val="500.1"/>
      <sheetName val="600.1"/>
      <sheetName val="600.2"/>
      <sheetName val="600.3"/>
      <sheetName val="600.5"/>
      <sheetName val="610.1"/>
      <sheetName val="610.1P"/>
      <sheetName val="610.2"/>
      <sheetName val="630.4"/>
      <sheetName val="630.5"/>
      <sheetName val="630.6"/>
      <sheetName val="630.7"/>
      <sheetName val="640.1"/>
      <sheetName val="630P"/>
      <sheetName val="661.1"/>
      <sheetName val="671.1"/>
      <sheetName val="672.1"/>
      <sheetName val="673.1"/>
      <sheetName val="673.2"/>
      <sheetName val="674.2"/>
      <sheetName val="681.1"/>
      <sheetName val="700.1"/>
      <sheetName val="710.1.1"/>
      <sheetName val="710.1.2"/>
      <sheetName val="730.1"/>
      <sheetName val="730.2"/>
      <sheetName val="740.1"/>
      <sheetName val="900.2"/>
      <sheetName val="Hoja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4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7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L132"/>
  <sheetViews>
    <sheetView view="pageBreakPreview" topLeftCell="A96" zoomScale="90" zoomScaleNormal="90" zoomScaleSheetLayoutView="90" workbookViewId="0">
      <selection activeCell="F120" sqref="F120:I120"/>
    </sheetView>
  </sheetViews>
  <sheetFormatPr baseColWidth="10" defaultRowHeight="15" x14ac:dyDescent="0.25"/>
  <cols>
    <col min="1" max="1" width="1.28515625" customWidth="1"/>
    <col min="2" max="2" width="8.28515625" style="3" customWidth="1"/>
    <col min="3" max="3" width="1.28515625" style="3" hidden="1" customWidth="1"/>
    <col min="4" max="4" width="19.85546875" style="3" bestFit="1" customWidth="1"/>
    <col min="5" max="5" width="68.85546875" style="1" customWidth="1"/>
    <col min="6" max="6" width="10.28515625" style="1" bestFit="1" customWidth="1"/>
    <col min="7" max="7" width="16" style="1" customWidth="1"/>
    <col min="8" max="8" width="15.7109375" style="1" customWidth="1"/>
    <col min="9" max="9" width="18.28515625" style="1" bestFit="1" customWidth="1"/>
    <col min="10" max="10" width="14.7109375" bestFit="1" customWidth="1"/>
    <col min="11" max="11" width="20" bestFit="1" customWidth="1"/>
    <col min="12" max="12" width="24.42578125" customWidth="1"/>
  </cols>
  <sheetData>
    <row r="1" spans="2:12" ht="18.75" x14ac:dyDescent="0.25">
      <c r="B1" s="1175" t="s">
        <v>0</v>
      </c>
      <c r="C1" s="1175"/>
      <c r="D1" s="1175"/>
      <c r="E1" s="1175"/>
      <c r="F1" s="1175"/>
      <c r="G1" s="1175"/>
      <c r="H1" s="1175"/>
      <c r="I1" s="1175"/>
    </row>
    <row r="2" spans="2:12" ht="18.75" x14ac:dyDescent="0.25">
      <c r="B2" s="1175" t="s">
        <v>1</v>
      </c>
      <c r="C2" s="1175"/>
      <c r="D2" s="1175"/>
      <c r="E2" s="1175"/>
      <c r="F2" s="1175"/>
      <c r="G2" s="1175"/>
      <c r="H2" s="1175"/>
      <c r="I2" s="1175"/>
    </row>
    <row r="3" spans="2:12" ht="18.75" x14ac:dyDescent="0.25">
      <c r="B3" s="1175" t="s">
        <v>1214</v>
      </c>
      <c r="C3" s="1175"/>
      <c r="D3" s="1175"/>
      <c r="E3" s="1175"/>
      <c r="F3" s="1175"/>
      <c r="G3" s="1175"/>
      <c r="H3" s="1175"/>
      <c r="I3" s="1175"/>
    </row>
    <row r="4" spans="2:12" ht="8.25" customHeight="1" x14ac:dyDescent="0.25">
      <c r="B4" s="2"/>
      <c r="C4" s="2"/>
      <c r="D4" s="2"/>
      <c r="E4" s="2"/>
      <c r="F4" s="2"/>
      <c r="G4" s="2"/>
    </row>
    <row r="5" spans="2:12" x14ac:dyDescent="0.25">
      <c r="B5" s="1176" t="s">
        <v>1215</v>
      </c>
      <c r="C5" s="1176"/>
      <c r="D5" s="1176"/>
      <c r="E5" s="1176"/>
      <c r="F5" s="1176"/>
      <c r="G5" s="1176"/>
      <c r="H5" s="1176"/>
      <c r="I5" s="1176"/>
    </row>
    <row r="6" spans="2:12" ht="15.75" customHeight="1" x14ac:dyDescent="0.25">
      <c r="B6" s="1176"/>
      <c r="C6" s="1176"/>
      <c r="D6" s="1176"/>
      <c r="E6" s="1176"/>
      <c r="F6" s="1176"/>
      <c r="G6" s="1176"/>
      <c r="H6" s="1176"/>
      <c r="I6" s="1176"/>
    </row>
    <row r="7" spans="2:12" ht="15" customHeight="1" x14ac:dyDescent="0.25">
      <c r="B7" s="1177" t="s">
        <v>1258</v>
      </c>
      <c r="C7" s="1177"/>
      <c r="D7" s="1177"/>
      <c r="E7" s="1177"/>
      <c r="F7" s="1177"/>
      <c r="G7" s="1177"/>
      <c r="H7" s="1177"/>
      <c r="I7" s="1177"/>
    </row>
    <row r="8" spans="2:12" x14ac:dyDescent="0.25">
      <c r="B8" s="2"/>
      <c r="C8" s="2"/>
      <c r="D8" s="2"/>
      <c r="E8" s="2"/>
      <c r="F8" s="2"/>
      <c r="G8" s="2"/>
      <c r="H8" s="2"/>
      <c r="I8" s="2"/>
    </row>
    <row r="9" spans="2:12" ht="15.75" x14ac:dyDescent="0.25">
      <c r="B9" s="1176" t="s">
        <v>814</v>
      </c>
      <c r="C9" s="1176"/>
      <c r="D9" s="1176"/>
      <c r="E9" s="1176"/>
      <c r="F9" s="1176"/>
      <c r="G9" s="1176"/>
      <c r="H9" s="1176"/>
      <c r="I9" s="1176"/>
    </row>
    <row r="10" spans="2:12" ht="2.25" customHeight="1" x14ac:dyDescent="0.25">
      <c r="E10" s="3"/>
      <c r="F10" s="3"/>
      <c r="G10" s="3"/>
    </row>
    <row r="11" spans="2:12" ht="30.75" customHeight="1" x14ac:dyDescent="0.25">
      <c r="B11" s="740" t="s">
        <v>2</v>
      </c>
      <c r="C11" s="740" t="s">
        <v>2</v>
      </c>
      <c r="D11" s="740" t="s">
        <v>3</v>
      </c>
      <c r="E11" s="740" t="s">
        <v>4</v>
      </c>
      <c r="F11" s="740" t="s">
        <v>5</v>
      </c>
      <c r="G11" s="740" t="s">
        <v>6</v>
      </c>
      <c r="H11" s="740" t="s">
        <v>7</v>
      </c>
      <c r="I11" s="740" t="s">
        <v>8</v>
      </c>
      <c r="L11" s="744"/>
    </row>
    <row r="12" spans="2:12" ht="18" customHeight="1" x14ac:dyDescent="0.25">
      <c r="B12" s="45"/>
      <c r="C12" s="45"/>
      <c r="D12" s="45"/>
      <c r="E12" s="66" t="s">
        <v>93</v>
      </c>
      <c r="F12" s="45"/>
      <c r="G12" s="45"/>
      <c r="H12" s="46"/>
      <c r="I12" s="46"/>
      <c r="L12" s="744"/>
    </row>
    <row r="13" spans="2:12" ht="18" customHeight="1" x14ac:dyDescent="0.25">
      <c r="B13" s="20" t="s">
        <v>9</v>
      </c>
      <c r="C13" s="20" t="s">
        <v>9</v>
      </c>
      <c r="D13" s="20">
        <v>200.13</v>
      </c>
      <c r="E13" s="742" t="str">
        <f>+P.Detall!E13</f>
        <v xml:space="preserve">DESMONTE Y LIMPIEZA EN ZONAS NO BOSCOSAS           </v>
      </c>
      <c r="F13" s="20" t="str">
        <f>+P.Detall!F13</f>
        <v xml:space="preserve"> HA</v>
      </c>
      <c r="G13" s="25">
        <f>+P.Detall!G13</f>
        <v>10.1</v>
      </c>
      <c r="H13" s="22">
        <f>+P.Detall!H13</f>
        <v>437035</v>
      </c>
      <c r="I13" s="22">
        <f t="shared" ref="I13:I22" si="0">ROUND(H13*G13,0)</f>
        <v>4414054</v>
      </c>
      <c r="L13" s="744"/>
    </row>
    <row r="14" spans="2:12" ht="18" customHeight="1" x14ac:dyDescent="0.25">
      <c r="B14" s="20" t="s">
        <v>12</v>
      </c>
      <c r="C14" s="20" t="s">
        <v>12</v>
      </c>
      <c r="D14" s="20" t="s">
        <v>13</v>
      </c>
      <c r="E14" s="742" t="str">
        <f>+P.Detall!E14</f>
        <v xml:space="preserve">LOCALIZACIÓN Y REPLANTEO (CARRETERA)     </v>
      </c>
      <c r="F14" s="20" t="str">
        <f>+P.Detall!F14</f>
        <v>ML</v>
      </c>
      <c r="G14" s="25">
        <f>+P.Detall!G14</f>
        <v>200</v>
      </c>
      <c r="H14" s="22">
        <f>+P.Detall!H14</f>
        <v>1903</v>
      </c>
      <c r="I14" s="22">
        <f t="shared" si="0"/>
        <v>380600</v>
      </c>
      <c r="L14" s="744"/>
    </row>
    <row r="15" spans="2:12" s="743" customFormat="1" ht="18.75" customHeight="1" x14ac:dyDescent="0.25">
      <c r="B15" s="20" t="s">
        <v>16</v>
      </c>
      <c r="C15" s="20" t="s">
        <v>16</v>
      </c>
      <c r="D15" s="20" t="s">
        <v>125</v>
      </c>
      <c r="E15" s="742" t="str">
        <f>+P.Detall!E15</f>
        <v>DEMOLICIÓN DE ESTRUCTURAS</v>
      </c>
      <c r="F15" s="20" t="str">
        <f>+P.Detall!F15</f>
        <v>M3</v>
      </c>
      <c r="G15" s="25">
        <f>+P.Detall!G15</f>
        <v>38</v>
      </c>
      <c r="H15" s="22">
        <f>+P.Detall!H15</f>
        <v>121154</v>
      </c>
      <c r="I15" s="22">
        <f t="shared" si="0"/>
        <v>4603852</v>
      </c>
      <c r="L15" s="71"/>
    </row>
    <row r="16" spans="2:12" x14ac:dyDescent="0.25">
      <c r="B16" s="20">
        <v>215</v>
      </c>
      <c r="C16" s="20"/>
      <c r="D16" s="20" t="s">
        <v>125</v>
      </c>
      <c r="E16" s="742" t="str">
        <f>+P.Detall!E16</f>
        <v>REMOSIÓN DE ALCANTARILLAS</v>
      </c>
      <c r="F16" s="20" t="str">
        <f>+P.Detall!F16</f>
        <v>ML</v>
      </c>
      <c r="G16" s="25">
        <f>+P.Detall!G16</f>
        <v>30</v>
      </c>
      <c r="H16" s="22">
        <f>+P.Detall!H16</f>
        <v>38069</v>
      </c>
      <c r="I16" s="22">
        <f t="shared" si="0"/>
        <v>1142070</v>
      </c>
      <c r="L16" s="744"/>
    </row>
    <row r="17" spans="2:12" s="743" customFormat="1" x14ac:dyDescent="0.25">
      <c r="B17" s="20" t="s">
        <v>19</v>
      </c>
      <c r="C17" s="20"/>
      <c r="D17" s="20" t="s">
        <v>126</v>
      </c>
      <c r="E17" s="742" t="str">
        <f>+P.Detall!E17</f>
        <v>EXCAVACION SIN CLASIFICAR DE LA EXPLANACIÓN Y CANALES</v>
      </c>
      <c r="F17" s="20" t="str">
        <f>+P.Detall!F17</f>
        <v>M3</v>
      </c>
      <c r="G17" s="25">
        <f>+P.Detall!G17</f>
        <v>39</v>
      </c>
      <c r="H17" s="22">
        <f>+P.Detall!H17</f>
        <v>15835</v>
      </c>
      <c r="I17" s="22">
        <f t="shared" si="0"/>
        <v>617565</v>
      </c>
      <c r="L17" s="71"/>
    </row>
    <row r="18" spans="2:12" s="743" customFormat="1" x14ac:dyDescent="0.25">
      <c r="B18" s="20" t="s">
        <v>20</v>
      </c>
      <c r="C18" s="20"/>
      <c r="D18" s="20" t="s">
        <v>126</v>
      </c>
      <c r="E18" s="742" t="str">
        <f>+P.Detall!E18</f>
        <v>EXCAVACION EN ROCA DE LA EXPLANACION Y CANALES</v>
      </c>
      <c r="F18" s="20" t="str">
        <f>+P.Detall!F18</f>
        <v>M3</v>
      </c>
      <c r="G18" s="25">
        <f>+P.Detall!G18</f>
        <v>10</v>
      </c>
      <c r="H18" s="22">
        <f>+P.Detall!H18</f>
        <v>64116</v>
      </c>
      <c r="I18" s="22">
        <f t="shared" si="0"/>
        <v>641160</v>
      </c>
      <c r="L18" s="71"/>
    </row>
    <row r="19" spans="2:12" s="743" customFormat="1" x14ac:dyDescent="0.25">
      <c r="B19" s="20">
        <v>211.1</v>
      </c>
      <c r="C19" s="20"/>
      <c r="D19" s="20" t="s">
        <v>127</v>
      </c>
      <c r="E19" s="742" t="str">
        <f>+P.Detall!E19</f>
        <v>REMOCION DE DERRUMBES</v>
      </c>
      <c r="F19" s="20" t="str">
        <f>+P.Detall!F19</f>
        <v>M3</v>
      </c>
      <c r="G19" s="1056">
        <f>+P.Detall!G19</f>
        <v>4</v>
      </c>
      <c r="H19" s="22">
        <f>+P.Detall!H19</f>
        <v>6812</v>
      </c>
      <c r="I19" s="22">
        <f t="shared" si="0"/>
        <v>27248</v>
      </c>
      <c r="L19" s="71"/>
    </row>
    <row r="20" spans="2:12" x14ac:dyDescent="0.25">
      <c r="B20" s="20">
        <v>220.1</v>
      </c>
      <c r="C20" s="20"/>
      <c r="D20" s="20"/>
      <c r="E20" s="742" t="str">
        <f>+P.Detall!E20</f>
        <v>TERRAPLEN</v>
      </c>
      <c r="F20" s="20" t="str">
        <f>+P.Detall!F20</f>
        <v>M3</v>
      </c>
      <c r="G20" s="25">
        <f>+P.Detall!G20</f>
        <v>34</v>
      </c>
      <c r="H20" s="22">
        <f>+P.Detall!H20</f>
        <v>271005</v>
      </c>
      <c r="I20" s="22">
        <f t="shared" si="0"/>
        <v>9214170</v>
      </c>
      <c r="L20" s="744"/>
    </row>
    <row r="21" spans="2:12" ht="30.75" customHeight="1" x14ac:dyDescent="0.25">
      <c r="B21" s="20">
        <v>230.1</v>
      </c>
      <c r="C21" s="20"/>
      <c r="D21" s="20" t="s">
        <v>128</v>
      </c>
      <c r="E21" s="742" t="str">
        <f>+P.Detall!E21</f>
        <v xml:space="preserve">MEJORAMIENTO DE LA SUBRASANTE EMPLEANDO UNICAMENTE MATERIAL ADICIONADO </v>
      </c>
      <c r="F21" s="20" t="str">
        <f>+P.Detall!F21</f>
        <v>M3</v>
      </c>
      <c r="G21" s="25">
        <f>+P.Detall!G21</f>
        <v>66</v>
      </c>
      <c r="H21" s="22">
        <f>+P.Detall!H21</f>
        <v>214427</v>
      </c>
      <c r="I21" s="22">
        <f t="shared" si="0"/>
        <v>14152182</v>
      </c>
      <c r="L21" s="744"/>
    </row>
    <row r="22" spans="2:12" ht="28.5" customHeight="1" x14ac:dyDescent="0.25">
      <c r="B22" s="20">
        <v>310.10000000000002</v>
      </c>
      <c r="C22" s="20"/>
      <c r="D22" s="20" t="s">
        <v>129</v>
      </c>
      <c r="E22" s="742" t="str">
        <f>+P.Detall!E22</f>
        <v>CONFORMACIÓN DE LA CALZADA EXISTENTE CON ADICIÓN DE MATERIAL</v>
      </c>
      <c r="F22" s="20" t="str">
        <f>+P.Detall!F22</f>
        <v>M2</v>
      </c>
      <c r="G22" s="25">
        <f>+P.Detall!G22</f>
        <v>900</v>
      </c>
      <c r="H22" s="22">
        <f>+P.Detall!H22</f>
        <v>21590</v>
      </c>
      <c r="I22" s="22">
        <f t="shared" si="0"/>
        <v>19431000</v>
      </c>
      <c r="L22" s="744"/>
    </row>
    <row r="23" spans="2:12" ht="17.25" customHeight="1" x14ac:dyDescent="0.25">
      <c r="B23" s="20"/>
      <c r="C23" s="20"/>
      <c r="D23" s="20"/>
      <c r="E23" s="742"/>
      <c r="F23" s="20"/>
      <c r="G23" s="25"/>
      <c r="H23" s="22"/>
      <c r="I23" s="22"/>
      <c r="L23" s="744"/>
    </row>
    <row r="24" spans="2:12" x14ac:dyDescent="0.25">
      <c r="B24" s="20"/>
      <c r="C24" s="20"/>
      <c r="D24" s="20"/>
      <c r="E24" s="742"/>
      <c r="F24" s="20"/>
      <c r="G24" s="1179" t="s">
        <v>97</v>
      </c>
      <c r="H24" s="1179"/>
      <c r="I24" s="69">
        <f>+SUM(I13:I23)</f>
        <v>54623901</v>
      </c>
      <c r="L24" s="744"/>
    </row>
    <row r="25" spans="2:12" x14ac:dyDescent="0.25">
      <c r="B25" s="20"/>
      <c r="C25" s="20"/>
      <c r="D25" s="20"/>
      <c r="E25" s="742"/>
      <c r="F25" s="20"/>
      <c r="G25" s="1053"/>
      <c r="H25" s="1053"/>
      <c r="I25" s="22"/>
      <c r="L25" s="744"/>
    </row>
    <row r="26" spans="2:12" ht="17.25" customHeight="1" x14ac:dyDescent="0.25">
      <c r="B26" s="45"/>
      <c r="C26" s="45"/>
      <c r="D26" s="45"/>
      <c r="E26" s="66" t="s">
        <v>94</v>
      </c>
      <c r="F26" s="45" t="s">
        <v>24</v>
      </c>
      <c r="G26" s="57"/>
      <c r="H26" s="46"/>
      <c r="I26" s="46"/>
      <c r="L26" s="744"/>
    </row>
    <row r="27" spans="2:12" ht="17.25" customHeight="1" x14ac:dyDescent="0.25">
      <c r="B27" s="20" t="s">
        <v>25</v>
      </c>
      <c r="C27" s="20" t="s">
        <v>25</v>
      </c>
      <c r="D27" s="20" t="s">
        <v>130</v>
      </c>
      <c r="E27" s="742" t="str">
        <f>+P.Detall!E27</f>
        <v>AFIRMADO</v>
      </c>
      <c r="F27" s="20" t="str">
        <f>+P.Detall!F27</f>
        <v>M3</v>
      </c>
      <c r="G27" s="25">
        <f>+P.Detall!G27</f>
        <v>135</v>
      </c>
      <c r="H27" s="22">
        <f>+P.Detall!H27</f>
        <v>209641</v>
      </c>
      <c r="I27" s="22">
        <f>ROUND(H27*G27,0)</f>
        <v>28301535</v>
      </c>
      <c r="L27" s="744"/>
    </row>
    <row r="28" spans="2:12" ht="17.25" customHeight="1" x14ac:dyDescent="0.25">
      <c r="B28" s="20">
        <v>320.10000000000002</v>
      </c>
      <c r="C28" s="20" t="s">
        <v>27</v>
      </c>
      <c r="D28" s="20" t="s">
        <v>131</v>
      </c>
      <c r="E28" s="742" t="str">
        <f>+P.Detall!E28</f>
        <v>SUBBASE GRANULAR</v>
      </c>
      <c r="F28" s="20" t="str">
        <f>+P.Detall!F28</f>
        <v>M3</v>
      </c>
      <c r="G28" s="25">
        <f>+P.Detall!G28</f>
        <v>180</v>
      </c>
      <c r="H28" s="22">
        <f>+P.Detall!H28</f>
        <v>277788</v>
      </c>
      <c r="I28" s="22">
        <f>ROUND(H28*G28,0)</f>
        <v>50001840</v>
      </c>
      <c r="L28" s="744"/>
    </row>
    <row r="29" spans="2:12" ht="17.25" customHeight="1" x14ac:dyDescent="0.25">
      <c r="B29" s="20"/>
      <c r="C29" s="20"/>
      <c r="D29" s="20"/>
      <c r="E29" s="742"/>
      <c r="F29" s="20"/>
      <c r="G29" s="1053"/>
      <c r="H29" s="1053"/>
      <c r="I29" s="22"/>
      <c r="L29" s="744"/>
    </row>
    <row r="30" spans="2:12" ht="33.75" customHeight="1" x14ac:dyDescent="0.25">
      <c r="B30" s="20"/>
      <c r="C30" s="20"/>
      <c r="D30" s="20"/>
      <c r="E30" s="742"/>
      <c r="F30" s="20"/>
      <c r="G30" s="1179" t="s">
        <v>98</v>
      </c>
      <c r="H30" s="1179"/>
      <c r="I30" s="69">
        <f>+SUM(I27:I29)</f>
        <v>78303375</v>
      </c>
      <c r="L30" s="744"/>
    </row>
    <row r="31" spans="2:12" x14ac:dyDescent="0.25">
      <c r="B31" s="20"/>
      <c r="C31" s="20"/>
      <c r="D31" s="20"/>
      <c r="E31" s="742"/>
      <c r="F31" s="20"/>
      <c r="G31" s="1053"/>
      <c r="H31" s="1053"/>
      <c r="I31" s="22"/>
      <c r="L31" s="744"/>
    </row>
    <row r="32" spans="2:12" ht="18" customHeight="1" x14ac:dyDescent="0.25">
      <c r="B32" s="45"/>
      <c r="C32" s="45"/>
      <c r="D32" s="45"/>
      <c r="E32" s="66" t="s">
        <v>99</v>
      </c>
      <c r="F32" s="45" t="s">
        <v>24</v>
      </c>
      <c r="G32" s="57"/>
      <c r="H32" s="46"/>
      <c r="I32" s="46"/>
      <c r="L32" s="744"/>
    </row>
    <row r="33" spans="2:12" ht="27" customHeight="1" x14ac:dyDescent="0.25">
      <c r="B33" s="20">
        <v>500.1</v>
      </c>
      <c r="C33" s="20"/>
      <c r="D33" s="20" t="s">
        <v>132</v>
      </c>
      <c r="E33" s="742" t="str">
        <f>+P.Detall!E33</f>
        <v>CONCRETO HIDRAULICO DE 210 KG/CM² (3.000 PSI) CLASE D, ESPESOR 0,15 M - PLACAS Y DENTELLONES</v>
      </c>
      <c r="F33" s="20" t="str">
        <f>+P.Detall!F33</f>
        <v>M3</v>
      </c>
      <c r="G33" s="25">
        <f>+P.Detall!G33</f>
        <v>54</v>
      </c>
      <c r="H33" s="22">
        <f>+P.Detall!H33</f>
        <v>753952</v>
      </c>
      <c r="I33" s="22">
        <f>ROUND(H33*G33,0)</f>
        <v>40713408</v>
      </c>
      <c r="L33" s="744"/>
    </row>
    <row r="34" spans="2:12" ht="18" customHeight="1" x14ac:dyDescent="0.25">
      <c r="B34" s="20"/>
      <c r="C34" s="20"/>
      <c r="D34" s="20"/>
      <c r="E34" s="742"/>
      <c r="F34" s="20"/>
      <c r="G34" s="1053"/>
      <c r="H34" s="1053"/>
      <c r="I34" s="22"/>
      <c r="L34" s="744"/>
    </row>
    <row r="35" spans="2:12" ht="18" customHeight="1" x14ac:dyDescent="0.25">
      <c r="B35" s="20"/>
      <c r="C35" s="20"/>
      <c r="D35" s="20"/>
      <c r="E35" s="742"/>
      <c r="F35" s="20"/>
      <c r="G35" s="1179" t="s">
        <v>806</v>
      </c>
      <c r="H35" s="1179"/>
      <c r="I35" s="69">
        <f>+SUM(I33:I34)</f>
        <v>40713408</v>
      </c>
      <c r="K35" s="68"/>
      <c r="L35" s="744"/>
    </row>
    <row r="36" spans="2:12" x14ac:dyDescent="0.25">
      <c r="B36" s="20"/>
      <c r="C36" s="20"/>
      <c r="D36" s="20"/>
      <c r="E36" s="742"/>
      <c r="F36" s="20"/>
      <c r="G36" s="1053"/>
      <c r="H36" s="1053"/>
      <c r="I36" s="22"/>
      <c r="L36" s="744"/>
    </row>
    <row r="37" spans="2:12" ht="18" customHeight="1" x14ac:dyDescent="0.25">
      <c r="B37" s="45"/>
      <c r="C37" s="45"/>
      <c r="D37" s="45"/>
      <c r="E37" s="66" t="s">
        <v>101</v>
      </c>
      <c r="F37" s="45"/>
      <c r="G37" s="57"/>
      <c r="H37" s="46"/>
      <c r="I37" s="46"/>
      <c r="L37" s="744"/>
    </row>
    <row r="38" spans="2:12" s="65" customFormat="1" ht="18" customHeight="1" x14ac:dyDescent="0.25">
      <c r="B38" s="20"/>
      <c r="C38" s="20"/>
      <c r="D38" s="20"/>
      <c r="E38" s="780" t="str">
        <f>+P.Detall!E38</f>
        <v>EXCAVACIONES PARA ESTRUCTURAS:</v>
      </c>
      <c r="F38" s="20"/>
      <c r="G38" s="25"/>
      <c r="H38" s="22"/>
      <c r="I38" s="22"/>
      <c r="L38" s="744"/>
    </row>
    <row r="39" spans="2:12" s="743" customFormat="1" ht="18" customHeight="1" x14ac:dyDescent="0.25">
      <c r="B39" s="20" t="s">
        <v>103</v>
      </c>
      <c r="C39" s="20" t="s">
        <v>21</v>
      </c>
      <c r="D39" s="20" t="s">
        <v>133</v>
      </c>
      <c r="E39" s="742" t="str">
        <f>+P.Detall!E39</f>
        <v>EXCAVACIONES VARIAS SIN CLASIFICAR</v>
      </c>
      <c r="F39" s="20" t="str">
        <f>+P.Detall!F39</f>
        <v>M3</v>
      </c>
      <c r="G39" s="25">
        <f>+P.Detall!G39</f>
        <v>952</v>
      </c>
      <c r="H39" s="22">
        <f>+P.Detall!H39</f>
        <v>15470</v>
      </c>
      <c r="I39" s="22">
        <f>ROUND(H39*G39,0)</f>
        <v>14727440</v>
      </c>
      <c r="L39" s="71"/>
    </row>
    <row r="40" spans="2:12" s="743" customFormat="1" ht="18" customHeight="1" x14ac:dyDescent="0.25">
      <c r="B40" s="20" t="s">
        <v>106</v>
      </c>
      <c r="C40" s="20"/>
      <c r="D40" s="20" t="s">
        <v>133</v>
      </c>
      <c r="E40" s="742" t="str">
        <f>+P.Detall!E40</f>
        <v>EXCAVACIONES VARIAS EN ROCA EN SECO</v>
      </c>
      <c r="F40" s="20" t="str">
        <f>+P.Detall!F40</f>
        <v>M3</v>
      </c>
      <c r="G40" s="25">
        <f>+P.Detall!G40</f>
        <v>238</v>
      </c>
      <c r="H40" s="22">
        <f>+P.Detall!H40</f>
        <v>85717</v>
      </c>
      <c r="I40" s="22">
        <f>ROUND(H40*G40,0)</f>
        <v>20400646</v>
      </c>
      <c r="L40" s="71"/>
    </row>
    <row r="41" spans="2:12" s="743" customFormat="1" ht="18" customHeight="1" x14ac:dyDescent="0.25">
      <c r="B41" s="20" t="s">
        <v>109</v>
      </c>
      <c r="C41" s="20" t="s">
        <v>31</v>
      </c>
      <c r="D41" s="20" t="s">
        <v>133</v>
      </c>
      <c r="E41" s="742" t="str">
        <f>+P.Detall!E41</f>
        <v>EXCAVACIONES VARIAS EN ROCA BAJO AGUA</v>
      </c>
      <c r="F41" s="20" t="str">
        <f>+P.Detall!F41</f>
        <v>M3</v>
      </c>
      <c r="G41" s="25">
        <f>+P.Detall!G41</f>
        <v>48</v>
      </c>
      <c r="H41" s="22">
        <f>+P.Detall!H41</f>
        <v>126016</v>
      </c>
      <c r="I41" s="22">
        <f>ROUND(H41*G41,0)</f>
        <v>6048768</v>
      </c>
      <c r="L41" s="71"/>
    </row>
    <row r="42" spans="2:12" s="743" customFormat="1" ht="30.75" customHeight="1" x14ac:dyDescent="0.25">
      <c r="B42" s="20" t="s">
        <v>110</v>
      </c>
      <c r="C42" s="20" t="s">
        <v>33</v>
      </c>
      <c r="D42" s="20" t="s">
        <v>133</v>
      </c>
      <c r="E42" s="742" t="str">
        <f>+P.Detall!E42</f>
        <v>EXCAVACIONES VARIAS EN MATERIAL COMÚN BAJO AGUA</v>
      </c>
      <c r="F42" s="20" t="str">
        <f>+P.Detall!F42</f>
        <v>M3</v>
      </c>
      <c r="G42" s="25">
        <f>+P.Detall!G42</f>
        <v>10</v>
      </c>
      <c r="H42" s="22">
        <f>+P.Detall!H42</f>
        <v>17713</v>
      </c>
      <c r="I42" s="22">
        <f>ROUND(H42*G42,0)</f>
        <v>177130</v>
      </c>
      <c r="L42" s="71"/>
    </row>
    <row r="43" spans="2:12" s="743" customFormat="1" ht="18" customHeight="1" x14ac:dyDescent="0.25">
      <c r="B43" s="20"/>
      <c r="C43" s="20"/>
      <c r="D43" s="20"/>
      <c r="E43" s="742"/>
      <c r="F43" s="20"/>
      <c r="G43" s="25"/>
      <c r="H43" s="22"/>
      <c r="I43" s="22"/>
      <c r="L43" s="71"/>
    </row>
    <row r="44" spans="2:12" s="743" customFormat="1" ht="18" customHeight="1" x14ac:dyDescent="0.25">
      <c r="B44" s="20"/>
      <c r="C44" s="20"/>
      <c r="D44" s="20"/>
      <c r="E44" s="780" t="str">
        <f>+P.Detall!E44</f>
        <v>ESTRUCTURAS DE CONCRETO:</v>
      </c>
      <c r="F44" s="20"/>
      <c r="G44" s="25"/>
      <c r="H44" s="22"/>
      <c r="I44" s="22"/>
      <c r="L44" s="71"/>
    </row>
    <row r="45" spans="2:12" s="743" customFormat="1" ht="18" customHeight="1" x14ac:dyDescent="0.25">
      <c r="B45" s="20">
        <v>630.1</v>
      </c>
      <c r="C45" s="20" t="s">
        <v>37</v>
      </c>
      <c r="D45" s="20" t="s">
        <v>134</v>
      </c>
      <c r="E45" s="742" t="str">
        <f>+P.Detall!E45</f>
        <v>CONCRETO CLASE C</v>
      </c>
      <c r="F45" s="20" t="str">
        <f>+P.Detall!F45</f>
        <v>M3</v>
      </c>
      <c r="G45" s="25">
        <f>+P.Detall!G45</f>
        <v>30</v>
      </c>
      <c r="H45" s="22">
        <f>+P.Detall!H45</f>
        <v>805045</v>
      </c>
      <c r="I45" s="22">
        <f>ROUND(H45*G45,0)</f>
        <v>24151350</v>
      </c>
      <c r="L45" s="71"/>
    </row>
    <row r="46" spans="2:12" s="743" customFormat="1" ht="18" customHeight="1" x14ac:dyDescent="0.25">
      <c r="B46" s="20">
        <v>630.20000000000005</v>
      </c>
      <c r="C46" s="20"/>
      <c r="D46" s="20" t="s">
        <v>134</v>
      </c>
      <c r="E46" s="742" t="str">
        <f>+P.Detall!E46</f>
        <v>CONCRETO CLASE D</v>
      </c>
      <c r="F46" s="20" t="str">
        <f>+P.Detall!F46</f>
        <v>M3</v>
      </c>
      <c r="G46" s="25">
        <f>+P.Detall!G46</f>
        <v>77</v>
      </c>
      <c r="H46" s="22">
        <f>+P.Detall!H46</f>
        <v>769874</v>
      </c>
      <c r="I46" s="22">
        <f>ROUND(H46*G46,0)</f>
        <v>59280298</v>
      </c>
      <c r="L46" s="71"/>
    </row>
    <row r="47" spans="2:12" s="743" customFormat="1" ht="18" customHeight="1" x14ac:dyDescent="0.25">
      <c r="B47" s="20">
        <v>630.29999999999995</v>
      </c>
      <c r="C47" s="20" t="s">
        <v>39</v>
      </c>
      <c r="D47" s="20" t="s">
        <v>134</v>
      </c>
      <c r="E47" s="742" t="str">
        <f>+P.Detall!E47</f>
        <v>CONCRETO CLASE F</v>
      </c>
      <c r="F47" s="20" t="str">
        <f>+P.Detall!F47</f>
        <v>M3</v>
      </c>
      <c r="G47" s="25">
        <f>+P.Detall!G47</f>
        <v>14</v>
      </c>
      <c r="H47" s="22">
        <f>+P.Detall!H47</f>
        <v>594611</v>
      </c>
      <c r="I47" s="22">
        <f>ROUND(H47*G47,0)</f>
        <v>8324554</v>
      </c>
      <c r="L47" s="71"/>
    </row>
    <row r="48" spans="2:12" s="743" customFormat="1" ht="18" customHeight="1" x14ac:dyDescent="0.25">
      <c r="B48" s="20">
        <v>630.4</v>
      </c>
      <c r="C48" s="20" t="s">
        <v>41</v>
      </c>
      <c r="D48" s="20" t="s">
        <v>134</v>
      </c>
      <c r="E48" s="742" t="str">
        <f>+P.Detall!E48</f>
        <v>CONCRETO CLASE G</v>
      </c>
      <c r="F48" s="20" t="str">
        <f>+P.Detall!F48</f>
        <v>M3</v>
      </c>
      <c r="G48" s="25">
        <f>+P.Detall!G48</f>
        <v>139</v>
      </c>
      <c r="H48" s="22">
        <f>+P.Detall!H48</f>
        <v>336812</v>
      </c>
      <c r="I48" s="22">
        <f>ROUND(H48*G48,0)</f>
        <v>46816868</v>
      </c>
      <c r="L48" s="71"/>
    </row>
    <row r="49" spans="2:12" s="743" customFormat="1" ht="18" customHeight="1" x14ac:dyDescent="0.25">
      <c r="B49" s="20"/>
      <c r="C49" s="20"/>
      <c r="D49" s="20"/>
      <c r="E49" s="742"/>
      <c r="F49" s="20"/>
      <c r="G49" s="25"/>
      <c r="H49" s="22"/>
      <c r="I49" s="22"/>
      <c r="L49" s="71"/>
    </row>
    <row r="50" spans="2:12" s="743" customFormat="1" ht="18" customHeight="1" x14ac:dyDescent="0.25">
      <c r="B50" s="20"/>
      <c r="C50" s="20"/>
      <c r="D50" s="20"/>
      <c r="E50" s="780" t="str">
        <f>+P.Detall!E50</f>
        <v>SUMINISTROS:</v>
      </c>
      <c r="F50" s="20"/>
      <c r="G50" s="25"/>
      <c r="H50" s="22"/>
      <c r="I50" s="22"/>
      <c r="L50" s="71"/>
    </row>
    <row r="51" spans="2:12" s="743" customFormat="1" ht="18" customHeight="1" x14ac:dyDescent="0.25">
      <c r="B51" s="20">
        <v>640.1</v>
      </c>
      <c r="C51" s="20"/>
      <c r="D51" s="20" t="s">
        <v>135</v>
      </c>
      <c r="E51" s="742" t="str">
        <f>+P.Detall!E51</f>
        <v>ACERO DE REFUERZO fy 412 Mpa</v>
      </c>
      <c r="F51" s="20" t="str">
        <f>+P.Detall!F51</f>
        <v>KG</v>
      </c>
      <c r="G51" s="25">
        <f>+P.Detall!G51</f>
        <v>14966</v>
      </c>
      <c r="H51" s="22">
        <f>+P.Detall!H51</f>
        <v>8870</v>
      </c>
      <c r="I51" s="22">
        <f>ROUND(H51*G51,0)</f>
        <v>132748420</v>
      </c>
      <c r="L51" s="71"/>
    </row>
    <row r="52" spans="2:12" s="743" customFormat="1" ht="18" customHeight="1" x14ac:dyDescent="0.25">
      <c r="B52" s="20">
        <v>610.1</v>
      </c>
      <c r="C52" s="20" t="s">
        <v>35</v>
      </c>
      <c r="D52" s="20" t="s">
        <v>136</v>
      </c>
      <c r="E52" s="742" t="str">
        <f>+P.Detall!E52</f>
        <v>RELLENO PARA ESTRUCTURAS CON RECEBO</v>
      </c>
      <c r="F52" s="20" t="str">
        <f>+P.Detall!F52</f>
        <v>M3</v>
      </c>
      <c r="G52" s="25">
        <f>+P.Detall!G52</f>
        <v>271</v>
      </c>
      <c r="H52" s="22">
        <f>+P.Detall!H52</f>
        <v>78359</v>
      </c>
      <c r="I52" s="22">
        <f>ROUND(H52*G52,0)</f>
        <v>21235289</v>
      </c>
      <c r="L52" s="71"/>
    </row>
    <row r="53" spans="2:12" s="743" customFormat="1" ht="33.75" customHeight="1" x14ac:dyDescent="0.25">
      <c r="B53" s="20" t="s">
        <v>44</v>
      </c>
      <c r="C53" s="20" t="s">
        <v>44</v>
      </c>
      <c r="D53" s="20" t="s">
        <v>137</v>
      </c>
      <c r="E53" s="742" t="str">
        <f>+P.Detall!E53</f>
        <v>TUBERÍA DE CONCRETO REFORZADO 900 MM DIÁMETRO INTERIOR (TIPO 1)</v>
      </c>
      <c r="F53" s="20" t="str">
        <f>+P.Detall!F53</f>
        <v>ML</v>
      </c>
      <c r="G53" s="25">
        <f>+P.Detall!G53</f>
        <v>113</v>
      </c>
      <c r="H53" s="22">
        <f>+P.Detall!H53</f>
        <v>734009</v>
      </c>
      <c r="I53" s="22">
        <f>ROUND(H53*G53,0)</f>
        <v>82943017</v>
      </c>
      <c r="L53" s="71"/>
    </row>
    <row r="54" spans="2:12" s="743" customFormat="1" ht="18" customHeight="1" x14ac:dyDescent="0.25">
      <c r="B54" s="20"/>
      <c r="C54" s="20"/>
      <c r="D54" s="20"/>
      <c r="E54" s="742"/>
      <c r="F54" s="20"/>
      <c r="G54" s="25"/>
      <c r="H54" s="22"/>
      <c r="I54" s="22"/>
      <c r="L54" s="71"/>
    </row>
    <row r="55" spans="2:12" s="743" customFormat="1" ht="18" customHeight="1" x14ac:dyDescent="0.25">
      <c r="B55" s="20"/>
      <c r="C55" s="20"/>
      <c r="D55" s="20"/>
      <c r="E55" s="780" t="str">
        <f>+P.Detall!E55</f>
        <v>ELEMENTOS AUXILIARES DE CONDUCCIÓN:</v>
      </c>
      <c r="F55" s="20"/>
      <c r="G55" s="25"/>
      <c r="H55" s="22"/>
      <c r="I55" s="22"/>
      <c r="L55" s="71"/>
    </row>
    <row r="56" spans="2:12" s="743" customFormat="1" ht="18" customHeight="1" x14ac:dyDescent="0.25">
      <c r="B56" s="20">
        <v>660.1</v>
      </c>
      <c r="C56" s="20" t="s">
        <v>46</v>
      </c>
      <c r="D56" s="20" t="s">
        <v>138</v>
      </c>
      <c r="E56" s="742" t="str">
        <f>+P.Detall!E56</f>
        <v>CUNETA DE CONCRETO FUNDIDA EN EL LUGAR</v>
      </c>
      <c r="F56" s="20" t="str">
        <f>+P.Detall!F56</f>
        <v>M3</v>
      </c>
      <c r="G56" s="25">
        <f>+P.Detall!G56</f>
        <v>46</v>
      </c>
      <c r="H56" s="22">
        <f>+P.Detall!H56</f>
        <v>814173</v>
      </c>
      <c r="I56" s="22">
        <f>ROUND(H56*G56,0)</f>
        <v>37451958</v>
      </c>
      <c r="L56" s="71"/>
    </row>
    <row r="57" spans="2:12" s="743" customFormat="1" ht="18" customHeight="1" x14ac:dyDescent="0.25">
      <c r="B57" s="20" t="s">
        <v>48</v>
      </c>
      <c r="C57" s="20" t="s">
        <v>48</v>
      </c>
      <c r="D57" s="20" t="s">
        <v>139</v>
      </c>
      <c r="E57" s="742" t="str">
        <f>+P.Detall!E57</f>
        <v>BORDILLOS DE CONCRETO</v>
      </c>
      <c r="F57" s="20" t="str">
        <f>+P.Detall!F57</f>
        <v>M3</v>
      </c>
      <c r="G57" s="25">
        <f>+P.Detall!G57</f>
        <v>13</v>
      </c>
      <c r="H57" s="22">
        <f>+P.Detall!H57</f>
        <v>54457</v>
      </c>
      <c r="I57" s="22">
        <f>ROUND(H57*G57,0)</f>
        <v>707941</v>
      </c>
      <c r="L57" s="71"/>
    </row>
    <row r="58" spans="2:12" s="743" customFormat="1" ht="18" customHeight="1" x14ac:dyDescent="0.25">
      <c r="B58" s="20"/>
      <c r="C58" s="20"/>
      <c r="D58" s="20"/>
      <c r="E58" s="742"/>
      <c r="F58" s="20"/>
      <c r="G58" s="25"/>
      <c r="H58" s="22"/>
      <c r="I58" s="22"/>
      <c r="L58" s="71"/>
    </row>
    <row r="59" spans="2:12" s="743" customFormat="1" ht="18" customHeight="1" x14ac:dyDescent="0.25">
      <c r="B59" s="20"/>
      <c r="C59" s="20"/>
      <c r="D59" s="20"/>
      <c r="E59" s="780" t="str">
        <f>+P.Detall!E59</f>
        <v>ELEMENTOS AUXILIARES DE DRENAJE:</v>
      </c>
      <c r="F59" s="20"/>
      <c r="G59" s="25"/>
      <c r="H59" s="22"/>
      <c r="I59" s="22"/>
      <c r="L59" s="71"/>
    </row>
    <row r="60" spans="2:12" s="743" customFormat="1" ht="18" customHeight="1" x14ac:dyDescent="0.25">
      <c r="B60" s="20" t="s">
        <v>50</v>
      </c>
      <c r="C60" s="20" t="s">
        <v>22</v>
      </c>
      <c r="D60" s="20" t="s">
        <v>140</v>
      </c>
      <c r="E60" s="742" t="str">
        <f>+P.Detall!E60</f>
        <v xml:space="preserve">GEOTEXTIL </v>
      </c>
      <c r="F60" s="20" t="str">
        <f>+P.Detall!F60</f>
        <v>M2</v>
      </c>
      <c r="G60" s="25">
        <f>+P.Detall!G60</f>
        <v>765</v>
      </c>
      <c r="H60" s="22">
        <f>+P.Detall!H60</f>
        <v>11020</v>
      </c>
      <c r="I60" s="22">
        <f>ROUND(H60*G60,0)</f>
        <v>8430300</v>
      </c>
      <c r="L60" s="71"/>
    </row>
    <row r="61" spans="2:12" s="743" customFormat="1" ht="18" customHeight="1" x14ac:dyDescent="0.25">
      <c r="B61" s="20" t="s">
        <v>165</v>
      </c>
      <c r="C61" s="20" t="s">
        <v>50</v>
      </c>
      <c r="D61" s="20" t="s">
        <v>140</v>
      </c>
      <c r="E61" s="742" t="str">
        <f>+P.Detall!E61</f>
        <v>MATERIAL GRANULAR FILTRANTE</v>
      </c>
      <c r="F61" s="20" t="str">
        <f>+P.Detall!F61</f>
        <v>M3</v>
      </c>
      <c r="G61" s="25">
        <f>+P.Detall!G61</f>
        <v>235</v>
      </c>
      <c r="H61" s="22">
        <f>+P.Detall!H61</f>
        <v>206995</v>
      </c>
      <c r="I61" s="22">
        <f>ROUND(H61*G61,0)</f>
        <v>48643825</v>
      </c>
      <c r="L61" s="71"/>
    </row>
    <row r="62" spans="2:12" s="743" customFormat="1" ht="18" customHeight="1" x14ac:dyDescent="0.25">
      <c r="B62" s="20" t="s">
        <v>52</v>
      </c>
      <c r="C62" s="20" t="s">
        <v>52</v>
      </c>
      <c r="D62" s="20" t="s">
        <v>141</v>
      </c>
      <c r="E62" s="742" t="str">
        <f>+P.Detall!E62</f>
        <v>DREN HORIZONTAL DE LONGITUD MAYOR A DIEZ METROS</v>
      </c>
      <c r="F62" s="20" t="str">
        <f>+P.Detall!F62</f>
        <v>ML</v>
      </c>
      <c r="G62" s="25">
        <f>+P.Detall!G62</f>
        <v>113</v>
      </c>
      <c r="H62" s="22">
        <f>+P.Detall!H62</f>
        <v>93048</v>
      </c>
      <c r="I62" s="22">
        <f>ROUND(H62*G62,0)</f>
        <v>10514424</v>
      </c>
      <c r="L62" s="71"/>
    </row>
    <row r="63" spans="2:12" s="743" customFormat="1" x14ac:dyDescent="0.25">
      <c r="B63" s="20"/>
      <c r="C63" s="20"/>
      <c r="D63" s="20"/>
      <c r="E63" s="742"/>
      <c r="F63" s="20"/>
      <c r="G63" s="25"/>
      <c r="H63" s="22"/>
      <c r="I63" s="22"/>
      <c r="L63" s="71"/>
    </row>
    <row r="64" spans="2:12" s="743" customFormat="1" ht="18" customHeight="1" x14ac:dyDescent="0.25">
      <c r="B64" s="20"/>
      <c r="C64" s="20"/>
      <c r="D64" s="20"/>
      <c r="E64" s="742"/>
      <c r="F64" s="20"/>
      <c r="G64" s="25"/>
      <c r="H64" s="22"/>
      <c r="I64" s="22"/>
      <c r="L64" s="71"/>
    </row>
    <row r="65" spans="2:12" ht="18" customHeight="1" x14ac:dyDescent="0.25">
      <c r="B65" s="20"/>
      <c r="C65" s="20"/>
      <c r="D65" s="20"/>
      <c r="E65" s="780" t="str">
        <f>+P.Detall!E65</f>
        <v>ELEMENTOS AUXILIARES DE CONTENCIÓN</v>
      </c>
      <c r="F65" s="20"/>
      <c r="G65" s="25"/>
      <c r="H65" s="22"/>
      <c r="I65" s="22"/>
      <c r="L65" s="744"/>
    </row>
    <row r="66" spans="2:12" s="743" customFormat="1" ht="18" customHeight="1" x14ac:dyDescent="0.25">
      <c r="B66" s="20" t="s">
        <v>54</v>
      </c>
      <c r="C66" s="20" t="s">
        <v>54</v>
      </c>
      <c r="D66" s="20" t="s">
        <v>142</v>
      </c>
      <c r="E66" s="742" t="str">
        <f>+P.Detall!E66</f>
        <v>GAVIÓN</v>
      </c>
      <c r="F66" s="20" t="str">
        <f>+P.Detall!F66</f>
        <v>M3</v>
      </c>
      <c r="G66" s="25">
        <f>+P.Detall!G66</f>
        <v>266</v>
      </c>
      <c r="H66" s="22">
        <f>+P.Detall!H66</f>
        <v>195286</v>
      </c>
      <c r="I66" s="22">
        <f>ROUND(H66*G66,0)</f>
        <v>51946076</v>
      </c>
      <c r="L66" s="744"/>
    </row>
    <row r="67" spans="2:12" ht="18" customHeight="1" x14ac:dyDescent="0.25">
      <c r="B67" s="20"/>
      <c r="C67" s="20"/>
      <c r="D67" s="20"/>
      <c r="E67" s="742"/>
      <c r="F67" s="20"/>
      <c r="G67" s="25"/>
      <c r="H67" s="22"/>
      <c r="I67" s="22"/>
      <c r="L67" s="744"/>
    </row>
    <row r="68" spans="2:12" ht="27" customHeight="1" x14ac:dyDescent="0.25">
      <c r="B68" s="20"/>
      <c r="C68" s="20"/>
      <c r="D68" s="20"/>
      <c r="E68" s="742"/>
      <c r="F68" s="20"/>
      <c r="G68" s="1179" t="s">
        <v>117</v>
      </c>
      <c r="H68" s="1179"/>
      <c r="I68" s="69">
        <f>+SUM(I38:I67)</f>
        <v>574548304</v>
      </c>
      <c r="L68" s="744"/>
    </row>
    <row r="69" spans="2:12" ht="15" customHeight="1" x14ac:dyDescent="0.25">
      <c r="B69" s="20"/>
      <c r="C69" s="20"/>
      <c r="D69" s="1184"/>
      <c r="E69" s="1184"/>
      <c r="F69" s="1184"/>
      <c r="G69" s="1184"/>
      <c r="H69" s="1053"/>
      <c r="I69" s="22"/>
      <c r="L69" s="744"/>
    </row>
    <row r="70" spans="2:12" x14ac:dyDescent="0.25">
      <c r="B70" s="45"/>
      <c r="C70" s="45"/>
      <c r="D70" s="45"/>
      <c r="E70" s="1057" t="s">
        <v>1237</v>
      </c>
      <c r="F70" s="45"/>
      <c r="G70" s="57"/>
      <c r="H70" s="46"/>
      <c r="I70" s="46"/>
      <c r="L70" s="744"/>
    </row>
    <row r="71" spans="2:12" s="743" customFormat="1" x14ac:dyDescent="0.25">
      <c r="B71" s="20"/>
      <c r="C71" s="20"/>
      <c r="D71" s="20"/>
      <c r="E71" s="742" t="str">
        <f>+P.Detall!E73</f>
        <v>BACHEO</v>
      </c>
      <c r="F71" s="20" t="str">
        <f>+P.Detall!F73</f>
        <v>M3</v>
      </c>
      <c r="G71" s="25">
        <f>+P.Detall!G73</f>
        <v>2877</v>
      </c>
      <c r="H71" s="22">
        <f>+P.Detall!H73</f>
        <v>67271</v>
      </c>
      <c r="I71" s="22">
        <f>ROUND(H71*G71,0)</f>
        <v>193538667</v>
      </c>
      <c r="L71" s="744"/>
    </row>
    <row r="72" spans="2:12" x14ac:dyDescent="0.25">
      <c r="B72" s="20"/>
      <c r="C72" s="20"/>
      <c r="D72" s="20"/>
      <c r="E72" s="742"/>
      <c r="F72" s="20"/>
      <c r="G72" s="25"/>
      <c r="H72" s="22"/>
      <c r="I72" s="22"/>
      <c r="L72" s="744"/>
    </row>
    <row r="73" spans="2:12" x14ac:dyDescent="0.25">
      <c r="B73" s="20"/>
      <c r="C73" s="20"/>
      <c r="D73" s="20"/>
      <c r="E73" s="742"/>
      <c r="F73" s="20"/>
      <c r="G73" s="1179" t="s">
        <v>1239</v>
      </c>
      <c r="H73" s="1179"/>
      <c r="I73" s="69">
        <f>+SUM(I71:I72)</f>
        <v>193538667</v>
      </c>
      <c r="L73" s="744"/>
    </row>
    <row r="74" spans="2:12" x14ac:dyDescent="0.25">
      <c r="B74" s="20"/>
      <c r="C74" s="20"/>
      <c r="D74" s="20"/>
      <c r="E74" s="742"/>
      <c r="F74" s="20"/>
      <c r="G74" s="25"/>
      <c r="H74" s="22"/>
      <c r="I74" s="22"/>
      <c r="L74" s="744"/>
    </row>
    <row r="75" spans="2:12" x14ac:dyDescent="0.25">
      <c r="B75" s="45"/>
      <c r="C75" s="45"/>
      <c r="D75" s="45"/>
      <c r="E75" s="1057" t="s">
        <v>1249</v>
      </c>
      <c r="F75" s="45"/>
      <c r="G75" s="57"/>
      <c r="H75" s="46"/>
      <c r="I75" s="46"/>
      <c r="L75" s="744"/>
    </row>
    <row r="76" spans="2:12" s="65" customFormat="1" x14ac:dyDescent="0.25">
      <c r="B76" s="20"/>
      <c r="C76" s="20"/>
      <c r="D76" s="20" t="s">
        <v>164</v>
      </c>
      <c r="E76" s="742" t="str">
        <f>+P.Detall!E79</f>
        <v>CONFORMACION DE DEPÓSITO DE MATERIAL SOBRANTE</v>
      </c>
      <c r="F76" s="20" t="str">
        <f>+P.Detall!F79</f>
        <v>M3</v>
      </c>
      <c r="G76" s="25">
        <f>+P.Detall!G79</f>
        <v>1339</v>
      </c>
      <c r="H76" s="22">
        <f>+P.Detall!H79</f>
        <v>3335</v>
      </c>
      <c r="I76" s="22">
        <f>ROUND(H76*G76,0)</f>
        <v>4465565</v>
      </c>
      <c r="L76" s="744"/>
    </row>
    <row r="77" spans="2:12" x14ac:dyDescent="0.25">
      <c r="B77" s="20"/>
      <c r="C77" s="20"/>
      <c r="D77" s="20"/>
      <c r="E77" s="742"/>
      <c r="F77" s="20"/>
      <c r="G77" s="25"/>
      <c r="H77" s="22"/>
      <c r="I77" s="22"/>
      <c r="L77" s="744"/>
    </row>
    <row r="78" spans="2:12" ht="38.25" customHeight="1" x14ac:dyDescent="0.25">
      <c r="B78" s="20"/>
      <c r="C78" s="20"/>
      <c r="D78" s="20"/>
      <c r="E78" s="742"/>
      <c r="F78" s="20"/>
      <c r="G78" s="1179" t="s">
        <v>166</v>
      </c>
      <c r="H78" s="1179"/>
      <c r="I78" s="69">
        <f>+SUM(I76:I77)</f>
        <v>4465565</v>
      </c>
      <c r="L78" s="744"/>
    </row>
    <row r="79" spans="2:12" x14ac:dyDescent="0.25">
      <c r="B79" s="20"/>
      <c r="C79" s="20"/>
      <c r="D79" s="20"/>
      <c r="E79" s="742"/>
      <c r="F79" s="20"/>
      <c r="G79" s="25"/>
      <c r="H79" s="22"/>
      <c r="I79" s="22"/>
      <c r="L79" s="744"/>
    </row>
    <row r="80" spans="2:12" x14ac:dyDescent="0.25">
      <c r="B80" s="45"/>
      <c r="C80" s="45"/>
      <c r="D80" s="45"/>
      <c r="E80" s="1057" t="s">
        <v>1250</v>
      </c>
      <c r="F80" s="45"/>
      <c r="G80" s="57"/>
      <c r="H80" s="46"/>
      <c r="I80" s="46"/>
      <c r="L80" s="744"/>
    </row>
    <row r="81" spans="2:12" ht="43.5" customHeight="1" x14ac:dyDescent="0.25">
      <c r="B81" s="20" t="str">
        <f>+P.Detall!B84</f>
        <v>900.2</v>
      </c>
      <c r="C81" s="20"/>
      <c r="D81" s="20" t="str">
        <f>+P.Detall!D84</f>
        <v>900-13</v>
      </c>
      <c r="E81" s="742" t="str">
        <f>+P.Detall!E84</f>
        <v>TRANSPORTE DE MATERIALES PROVENIENTES DE LA EXCAVACIÓN DE LA EXPLANACIÓN, CANALES Y PRÉSTAMOS PARA DISTANCIAS MAYORES DE MIL METROS (1000 M), MEDIDO A PARTIR DE CIEN METROS (100M).</v>
      </c>
      <c r="F81" s="20" t="str">
        <f>+P.Detall!F84</f>
        <v>M3-KM</v>
      </c>
      <c r="G81" s="25">
        <f>+P.Detall!G84</f>
        <v>363</v>
      </c>
      <c r="H81" s="22">
        <f>+'900,2'!I55</f>
        <v>1412</v>
      </c>
      <c r="I81" s="22">
        <f>ROUND(H81*G81,0)</f>
        <v>512556</v>
      </c>
      <c r="L81" s="744"/>
    </row>
    <row r="82" spans="2:12" x14ac:dyDescent="0.25">
      <c r="B82" s="20"/>
      <c r="C82" s="20"/>
      <c r="D82" s="20"/>
      <c r="E82" s="742"/>
      <c r="F82" s="20"/>
      <c r="G82" s="25"/>
      <c r="H82" s="22"/>
      <c r="I82" s="22"/>
      <c r="L82" s="744"/>
    </row>
    <row r="83" spans="2:12" ht="15" customHeight="1" x14ac:dyDescent="0.25">
      <c r="B83" s="20"/>
      <c r="C83" s="20"/>
      <c r="D83" s="20"/>
      <c r="E83" s="742"/>
      <c r="F83" s="20"/>
      <c r="G83" s="1179" t="s">
        <v>175</v>
      </c>
      <c r="H83" s="1179"/>
      <c r="I83" s="69">
        <f>+SUM(I81:I82)</f>
        <v>512556</v>
      </c>
      <c r="L83" s="744"/>
    </row>
    <row r="84" spans="2:12" ht="15" customHeight="1" x14ac:dyDescent="0.25">
      <c r="B84" s="367"/>
      <c r="C84" s="367"/>
      <c r="D84" s="367"/>
      <c r="E84" s="368" t="s">
        <v>1253</v>
      </c>
      <c r="F84" s="45"/>
      <c r="G84" s="57"/>
      <c r="H84" s="46"/>
      <c r="I84" s="46"/>
      <c r="L84" s="744"/>
    </row>
    <row r="85" spans="2:12" ht="15" customHeight="1" x14ac:dyDescent="0.25">
      <c r="B85" s="20"/>
      <c r="C85" s="20"/>
      <c r="D85" s="20"/>
      <c r="E85" s="1167" t="s">
        <v>310</v>
      </c>
      <c r="F85" s="20" t="s">
        <v>18</v>
      </c>
      <c r="G85" s="25">
        <f>+P.Detall!G89</f>
        <v>1281</v>
      </c>
      <c r="H85" s="25">
        <f>+P.Detall!H89</f>
        <v>11380.893333333333</v>
      </c>
      <c r="I85" s="22">
        <f>ROUND(H85*G85,0)</f>
        <v>14578924</v>
      </c>
      <c r="L85" s="744"/>
    </row>
    <row r="86" spans="2:12" ht="15" customHeight="1" x14ac:dyDescent="0.25">
      <c r="B86" s="20"/>
      <c r="C86" s="20"/>
      <c r="D86" s="20"/>
      <c r="E86" s="1167" t="s">
        <v>1251</v>
      </c>
      <c r="F86" s="20" t="s">
        <v>18</v>
      </c>
      <c r="G86" s="25">
        <f>+P.Detall!G90</f>
        <v>1369</v>
      </c>
      <c r="H86" s="25">
        <f>+P.Detall!H90</f>
        <v>104220.30666666666</v>
      </c>
      <c r="I86" s="22">
        <f t="shared" ref="I86:I90" si="1">ROUND(H86*G86,0)</f>
        <v>142677600</v>
      </c>
      <c r="L86" s="744"/>
    </row>
    <row r="87" spans="2:12" ht="15" customHeight="1" x14ac:dyDescent="0.25">
      <c r="B87" s="20"/>
      <c r="C87" s="20"/>
      <c r="D87" s="20"/>
      <c r="E87" s="1167" t="s">
        <v>1252</v>
      </c>
      <c r="F87" s="20" t="s">
        <v>18</v>
      </c>
      <c r="G87" s="25">
        <f>+P.Detall!G91</f>
        <v>1411.2287878787879</v>
      </c>
      <c r="H87" s="25">
        <f>+P.Detall!H91</f>
        <v>363</v>
      </c>
      <c r="I87" s="22">
        <f t="shared" si="1"/>
        <v>512276</v>
      </c>
      <c r="L87" s="744"/>
    </row>
    <row r="88" spans="2:12" ht="15" customHeight="1" x14ac:dyDescent="0.25">
      <c r="B88" s="20"/>
      <c r="C88" s="20"/>
      <c r="D88" s="20"/>
      <c r="E88" s="1167" t="s">
        <v>55</v>
      </c>
      <c r="F88" s="20" t="s">
        <v>18</v>
      </c>
      <c r="G88" s="25">
        <f>+P.Detall!G92</f>
        <v>100</v>
      </c>
      <c r="H88" s="25">
        <f>+P.Detall!H92</f>
        <v>195286</v>
      </c>
      <c r="I88" s="22">
        <f t="shared" si="1"/>
        <v>19528600</v>
      </c>
      <c r="L88" s="744"/>
    </row>
    <row r="89" spans="2:12" ht="15" customHeight="1" x14ac:dyDescent="0.25">
      <c r="B89" s="20"/>
      <c r="C89" s="20"/>
      <c r="D89" s="20"/>
      <c r="E89" s="1167" t="s">
        <v>1255</v>
      </c>
      <c r="F89" s="20" t="s">
        <v>18</v>
      </c>
      <c r="G89" s="25">
        <f>+P.Detall!G93</f>
        <v>4.9119999999999999</v>
      </c>
      <c r="H89" s="25">
        <f>+P.Detall!H93</f>
        <v>805045</v>
      </c>
      <c r="I89" s="22">
        <f t="shared" si="1"/>
        <v>3954381</v>
      </c>
      <c r="L89" s="744"/>
    </row>
    <row r="90" spans="2:12" ht="15" customHeight="1" x14ac:dyDescent="0.25">
      <c r="B90" s="20"/>
      <c r="C90" s="20"/>
      <c r="D90" s="20"/>
      <c r="E90" s="1167" t="s">
        <v>1256</v>
      </c>
      <c r="F90" s="20" t="s">
        <v>338</v>
      </c>
      <c r="G90" s="25">
        <f>+P.Detall!G94</f>
        <v>275</v>
      </c>
      <c r="H90" s="25">
        <f>+P.Detall!H94</f>
        <v>8870</v>
      </c>
      <c r="I90" s="22">
        <f t="shared" si="1"/>
        <v>2439250</v>
      </c>
      <c r="L90" s="744"/>
    </row>
    <row r="91" spans="2:12" ht="15" customHeight="1" x14ac:dyDescent="0.25">
      <c r="B91" s="20"/>
      <c r="C91" s="20"/>
      <c r="D91" s="20"/>
      <c r="E91" s="742"/>
      <c r="F91" s="20"/>
      <c r="G91" s="1179" t="s">
        <v>175</v>
      </c>
      <c r="H91" s="1179"/>
      <c r="I91" s="69">
        <f>+SUM(I85:I90)</f>
        <v>183691031</v>
      </c>
      <c r="L91" s="744"/>
    </row>
    <row r="92" spans="2:12" ht="15" customHeight="1" x14ac:dyDescent="0.25">
      <c r="B92" s="16"/>
      <c r="C92" s="16"/>
      <c r="D92" s="16"/>
      <c r="E92" s="19"/>
      <c r="F92" s="16"/>
      <c r="G92" s="645"/>
      <c r="H92" s="645"/>
      <c r="I92" s="549"/>
      <c r="L92" s="744"/>
    </row>
    <row r="93" spans="2:12" s="771" customFormat="1" ht="15" customHeight="1" x14ac:dyDescent="0.25">
      <c r="B93" s="83" t="s">
        <v>69</v>
      </c>
      <c r="C93" s="1172" t="s">
        <v>1057</v>
      </c>
      <c r="D93" s="1173"/>
      <c r="E93" s="1173"/>
      <c r="F93" s="1173"/>
      <c r="G93" s="1173"/>
      <c r="H93" s="1174"/>
      <c r="I93" s="1168">
        <f>+I83+I78+I68+I35+I30+I24+I73</f>
        <v>946705776</v>
      </c>
      <c r="J93" s="969"/>
      <c r="K93" s="772"/>
      <c r="L93" s="773"/>
    </row>
    <row r="94" spans="2:12" s="771" customFormat="1" ht="15" hidden="1" customHeight="1" x14ac:dyDescent="0.25">
      <c r="B94" s="774" t="s">
        <v>70</v>
      </c>
      <c r="C94" s="1172" t="s">
        <v>965</v>
      </c>
      <c r="D94" s="1173"/>
      <c r="E94" s="1173"/>
      <c r="F94" s="1173"/>
      <c r="G94" s="1173"/>
      <c r="H94" s="1174"/>
      <c r="I94" s="1044">
        <f>+P.Detall!I100</f>
        <v>8702581</v>
      </c>
      <c r="J94" s="970"/>
      <c r="K94" s="870"/>
      <c r="L94" s="773"/>
    </row>
    <row r="95" spans="2:12" s="771" customFormat="1" ht="15" hidden="1" customHeight="1" x14ac:dyDescent="0.25">
      <c r="B95" s="774" t="s">
        <v>71</v>
      </c>
      <c r="C95" s="1172" t="s">
        <v>810</v>
      </c>
      <c r="D95" s="1173" t="s">
        <v>630</v>
      </c>
      <c r="E95" s="1173"/>
      <c r="F95" s="1173"/>
      <c r="G95" s="1173"/>
      <c r="H95" s="1174"/>
      <c r="I95" s="775">
        <f>+P.Detall!I101</f>
        <v>1653490</v>
      </c>
      <c r="J95" s="970"/>
      <c r="K95" s="773"/>
      <c r="L95" s="773"/>
    </row>
    <row r="96" spans="2:12" s="771" customFormat="1" ht="15" customHeight="1" x14ac:dyDescent="0.25">
      <c r="B96" s="774"/>
      <c r="C96" s="1135"/>
      <c r="D96" s="1172" t="s">
        <v>1257</v>
      </c>
      <c r="E96" s="1173"/>
      <c r="F96" s="1173"/>
      <c r="G96" s="1173"/>
      <c r="H96" s="1173"/>
      <c r="I96" s="1094">
        <f>+I93-I91</f>
        <v>763014745</v>
      </c>
      <c r="J96" s="970"/>
      <c r="K96" s="773"/>
      <c r="L96" s="773"/>
    </row>
    <row r="97" spans="2:12" s="771" customFormat="1" ht="15" customHeight="1" x14ac:dyDescent="0.25">
      <c r="B97" s="774" t="s">
        <v>70</v>
      </c>
      <c r="C97" s="800"/>
      <c r="D97" s="1173" t="s">
        <v>1003</v>
      </c>
      <c r="E97" s="1173"/>
      <c r="F97" s="1173"/>
      <c r="G97" s="1173"/>
      <c r="H97" s="1174"/>
      <c r="I97" s="775">
        <v>0</v>
      </c>
      <c r="J97" s="969"/>
      <c r="K97" s="773"/>
      <c r="L97" s="773"/>
    </row>
    <row r="98" spans="2:12" s="771" customFormat="1" ht="15" customHeight="1" x14ac:dyDescent="0.25">
      <c r="B98" s="774" t="s">
        <v>71</v>
      </c>
      <c r="C98" s="1172" t="s">
        <v>965</v>
      </c>
      <c r="D98" s="1173"/>
      <c r="E98" s="1173"/>
      <c r="F98" s="1173"/>
      <c r="G98" s="1173"/>
      <c r="H98" s="1174"/>
      <c r="I98" s="775">
        <v>0</v>
      </c>
      <c r="J98" s="970"/>
      <c r="K98" s="773"/>
      <c r="L98" s="773"/>
    </row>
    <row r="99" spans="2:12" s="771" customFormat="1" ht="15" hidden="1" customHeight="1" x14ac:dyDescent="0.25">
      <c r="B99" s="774" t="s">
        <v>632</v>
      </c>
      <c r="C99" s="1172" t="s">
        <v>966</v>
      </c>
      <c r="D99" s="1173"/>
      <c r="E99" s="1173"/>
      <c r="F99" s="1173"/>
      <c r="G99" s="1173"/>
      <c r="H99" s="1174"/>
      <c r="I99" s="775">
        <f>+P.Detall!I103</f>
        <v>12565630</v>
      </c>
      <c r="J99" s="969"/>
      <c r="K99" s="776"/>
      <c r="L99" s="773"/>
    </row>
    <row r="100" spans="2:12" s="771" customFormat="1" ht="15" hidden="1" customHeight="1" x14ac:dyDescent="0.25">
      <c r="B100" s="774" t="s">
        <v>634</v>
      </c>
      <c r="C100" s="1169" t="s">
        <v>811</v>
      </c>
      <c r="D100" s="1170" t="s">
        <v>630</v>
      </c>
      <c r="E100" s="1170"/>
      <c r="F100" s="1170"/>
      <c r="G100" s="1170"/>
      <c r="H100" s="1171"/>
      <c r="I100" s="775">
        <f>ROUND(I99*0.19,0)</f>
        <v>2387470</v>
      </c>
      <c r="J100" s="969"/>
      <c r="L100" s="773"/>
    </row>
    <row r="101" spans="2:12" s="771" customFormat="1" ht="15" customHeight="1" x14ac:dyDescent="0.25">
      <c r="B101" s="774" t="s">
        <v>72</v>
      </c>
      <c r="C101" s="1172" t="s">
        <v>966</v>
      </c>
      <c r="D101" s="1173"/>
      <c r="E101" s="1173"/>
      <c r="F101" s="1173"/>
      <c r="G101" s="1173"/>
      <c r="H101" s="1174"/>
      <c r="I101" s="775">
        <v>0</v>
      </c>
      <c r="J101" s="969"/>
      <c r="K101" s="772"/>
      <c r="L101" s="773"/>
    </row>
    <row r="102" spans="2:12" s="771" customFormat="1" ht="15" hidden="1" customHeight="1" x14ac:dyDescent="0.25">
      <c r="B102" s="774" t="s">
        <v>637</v>
      </c>
      <c r="C102" s="1172" t="s">
        <v>638</v>
      </c>
      <c r="D102" s="1173"/>
      <c r="E102" s="1173"/>
      <c r="F102" s="1173"/>
      <c r="G102" s="1173"/>
      <c r="H102" s="1174"/>
      <c r="I102" s="775">
        <f>+P.Detall!I106</f>
        <v>0</v>
      </c>
      <c r="J102" s="969"/>
      <c r="K102" s="776"/>
      <c r="L102" s="773"/>
    </row>
    <row r="103" spans="2:12" s="771" customFormat="1" ht="15" hidden="1" customHeight="1" x14ac:dyDescent="0.25">
      <c r="B103" s="774" t="s">
        <v>639</v>
      </c>
      <c r="C103" s="1169" t="s">
        <v>812</v>
      </c>
      <c r="D103" s="1170" t="s">
        <v>630</v>
      </c>
      <c r="E103" s="1170"/>
      <c r="F103" s="1170"/>
      <c r="G103" s="1170"/>
      <c r="H103" s="1171"/>
      <c r="I103" s="775">
        <f>ROUND(I102*0.19,0)</f>
        <v>0</v>
      </c>
      <c r="J103" s="969"/>
      <c r="L103" s="773"/>
    </row>
    <row r="104" spans="2:12" s="771" customFormat="1" ht="15" hidden="1" customHeight="1" x14ac:dyDescent="0.25">
      <c r="B104" s="774" t="s">
        <v>640</v>
      </c>
      <c r="C104" s="1172" t="s">
        <v>641</v>
      </c>
      <c r="D104" s="1173"/>
      <c r="E104" s="1173"/>
      <c r="F104" s="1173"/>
      <c r="G104" s="1173"/>
      <c r="H104" s="1174"/>
      <c r="I104" s="775">
        <f>+I103+I102</f>
        <v>0</v>
      </c>
      <c r="J104" s="969"/>
      <c r="K104" s="772"/>
      <c r="L104" s="773"/>
    </row>
    <row r="105" spans="2:12" s="771" customFormat="1" ht="15" customHeight="1" x14ac:dyDescent="0.25">
      <c r="B105" s="774" t="s">
        <v>632</v>
      </c>
      <c r="C105" s="1077"/>
      <c r="D105" s="1172" t="s">
        <v>1210</v>
      </c>
      <c r="E105" s="1173"/>
      <c r="F105" s="1173"/>
      <c r="G105" s="1173"/>
      <c r="H105" s="1174"/>
      <c r="I105" s="1094">
        <f>+'[17]presup protocolo obra'!$F$43</f>
        <v>6707620</v>
      </c>
      <c r="J105" s="969"/>
      <c r="K105" s="772"/>
      <c r="L105" s="773"/>
    </row>
    <row r="106" spans="2:12" s="771" customFormat="1" ht="15" customHeight="1" x14ac:dyDescent="0.25">
      <c r="B106" s="774" t="s">
        <v>634</v>
      </c>
      <c r="C106" s="1172" t="s">
        <v>643</v>
      </c>
      <c r="D106" s="1173"/>
      <c r="E106" s="1173"/>
      <c r="F106" s="1173"/>
      <c r="G106" s="1173"/>
      <c r="H106" s="1174"/>
      <c r="I106" s="775">
        <f>+I101+I98+I96+I97+I105</f>
        <v>769722365</v>
      </c>
      <c r="J106" s="969"/>
      <c r="K106" s="776"/>
      <c r="L106" s="773"/>
    </row>
    <row r="107" spans="2:12" x14ac:dyDescent="0.25">
      <c r="B107" s="402"/>
      <c r="C107" s="1181"/>
      <c r="D107" s="1182"/>
      <c r="E107" s="1182"/>
      <c r="F107" s="1182"/>
      <c r="G107" s="1182"/>
      <c r="H107" s="1183"/>
      <c r="I107" s="971"/>
      <c r="K107" s="68"/>
      <c r="L107" s="744"/>
    </row>
    <row r="108" spans="2:12" ht="15" customHeight="1" x14ac:dyDescent="0.25">
      <c r="B108" s="779" t="s">
        <v>635</v>
      </c>
      <c r="C108" s="1172" t="s">
        <v>177</v>
      </c>
      <c r="D108" s="1173"/>
      <c r="E108" s="1173"/>
      <c r="F108" s="1173"/>
      <c r="G108" s="1173"/>
      <c r="H108" s="1174"/>
      <c r="I108" s="775">
        <v>0</v>
      </c>
      <c r="K108" s="592"/>
      <c r="L108" s="744"/>
    </row>
    <row r="109" spans="2:12" x14ac:dyDescent="0.25">
      <c r="B109" s="778"/>
      <c r="C109" s="1181"/>
      <c r="D109" s="1182"/>
      <c r="E109" s="1182"/>
      <c r="F109" s="1182"/>
      <c r="G109" s="1182"/>
      <c r="H109" s="1183"/>
      <c r="I109" s="972"/>
      <c r="K109" s="545"/>
      <c r="L109" s="744"/>
    </row>
    <row r="110" spans="2:12" ht="15" customHeight="1" x14ac:dyDescent="0.25">
      <c r="B110" s="779" t="s">
        <v>637</v>
      </c>
      <c r="C110" s="1172" t="s">
        <v>1002</v>
      </c>
      <c r="D110" s="1173"/>
      <c r="E110" s="1173"/>
      <c r="F110" s="1173"/>
      <c r="G110" s="1173"/>
      <c r="H110" s="1174"/>
      <c r="I110" s="775">
        <f>+I106+I108</f>
        <v>769722365</v>
      </c>
      <c r="K110" s="68"/>
      <c r="L110" s="744"/>
    </row>
    <row r="111" spans="2:12" ht="6" customHeight="1" x14ac:dyDescent="0.25">
      <c r="B111" s="778"/>
      <c r="C111" s="84"/>
      <c r="D111" s="84"/>
      <c r="E111" s="84"/>
      <c r="F111" s="85"/>
      <c r="G111" s="85"/>
      <c r="H111" s="86"/>
      <c r="I111" s="777"/>
      <c r="L111" s="744"/>
    </row>
    <row r="112" spans="2:12" x14ac:dyDescent="0.25">
      <c r="K112" s="968"/>
      <c r="L112" s="744" t="str">
        <f t="shared" ref="L112:L119" si="2">IF(H112="","",H112)</f>
        <v/>
      </c>
    </row>
    <row r="113" spans="2:12" x14ac:dyDescent="0.25">
      <c r="L113" s="744" t="str">
        <f t="shared" si="2"/>
        <v/>
      </c>
    </row>
    <row r="114" spans="2:12" hidden="1" x14ac:dyDescent="0.25">
      <c r="L114" s="744" t="str">
        <f t="shared" si="2"/>
        <v/>
      </c>
    </row>
    <row r="115" spans="2:12" hidden="1" x14ac:dyDescent="0.25">
      <c r="L115" s="744" t="str">
        <f t="shared" si="2"/>
        <v/>
      </c>
    </row>
    <row r="116" spans="2:12" hidden="1" x14ac:dyDescent="0.25">
      <c r="L116" s="744" t="str">
        <f t="shared" si="2"/>
        <v/>
      </c>
    </row>
    <row r="117" spans="2:12" hidden="1" x14ac:dyDescent="0.25">
      <c r="F117" s="14"/>
      <c r="G117" s="14"/>
      <c r="H117" s="14"/>
      <c r="I117" s="14"/>
      <c r="L117" s="744" t="str">
        <f t="shared" si="2"/>
        <v/>
      </c>
    </row>
    <row r="118" spans="2:12" hidden="1" x14ac:dyDescent="0.25">
      <c r="F118" s="1177" t="s">
        <v>1058</v>
      </c>
      <c r="G118" s="1177"/>
      <c r="H118" s="1177"/>
      <c r="I118" s="1177"/>
      <c r="L118" s="744" t="str">
        <f t="shared" si="2"/>
        <v/>
      </c>
    </row>
    <row r="119" spans="2:12" hidden="1" x14ac:dyDescent="0.25">
      <c r="F119" s="1177" t="s">
        <v>873</v>
      </c>
      <c r="G119" s="1177"/>
      <c r="H119" s="1177"/>
      <c r="I119" s="1177"/>
      <c r="L119" s="744" t="str">
        <f t="shared" si="2"/>
        <v/>
      </c>
    </row>
    <row r="120" spans="2:12" x14ac:dyDescent="0.25">
      <c r="F120" s="1180"/>
      <c r="G120" s="1180"/>
      <c r="H120" s="1180"/>
      <c r="I120" s="1180"/>
    </row>
    <row r="121" spans="2:12" x14ac:dyDescent="0.25">
      <c r="B121" s="1093"/>
      <c r="C121" s="1093"/>
      <c r="D121" s="1093"/>
      <c r="F121" s="1093"/>
      <c r="G121" s="1093"/>
      <c r="H121" s="1093"/>
      <c r="I121" s="1093"/>
    </row>
    <row r="122" spans="2:12" x14ac:dyDescent="0.25">
      <c r="B122" s="1093"/>
      <c r="C122" s="1093"/>
      <c r="D122" s="1093"/>
      <c r="F122" s="1099"/>
      <c r="G122" s="1099"/>
      <c r="H122" s="1099"/>
      <c r="I122" s="1099"/>
    </row>
    <row r="123" spans="2:12" x14ac:dyDescent="0.25">
      <c r="B123" s="1093"/>
      <c r="C123" s="1093"/>
      <c r="D123" s="1093"/>
      <c r="F123" s="1178" t="s">
        <v>1259</v>
      </c>
      <c r="G123" s="1178"/>
      <c r="H123" s="1178"/>
      <c r="I123" s="1178"/>
    </row>
    <row r="124" spans="2:12" x14ac:dyDescent="0.25">
      <c r="B124" s="1093"/>
      <c r="C124" s="1093"/>
      <c r="D124" s="1093"/>
      <c r="F124" s="1178" t="s">
        <v>1260</v>
      </c>
      <c r="G124" s="1178"/>
      <c r="H124" s="1178"/>
      <c r="I124" s="1178"/>
    </row>
    <row r="125" spans="2:12" x14ac:dyDescent="0.25">
      <c r="B125" s="1093"/>
      <c r="C125" s="1093"/>
      <c r="D125" s="1093"/>
      <c r="F125" s="1093"/>
      <c r="G125" s="1093"/>
      <c r="H125" s="1093"/>
      <c r="I125" s="1093"/>
    </row>
    <row r="126" spans="2:12" x14ac:dyDescent="0.25">
      <c r="B126" s="1093"/>
      <c r="C126" s="1093"/>
      <c r="D126" s="1093"/>
      <c r="F126" s="1093"/>
      <c r="G126" s="1093"/>
      <c r="H126" s="1093"/>
      <c r="I126" s="1093"/>
    </row>
    <row r="128" spans="2:12" x14ac:dyDescent="0.25">
      <c r="E128" s="1125">
        <f>+I110</f>
        <v>769722365</v>
      </c>
      <c r="F128" s="1126">
        <v>1</v>
      </c>
      <c r="G128" s="1125"/>
    </row>
    <row r="129" spans="5:7" x14ac:dyDescent="0.25">
      <c r="E129" s="1125">
        <f>+ROUND((F129*E128)/F128,0)</f>
        <v>76972237</v>
      </c>
      <c r="F129" s="1126">
        <v>0.1</v>
      </c>
      <c r="G129" s="1125" t="s">
        <v>809</v>
      </c>
    </row>
    <row r="130" spans="5:7" x14ac:dyDescent="0.25">
      <c r="E130" s="1125">
        <f>+ROUND((F130*E128)/F128,0)</f>
        <v>7697224</v>
      </c>
      <c r="F130" s="1126">
        <v>0.01</v>
      </c>
      <c r="G130" s="1125" t="s">
        <v>808</v>
      </c>
    </row>
    <row r="131" spans="5:7" x14ac:dyDescent="0.25">
      <c r="E131" s="1125">
        <f>+E128-E129-E130</f>
        <v>685052904</v>
      </c>
      <c r="F131" s="1125"/>
      <c r="G131" s="1125" t="s">
        <v>807</v>
      </c>
    </row>
    <row r="132" spans="5:7" x14ac:dyDescent="0.25">
      <c r="E132" s="1125">
        <f>SUM(E129:E131)</f>
        <v>769722365</v>
      </c>
      <c r="F132" s="1125"/>
      <c r="G132" s="1125"/>
    </row>
  </sheetData>
  <mergeCells count="36">
    <mergeCell ref="G68:H68"/>
    <mergeCell ref="G73:H73"/>
    <mergeCell ref="G91:H91"/>
    <mergeCell ref="D96:H96"/>
    <mergeCell ref="D69:G69"/>
    <mergeCell ref="C94:H94"/>
    <mergeCell ref="C95:H95"/>
    <mergeCell ref="G78:H78"/>
    <mergeCell ref="G83:H83"/>
    <mergeCell ref="F123:I123"/>
    <mergeCell ref="F124:I124"/>
    <mergeCell ref="G24:H24"/>
    <mergeCell ref="G30:H30"/>
    <mergeCell ref="G35:H35"/>
    <mergeCell ref="F120:I120"/>
    <mergeCell ref="F118:I118"/>
    <mergeCell ref="F119:I119"/>
    <mergeCell ref="C110:H110"/>
    <mergeCell ref="C109:H109"/>
    <mergeCell ref="C98:H98"/>
    <mergeCell ref="C99:H99"/>
    <mergeCell ref="C101:H101"/>
    <mergeCell ref="C102:H102"/>
    <mergeCell ref="C107:H107"/>
    <mergeCell ref="C108:H108"/>
    <mergeCell ref="B1:I1"/>
    <mergeCell ref="B2:I2"/>
    <mergeCell ref="B3:I3"/>
    <mergeCell ref="B5:I6"/>
    <mergeCell ref="B9:I9"/>
    <mergeCell ref="B7:I7"/>
    <mergeCell ref="C104:H104"/>
    <mergeCell ref="C106:H106"/>
    <mergeCell ref="D97:H97"/>
    <mergeCell ref="D105:H105"/>
    <mergeCell ref="C93:H93"/>
  </mergeCells>
  <hyperlinks>
    <hyperlink ref="E88" location="'681,1'!A1" display="GAVIÓN"/>
  </hyperlinks>
  <printOptions horizontalCentered="1"/>
  <pageMargins left="0.23622047244094491" right="0.23622047244094491" top="0.74803149606299213" bottom="0.74803149606299213" header="0.31496062992125984" footer="0.31496062992125984"/>
  <pageSetup paperSize="125" scale="60" orientation="portrait" horizontalDpi="200" verticalDpi="200" r:id="rId1"/>
  <headerFooter>
    <oddFooter xml:space="preserve">&amp;L
</oddFooter>
  </headerFooter>
  <ignoredErrors>
    <ignoredError sqref="B27 B13" numberStoredAsText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W132"/>
  <sheetViews>
    <sheetView view="pageBreakPreview" topLeftCell="J65" zoomScale="90" zoomScaleNormal="50" zoomScaleSheetLayoutView="90" workbookViewId="0">
      <selection activeCell="E123" sqref="E123"/>
    </sheetView>
  </sheetViews>
  <sheetFormatPr baseColWidth="10" defaultRowHeight="15" x14ac:dyDescent="0.25"/>
  <cols>
    <col min="1" max="1" width="1.5703125" customWidth="1"/>
    <col min="2" max="2" width="8.140625" style="626" customWidth="1"/>
    <col min="3" max="3" width="6.85546875" style="626" hidden="1" customWidth="1"/>
    <col min="4" max="4" width="11.85546875" style="626" customWidth="1"/>
    <col min="5" max="5" width="68.85546875" style="1" customWidth="1"/>
    <col min="6" max="6" width="9" style="1" customWidth="1"/>
    <col min="7" max="7" width="11.5703125" style="1" customWidth="1"/>
    <col min="8" max="8" width="15.5703125" style="1" customWidth="1"/>
    <col min="9" max="9" width="18.28515625" style="1" bestFit="1" customWidth="1"/>
    <col min="10" max="10" width="14.7109375" bestFit="1" customWidth="1"/>
    <col min="11" max="11" width="22.5703125" customWidth="1"/>
    <col min="12" max="12" width="15.5703125" customWidth="1"/>
    <col min="13" max="13" width="14.28515625" customWidth="1"/>
    <col min="15" max="15" width="15.140625" customWidth="1"/>
    <col min="17" max="17" width="16.5703125" customWidth="1"/>
    <col min="18" max="18" width="11" customWidth="1"/>
    <col min="19" max="19" width="20" customWidth="1"/>
    <col min="21" max="21" width="16.28515625" customWidth="1"/>
    <col min="23" max="23" width="14.140625" customWidth="1"/>
  </cols>
  <sheetData>
    <row r="1" spans="2:23" ht="18.75" customHeight="1" x14ac:dyDescent="0.25">
      <c r="B1" s="1175" t="s">
        <v>0</v>
      </c>
      <c r="C1" s="1175"/>
      <c r="D1" s="1175"/>
      <c r="E1" s="1175"/>
      <c r="F1" s="1175"/>
      <c r="G1" s="1175"/>
      <c r="H1" s="1175"/>
      <c r="I1" s="1175"/>
      <c r="J1" s="1175"/>
      <c r="K1" s="1175"/>
      <c r="L1" s="1175"/>
      <c r="M1" s="1175"/>
      <c r="N1" s="1175"/>
      <c r="O1" s="1175"/>
      <c r="P1" s="1175"/>
      <c r="Q1" s="1175"/>
      <c r="R1" s="1175"/>
      <c r="S1" s="1175"/>
      <c r="T1" s="1175"/>
      <c r="U1" s="1175"/>
      <c r="V1" s="1175"/>
      <c r="W1" s="1175"/>
    </row>
    <row r="2" spans="2:23" ht="18.75" customHeight="1" x14ac:dyDescent="0.25">
      <c r="B2" s="1175" t="s">
        <v>1</v>
      </c>
      <c r="C2" s="1175"/>
      <c r="D2" s="1175"/>
      <c r="E2" s="1175"/>
      <c r="F2" s="1175"/>
      <c r="G2" s="1175"/>
      <c r="H2" s="1175"/>
      <c r="I2" s="1175"/>
      <c r="J2" s="1175"/>
      <c r="K2" s="1175"/>
      <c r="L2" s="1175"/>
      <c r="M2" s="1175"/>
      <c r="N2" s="1175"/>
      <c r="O2" s="1175"/>
      <c r="P2" s="1175"/>
      <c r="Q2" s="1175"/>
      <c r="R2" s="1175"/>
      <c r="S2" s="1175"/>
      <c r="T2" s="1175"/>
      <c r="U2" s="1175"/>
      <c r="V2" s="1175"/>
      <c r="W2" s="1175"/>
    </row>
    <row r="3" spans="2:23" ht="18.75" customHeight="1" x14ac:dyDescent="0.25">
      <c r="B3" s="1175" t="str">
        <f>+'Presup '!B3:I3</f>
        <v>ALCALDÍA MUNICIPAL DE SAN LORENZO</v>
      </c>
      <c r="C3" s="1175"/>
      <c r="D3" s="1175"/>
      <c r="E3" s="1175"/>
      <c r="F3" s="1175"/>
      <c r="G3" s="1175"/>
      <c r="H3" s="1175"/>
      <c r="I3" s="1175"/>
      <c r="J3" s="1175"/>
      <c r="K3" s="1175"/>
      <c r="L3" s="1175"/>
      <c r="M3" s="1175"/>
      <c r="N3" s="1175"/>
      <c r="O3" s="1175"/>
      <c r="P3" s="1175"/>
      <c r="Q3" s="1175"/>
      <c r="R3" s="1175"/>
      <c r="S3" s="1175"/>
      <c r="T3" s="1175"/>
      <c r="U3" s="1175"/>
      <c r="V3" s="1175"/>
      <c r="W3" s="1175"/>
    </row>
    <row r="4" spans="2:23" ht="8.25" customHeight="1" x14ac:dyDescent="0.25">
      <c r="B4" s="627"/>
      <c r="C4" s="627"/>
      <c r="D4" s="627"/>
      <c r="E4" s="627"/>
      <c r="F4" s="627"/>
      <c r="G4" s="627"/>
    </row>
    <row r="5" spans="2:23" ht="21" customHeight="1" x14ac:dyDescent="0.25">
      <c r="B5" s="1175" t="str">
        <f>+'Presup '!B5:I6</f>
        <v>MEJORAMIENTO VÍA LA LAGUNA, SALINAS, LOS OLIVOS</v>
      </c>
      <c r="C5" s="1175"/>
      <c r="D5" s="1175"/>
      <c r="E5" s="1175"/>
      <c r="F5" s="1175"/>
      <c r="G5" s="1175"/>
      <c r="H5" s="1175"/>
      <c r="I5" s="1175"/>
      <c r="J5" s="1175"/>
      <c r="K5" s="1175"/>
      <c r="L5" s="1175"/>
      <c r="M5" s="1175"/>
      <c r="N5" s="1175"/>
      <c r="O5" s="1175"/>
      <c r="P5" s="1175"/>
      <c r="Q5" s="1175"/>
      <c r="R5" s="1175"/>
      <c r="S5" s="1175"/>
      <c r="T5" s="1175"/>
      <c r="U5" s="1175"/>
      <c r="V5" s="1175"/>
      <c r="W5" s="1175"/>
    </row>
    <row r="6" spans="2:23" x14ac:dyDescent="0.25">
      <c r="B6" s="1175"/>
      <c r="C6" s="1175"/>
      <c r="D6" s="1175"/>
      <c r="E6" s="1175"/>
      <c r="F6" s="1175"/>
      <c r="G6" s="1175"/>
      <c r="H6" s="1175"/>
      <c r="I6" s="1175"/>
      <c r="J6" s="1175"/>
      <c r="K6" s="1175"/>
      <c r="L6" s="1175"/>
      <c r="M6" s="1175"/>
      <c r="N6" s="1175"/>
      <c r="O6" s="1175"/>
      <c r="P6" s="1175"/>
      <c r="Q6" s="1175"/>
      <c r="R6" s="1175"/>
      <c r="S6" s="1175"/>
      <c r="T6" s="1175"/>
      <c r="U6" s="1175"/>
      <c r="V6" s="1175"/>
      <c r="W6" s="1175"/>
    </row>
    <row r="7" spans="2:23" ht="15" customHeight="1" x14ac:dyDescent="0.25">
      <c r="B7" s="1176"/>
      <c r="C7" s="1176"/>
      <c r="D7" s="1176"/>
      <c r="E7" s="1176"/>
      <c r="F7" s="1176"/>
      <c r="G7" s="1176"/>
      <c r="H7" s="1176"/>
      <c r="I7" s="1176"/>
      <c r="J7" s="1176"/>
      <c r="K7" s="1176"/>
      <c r="L7" s="1176"/>
      <c r="M7" s="1176"/>
      <c r="N7" s="1176"/>
      <c r="O7" s="1176"/>
      <c r="P7" s="1176"/>
      <c r="Q7" s="1176"/>
      <c r="R7" s="1176"/>
      <c r="S7" s="1176"/>
      <c r="T7" s="1176"/>
      <c r="U7" s="1176"/>
      <c r="V7" s="1176"/>
      <c r="W7" s="1176"/>
    </row>
    <row r="8" spans="2:23" ht="10.5" customHeight="1" x14ac:dyDescent="0.25">
      <c r="B8" s="627"/>
      <c r="C8" s="627"/>
      <c r="D8" s="627"/>
      <c r="E8" s="627"/>
      <c r="F8" s="627"/>
      <c r="G8" s="627"/>
      <c r="H8" s="627"/>
      <c r="I8" s="627"/>
    </row>
    <row r="9" spans="2:23" ht="15.75" customHeight="1" x14ac:dyDescent="0.25">
      <c r="B9" s="1176" t="s">
        <v>793</v>
      </c>
      <c r="C9" s="1176"/>
      <c r="D9" s="1176"/>
      <c r="E9" s="1176"/>
      <c r="F9" s="1176"/>
      <c r="G9" s="1176"/>
      <c r="H9" s="1176"/>
      <c r="I9" s="1176"/>
      <c r="J9" s="1176"/>
      <c r="K9" s="1176"/>
      <c r="L9" s="1176"/>
      <c r="M9" s="1176"/>
      <c r="N9" s="1176"/>
      <c r="O9" s="1176"/>
      <c r="P9" s="1176"/>
      <c r="Q9" s="1176"/>
      <c r="R9" s="1176"/>
      <c r="S9" s="1176"/>
      <c r="T9" s="1176"/>
      <c r="U9" s="1176"/>
      <c r="V9" s="1176"/>
      <c r="W9" s="1176"/>
    </row>
    <row r="10" spans="2:23" x14ac:dyDescent="0.25">
      <c r="E10" s="626"/>
      <c r="F10" s="626"/>
      <c r="G10" s="626"/>
    </row>
    <row r="11" spans="2:23" ht="28.5" x14ac:dyDescent="0.25">
      <c r="B11" s="4" t="s">
        <v>2</v>
      </c>
      <c r="C11" s="4" t="s">
        <v>2</v>
      </c>
      <c r="D11" s="4" t="s">
        <v>3</v>
      </c>
      <c r="E11" s="4" t="s">
        <v>4</v>
      </c>
      <c r="F11" s="4" t="s">
        <v>5</v>
      </c>
      <c r="G11" s="4" t="s">
        <v>6</v>
      </c>
      <c r="H11" s="4" t="s">
        <v>7</v>
      </c>
      <c r="I11" s="4" t="s">
        <v>8</v>
      </c>
      <c r="J11" s="247" t="s">
        <v>251</v>
      </c>
      <c r="K11" s="247" t="s">
        <v>577</v>
      </c>
      <c r="L11" s="247" t="s">
        <v>347</v>
      </c>
      <c r="M11" s="247" t="s">
        <v>578</v>
      </c>
      <c r="N11" s="247" t="s">
        <v>579</v>
      </c>
      <c r="O11" s="247" t="s">
        <v>580</v>
      </c>
      <c r="P11" s="247" t="s">
        <v>581</v>
      </c>
      <c r="Q11" s="247" t="s">
        <v>582</v>
      </c>
      <c r="R11" s="247" t="s">
        <v>596</v>
      </c>
      <c r="S11" s="247" t="s">
        <v>597</v>
      </c>
      <c r="T11" s="247" t="s">
        <v>583</v>
      </c>
      <c r="U11" s="247" t="s">
        <v>584</v>
      </c>
      <c r="V11" s="248" t="s">
        <v>585</v>
      </c>
      <c r="W11" s="248" t="s">
        <v>586</v>
      </c>
    </row>
    <row r="12" spans="2:23" x14ac:dyDescent="0.25">
      <c r="B12" s="45"/>
      <c r="C12" s="45"/>
      <c r="D12" s="45"/>
      <c r="E12" s="66" t="s">
        <v>93</v>
      </c>
      <c r="F12" s="45"/>
      <c r="G12" s="45"/>
      <c r="H12" s="46"/>
      <c r="I12" s="46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</row>
    <row r="13" spans="2:23" x14ac:dyDescent="0.25">
      <c r="B13" s="35" t="str">
        <f>+'Presup '!B13</f>
        <v>200.2</v>
      </c>
      <c r="C13" s="35" t="s">
        <v>9</v>
      </c>
      <c r="D13" s="35">
        <v>200.13</v>
      </c>
      <c r="E13" s="550" t="s">
        <v>10</v>
      </c>
      <c r="F13" s="35" t="s">
        <v>11</v>
      </c>
      <c r="G13" s="36">
        <f>+cant!J31</f>
        <v>10.1</v>
      </c>
      <c r="H13" s="37">
        <f>+'200.2'!I55</f>
        <v>437035</v>
      </c>
      <c r="I13" s="37">
        <f>ROUND(H13*G13,0)</f>
        <v>4414054</v>
      </c>
      <c r="J13" s="36">
        <f>+'200.2'!I19</f>
        <v>154181</v>
      </c>
      <c r="K13" s="36">
        <f>+J13*G13</f>
        <v>1557228.0999999999</v>
      </c>
      <c r="L13" s="36">
        <f>+'200.2'!I29</f>
        <v>0</v>
      </c>
      <c r="M13" s="36">
        <f>+L13*G13</f>
        <v>0</v>
      </c>
      <c r="N13" s="36">
        <f>+'200.2'!I36</f>
        <v>62050</v>
      </c>
      <c r="O13" s="36">
        <f>+N13*G13</f>
        <v>626705</v>
      </c>
      <c r="P13" s="36">
        <f>+'200.2'!I45</f>
        <v>119950</v>
      </c>
      <c r="Q13" s="36">
        <f>+P13*G13</f>
        <v>1211495</v>
      </c>
      <c r="R13" s="36">
        <f>+J13+L13+N13+P13</f>
        <v>336181</v>
      </c>
      <c r="S13" s="36">
        <f>+R13*G13</f>
        <v>3395428.1</v>
      </c>
      <c r="T13" s="36">
        <f>+'200.2'!I53</f>
        <v>100854</v>
      </c>
      <c r="U13" s="36">
        <f>+T13*G13</f>
        <v>1018625.3999999999</v>
      </c>
      <c r="V13" s="36">
        <f>+J13+L13+N13+P13+T13</f>
        <v>437035</v>
      </c>
      <c r="W13" s="36">
        <f>+V13*G13</f>
        <v>4414053.5</v>
      </c>
    </row>
    <row r="14" spans="2:23" x14ac:dyDescent="0.25">
      <c r="B14" s="35" t="str">
        <f>+'Presup '!B14</f>
        <v>200.4P</v>
      </c>
      <c r="C14" s="8" t="s">
        <v>12</v>
      </c>
      <c r="D14" s="8" t="s">
        <v>13</v>
      </c>
      <c r="E14" s="551" t="s">
        <v>14</v>
      </c>
      <c r="F14" s="8" t="s">
        <v>15</v>
      </c>
      <c r="G14" s="10">
        <f>+cant!E36</f>
        <v>200</v>
      </c>
      <c r="H14" s="11">
        <f>+'200,4P'!I55</f>
        <v>1903</v>
      </c>
      <c r="I14" s="11">
        <f t="shared" ref="I14:I22" si="0">ROUND(H14*G14,0)</f>
        <v>380600</v>
      </c>
      <c r="J14" s="10">
        <f>+'200,4P'!I19</f>
        <v>103</v>
      </c>
      <c r="K14" s="36">
        <f t="shared" ref="K14:K22" si="1">+J14*G14</f>
        <v>20600</v>
      </c>
      <c r="L14" s="10">
        <f>+'200,4P'!I29</f>
        <v>621</v>
      </c>
      <c r="M14" s="36">
        <f t="shared" ref="M14:M22" si="2">+L14*G14</f>
        <v>124200</v>
      </c>
      <c r="N14" s="10">
        <f>+'200,4P'!I36</f>
        <v>0</v>
      </c>
      <c r="O14" s="36">
        <f t="shared" ref="O14:O22" si="3">+N14*G14</f>
        <v>0</v>
      </c>
      <c r="P14" s="10">
        <f>+'200,4P'!I45</f>
        <v>740</v>
      </c>
      <c r="Q14" s="36">
        <f t="shared" ref="Q14:Q22" si="4">+P14*G14</f>
        <v>148000</v>
      </c>
      <c r="R14" s="36">
        <f t="shared" ref="R14:R22" si="5">+J14+L14+N14+P14</f>
        <v>1464</v>
      </c>
      <c r="S14" s="36">
        <f t="shared" ref="S14:S22" si="6">+R14*G14</f>
        <v>292800</v>
      </c>
      <c r="T14" s="10">
        <f>+'200,4P'!I53</f>
        <v>439</v>
      </c>
      <c r="U14" s="36">
        <f t="shared" ref="U14:U22" si="7">+T14*G14</f>
        <v>87800</v>
      </c>
      <c r="V14" s="36">
        <f t="shared" ref="V14:V22" si="8">+J14+L14+N14+P14+T14</f>
        <v>1903</v>
      </c>
      <c r="W14" s="36">
        <f t="shared" ref="W14:W22" si="9">+V14*G14</f>
        <v>380600</v>
      </c>
    </row>
    <row r="15" spans="2:23" x14ac:dyDescent="0.25">
      <c r="B15" s="35" t="str">
        <f>+'Presup '!B15</f>
        <v>201.7</v>
      </c>
      <c r="C15" s="8" t="s">
        <v>16</v>
      </c>
      <c r="D15" s="8" t="s">
        <v>125</v>
      </c>
      <c r="E15" s="552" t="s">
        <v>17</v>
      </c>
      <c r="F15" s="8" t="s">
        <v>18</v>
      </c>
      <c r="G15" s="10">
        <f>+cant!J112</f>
        <v>38</v>
      </c>
      <c r="H15" s="11">
        <f>+'201,7'!I55</f>
        <v>121154</v>
      </c>
      <c r="I15" s="11">
        <f t="shared" si="0"/>
        <v>4603852</v>
      </c>
      <c r="J15" s="10">
        <f>+'201,7'!I19</f>
        <v>68466</v>
      </c>
      <c r="K15" s="36">
        <f t="shared" si="1"/>
        <v>2601708</v>
      </c>
      <c r="L15" s="10">
        <f>+'201,7'!I29</f>
        <v>0</v>
      </c>
      <c r="M15" s="36">
        <f t="shared" si="2"/>
        <v>0</v>
      </c>
      <c r="N15" s="10">
        <f>+'201,7'!I36</f>
        <v>3309</v>
      </c>
      <c r="O15" s="36">
        <f t="shared" si="3"/>
        <v>125742</v>
      </c>
      <c r="P15" s="10">
        <f>+'201,7'!I45</f>
        <v>21420</v>
      </c>
      <c r="Q15" s="36">
        <f t="shared" si="4"/>
        <v>813960</v>
      </c>
      <c r="R15" s="36">
        <f t="shared" si="5"/>
        <v>93195</v>
      </c>
      <c r="S15" s="36">
        <f t="shared" si="6"/>
        <v>3541410</v>
      </c>
      <c r="T15" s="10">
        <f>+'201,7'!I53</f>
        <v>27959</v>
      </c>
      <c r="U15" s="36">
        <f t="shared" si="7"/>
        <v>1062442</v>
      </c>
      <c r="V15" s="36">
        <f t="shared" si="8"/>
        <v>121154</v>
      </c>
      <c r="W15" s="36">
        <f t="shared" si="9"/>
        <v>4603852</v>
      </c>
    </row>
    <row r="16" spans="2:23" x14ac:dyDescent="0.25">
      <c r="B16" s="35">
        <f>+'Presup '!B16</f>
        <v>215</v>
      </c>
      <c r="C16" s="8"/>
      <c r="D16" s="8" t="s">
        <v>125</v>
      </c>
      <c r="E16" s="552" t="s">
        <v>85</v>
      </c>
      <c r="F16" s="8" t="s">
        <v>15</v>
      </c>
      <c r="G16" s="10">
        <f>+cant!J128</f>
        <v>30</v>
      </c>
      <c r="H16" s="11">
        <f>+'215'!I55</f>
        <v>38069</v>
      </c>
      <c r="I16" s="11">
        <f t="shared" si="0"/>
        <v>1142070</v>
      </c>
      <c r="J16" s="10">
        <f>+'215'!I19</f>
        <v>20817</v>
      </c>
      <c r="K16" s="36">
        <f t="shared" si="1"/>
        <v>624510</v>
      </c>
      <c r="L16" s="10">
        <f>+'215'!I29</f>
        <v>0</v>
      </c>
      <c r="M16" s="36">
        <f t="shared" si="2"/>
        <v>0</v>
      </c>
      <c r="N16" s="10">
        <f>+'215'!I36</f>
        <v>1613</v>
      </c>
      <c r="O16" s="36">
        <f t="shared" si="3"/>
        <v>48390</v>
      </c>
      <c r="P16" s="10">
        <f>+'215'!I45</f>
        <v>6854</v>
      </c>
      <c r="Q16" s="36">
        <f t="shared" si="4"/>
        <v>205620</v>
      </c>
      <c r="R16" s="36">
        <f t="shared" si="5"/>
        <v>29284</v>
      </c>
      <c r="S16" s="36">
        <f t="shared" si="6"/>
        <v>878520</v>
      </c>
      <c r="T16" s="10">
        <f>+'215'!I53</f>
        <v>8785</v>
      </c>
      <c r="U16" s="36">
        <f t="shared" si="7"/>
        <v>263550</v>
      </c>
      <c r="V16" s="36">
        <f t="shared" si="8"/>
        <v>38069</v>
      </c>
      <c r="W16" s="36">
        <f t="shared" si="9"/>
        <v>1142070</v>
      </c>
    </row>
    <row r="17" spans="2:23" x14ac:dyDescent="0.25">
      <c r="B17" s="35" t="str">
        <f>+'Presup '!B17</f>
        <v>210.1.1</v>
      </c>
      <c r="C17" s="8"/>
      <c r="D17" s="8" t="s">
        <v>126</v>
      </c>
      <c r="E17" s="552" t="s">
        <v>86</v>
      </c>
      <c r="F17" s="8" t="s">
        <v>18</v>
      </c>
      <c r="G17" s="10">
        <f>+cant!J147</f>
        <v>39</v>
      </c>
      <c r="H17" s="11">
        <f>+'210,1,1'!I55</f>
        <v>15835</v>
      </c>
      <c r="I17" s="11">
        <f t="shared" si="0"/>
        <v>617565</v>
      </c>
      <c r="J17" s="10">
        <f>+'210,1,1'!I19</f>
        <v>10358</v>
      </c>
      <c r="K17" s="36">
        <f t="shared" si="1"/>
        <v>403962</v>
      </c>
      <c r="L17" s="10">
        <f>+'210,1,1'!I29</f>
        <v>0</v>
      </c>
      <c r="M17" s="36">
        <f t="shared" si="2"/>
        <v>0</v>
      </c>
      <c r="N17" s="10">
        <f>+'210,1,1'!I36</f>
        <v>0</v>
      </c>
      <c r="O17" s="36">
        <f t="shared" si="3"/>
        <v>0</v>
      </c>
      <c r="P17" s="10">
        <f>+'210,1,1'!I45</f>
        <v>1823</v>
      </c>
      <c r="Q17" s="36">
        <f t="shared" si="4"/>
        <v>71097</v>
      </c>
      <c r="R17" s="36">
        <f t="shared" si="5"/>
        <v>12181</v>
      </c>
      <c r="S17" s="36">
        <f t="shared" si="6"/>
        <v>475059</v>
      </c>
      <c r="T17" s="10">
        <f>+'210,1,1'!I53</f>
        <v>3654</v>
      </c>
      <c r="U17" s="36">
        <f t="shared" si="7"/>
        <v>142506</v>
      </c>
      <c r="V17" s="36">
        <f t="shared" si="8"/>
        <v>15835</v>
      </c>
      <c r="W17" s="36">
        <f t="shared" si="9"/>
        <v>617565</v>
      </c>
    </row>
    <row r="18" spans="2:23" x14ac:dyDescent="0.25">
      <c r="B18" s="35" t="str">
        <f>+'Presup '!B18</f>
        <v>210.2.1</v>
      </c>
      <c r="C18" s="8"/>
      <c r="D18" s="8" t="s">
        <v>126</v>
      </c>
      <c r="E18" s="552" t="s">
        <v>89</v>
      </c>
      <c r="F18" s="8" t="s">
        <v>18</v>
      </c>
      <c r="G18" s="10">
        <f>+cant!J169</f>
        <v>10</v>
      </c>
      <c r="H18" s="11">
        <f>+'210,2,1'!I55</f>
        <v>64116</v>
      </c>
      <c r="I18" s="11">
        <f t="shared" si="0"/>
        <v>641160</v>
      </c>
      <c r="J18" s="10">
        <f>+'210,2,1'!I19</f>
        <v>21947</v>
      </c>
      <c r="K18" s="36">
        <f t="shared" si="1"/>
        <v>219470</v>
      </c>
      <c r="L18" s="10">
        <f>+'210,2,1'!I29</f>
        <v>24215</v>
      </c>
      <c r="M18" s="36">
        <f t="shared" si="2"/>
        <v>242150</v>
      </c>
      <c r="N18" s="10">
        <f>+'210,2,1'!I36</f>
        <v>0</v>
      </c>
      <c r="O18" s="36">
        <f t="shared" si="3"/>
        <v>0</v>
      </c>
      <c r="P18" s="10">
        <f>+'210,2,1'!I45</f>
        <v>3158</v>
      </c>
      <c r="Q18" s="36">
        <f t="shared" si="4"/>
        <v>31580</v>
      </c>
      <c r="R18" s="36">
        <f t="shared" si="5"/>
        <v>49320</v>
      </c>
      <c r="S18" s="36">
        <f t="shared" si="6"/>
        <v>493200</v>
      </c>
      <c r="T18" s="10">
        <f>+'210,2,1'!I53</f>
        <v>14796</v>
      </c>
      <c r="U18" s="36">
        <f t="shared" si="7"/>
        <v>147960</v>
      </c>
      <c r="V18" s="36">
        <f t="shared" si="8"/>
        <v>64116</v>
      </c>
      <c r="W18" s="36">
        <f t="shared" si="9"/>
        <v>641160</v>
      </c>
    </row>
    <row r="19" spans="2:23" x14ac:dyDescent="0.25">
      <c r="B19" s="35">
        <f>+'Presup '!B19</f>
        <v>211.1</v>
      </c>
      <c r="C19" s="8"/>
      <c r="D19" s="8" t="s">
        <v>127</v>
      </c>
      <c r="E19" s="552" t="s">
        <v>90</v>
      </c>
      <c r="F19" s="8" t="s">
        <v>18</v>
      </c>
      <c r="G19" s="10">
        <f>+cant!J187</f>
        <v>4</v>
      </c>
      <c r="H19" s="11">
        <f>+'211,1'!I55</f>
        <v>6812</v>
      </c>
      <c r="I19" s="11">
        <f t="shared" si="0"/>
        <v>27248</v>
      </c>
      <c r="J19" s="10">
        <f>+'211,1'!I19</f>
        <v>2289</v>
      </c>
      <c r="K19" s="36">
        <f t="shared" si="1"/>
        <v>9156</v>
      </c>
      <c r="L19" s="10">
        <f>+'211,1'!I29</f>
        <v>2236</v>
      </c>
      <c r="M19" s="36">
        <f t="shared" si="2"/>
        <v>8944</v>
      </c>
      <c r="N19" s="10">
        <f>+'211,1'!I36</f>
        <v>0</v>
      </c>
      <c r="O19" s="36">
        <f t="shared" si="3"/>
        <v>0</v>
      </c>
      <c r="P19" s="10">
        <f>+'211,1'!I45</f>
        <v>715</v>
      </c>
      <c r="Q19" s="36">
        <f t="shared" si="4"/>
        <v>2860</v>
      </c>
      <c r="R19" s="36">
        <f t="shared" si="5"/>
        <v>5240</v>
      </c>
      <c r="S19" s="36">
        <f t="shared" si="6"/>
        <v>20960</v>
      </c>
      <c r="T19" s="10">
        <f>+'211,1'!I53</f>
        <v>1572</v>
      </c>
      <c r="U19" s="36">
        <f t="shared" si="7"/>
        <v>6288</v>
      </c>
      <c r="V19" s="36">
        <f t="shared" si="8"/>
        <v>6812</v>
      </c>
      <c r="W19" s="36">
        <f t="shared" si="9"/>
        <v>27248</v>
      </c>
    </row>
    <row r="20" spans="2:23" x14ac:dyDescent="0.25">
      <c r="B20" s="35">
        <v>220.1</v>
      </c>
      <c r="C20" s="8"/>
      <c r="D20" s="8"/>
      <c r="E20" s="552" t="s">
        <v>794</v>
      </c>
      <c r="F20" s="8" t="s">
        <v>18</v>
      </c>
      <c r="G20" s="10">
        <f>+cant!J202</f>
        <v>34</v>
      </c>
      <c r="H20" s="11">
        <f>+'220,1'!I55</f>
        <v>271005</v>
      </c>
      <c r="I20" s="11">
        <f t="shared" si="0"/>
        <v>9214170</v>
      </c>
      <c r="J20" s="10">
        <f>+'220,1'!I19</f>
        <v>6732</v>
      </c>
      <c r="K20" s="36">
        <f t="shared" si="1"/>
        <v>228888</v>
      </c>
      <c r="L20" s="10">
        <f>+'220,1'!I29</f>
        <v>33605</v>
      </c>
      <c r="M20" s="36">
        <f t="shared" si="2"/>
        <v>1142570</v>
      </c>
      <c r="N20" s="10">
        <f>+'220,1'!I36</f>
        <v>167783</v>
      </c>
      <c r="O20" s="36">
        <f t="shared" si="3"/>
        <v>5704622</v>
      </c>
      <c r="P20" s="10">
        <f>+'220,1'!I45</f>
        <v>345</v>
      </c>
      <c r="Q20" s="36">
        <f t="shared" si="4"/>
        <v>11730</v>
      </c>
      <c r="R20" s="36">
        <f t="shared" si="5"/>
        <v>208465</v>
      </c>
      <c r="S20" s="36">
        <f t="shared" si="6"/>
        <v>7087810</v>
      </c>
      <c r="T20" s="10">
        <f>+'220,1'!I53</f>
        <v>62540</v>
      </c>
      <c r="U20" s="36">
        <f t="shared" si="7"/>
        <v>2126360</v>
      </c>
      <c r="V20" s="36">
        <f t="shared" si="8"/>
        <v>271005</v>
      </c>
      <c r="W20" s="36">
        <f t="shared" si="9"/>
        <v>9214170</v>
      </c>
    </row>
    <row r="21" spans="2:23" ht="25.5" x14ac:dyDescent="0.25">
      <c r="B21" s="35">
        <f>+'Presup '!B21</f>
        <v>230.1</v>
      </c>
      <c r="C21" s="8"/>
      <c r="D21" s="8" t="s">
        <v>128</v>
      </c>
      <c r="E21" s="552" t="s">
        <v>91</v>
      </c>
      <c r="F21" s="8" t="s">
        <v>18</v>
      </c>
      <c r="G21" s="10">
        <f>+cant!J217</f>
        <v>66</v>
      </c>
      <c r="H21" s="11">
        <f>+'230,1'!I55</f>
        <v>214427</v>
      </c>
      <c r="I21" s="11">
        <f t="shared" si="0"/>
        <v>14152182</v>
      </c>
      <c r="J21" s="10">
        <f>+'230,1'!I19</f>
        <v>1947</v>
      </c>
      <c r="K21" s="36">
        <f t="shared" si="1"/>
        <v>128502</v>
      </c>
      <c r="L21" s="10">
        <f>+'230,1'!I29</f>
        <v>33693</v>
      </c>
      <c r="M21" s="36">
        <f t="shared" si="2"/>
        <v>2223738</v>
      </c>
      <c r="N21" s="10">
        <f>+'230,1'!I36</f>
        <v>129064</v>
      </c>
      <c r="O21" s="36">
        <f t="shared" si="3"/>
        <v>8518224</v>
      </c>
      <c r="P21" s="10">
        <f>+'230,1'!I45</f>
        <v>240</v>
      </c>
      <c r="Q21" s="36">
        <f t="shared" si="4"/>
        <v>15840</v>
      </c>
      <c r="R21" s="36">
        <f t="shared" si="5"/>
        <v>164944</v>
      </c>
      <c r="S21" s="36">
        <f t="shared" si="6"/>
        <v>10886304</v>
      </c>
      <c r="T21" s="10">
        <f>+'230,1'!I53</f>
        <v>49483</v>
      </c>
      <c r="U21" s="36">
        <f t="shared" si="7"/>
        <v>3265878</v>
      </c>
      <c r="V21" s="36">
        <f>+J21+L21+N21+P21+T21</f>
        <v>214427</v>
      </c>
      <c r="W21" s="36">
        <f t="shared" si="9"/>
        <v>14152182</v>
      </c>
    </row>
    <row r="22" spans="2:23" ht="24.75" customHeight="1" x14ac:dyDescent="0.25">
      <c r="B22" s="35">
        <f>+'Presup '!B22</f>
        <v>310.10000000000002</v>
      </c>
      <c r="C22" s="48"/>
      <c r="D22" s="48" t="s">
        <v>129</v>
      </c>
      <c r="E22" s="553" t="s">
        <v>92</v>
      </c>
      <c r="F22" s="48" t="s">
        <v>23</v>
      </c>
      <c r="G22" s="50">
        <f>+cant!J239</f>
        <v>900</v>
      </c>
      <c r="H22" s="51">
        <f>+'310,1'!I55</f>
        <v>21590</v>
      </c>
      <c r="I22" s="51">
        <f t="shared" si="0"/>
        <v>19431000</v>
      </c>
      <c r="J22" s="50">
        <f>+'310,1'!I19</f>
        <v>487</v>
      </c>
      <c r="K22" s="36">
        <f t="shared" si="1"/>
        <v>438300</v>
      </c>
      <c r="L22" s="50">
        <f>+'310,1'!I29</f>
        <v>3190</v>
      </c>
      <c r="M22" s="36">
        <f t="shared" si="2"/>
        <v>2871000</v>
      </c>
      <c r="N22" s="50">
        <f>+'310,1'!I36</f>
        <v>12906</v>
      </c>
      <c r="O22" s="36">
        <f t="shared" si="3"/>
        <v>11615400</v>
      </c>
      <c r="P22" s="50">
        <f>+'310,1'!I45</f>
        <v>25</v>
      </c>
      <c r="Q22" s="36">
        <f t="shared" si="4"/>
        <v>22500</v>
      </c>
      <c r="R22" s="36">
        <f t="shared" si="5"/>
        <v>16608</v>
      </c>
      <c r="S22" s="36">
        <f t="shared" si="6"/>
        <v>14947200</v>
      </c>
      <c r="T22" s="50">
        <f>+'310,1'!I53</f>
        <v>4982</v>
      </c>
      <c r="U22" s="36">
        <f t="shared" si="7"/>
        <v>4483800</v>
      </c>
      <c r="V22" s="36">
        <f t="shared" si="8"/>
        <v>21590</v>
      </c>
      <c r="W22" s="36">
        <f t="shared" si="9"/>
        <v>19431000</v>
      </c>
    </row>
    <row r="23" spans="2:23" x14ac:dyDescent="0.25">
      <c r="B23" s="38"/>
      <c r="C23" s="38"/>
      <c r="D23" s="38"/>
      <c r="E23" s="39"/>
      <c r="F23" s="38"/>
      <c r="G23" s="40"/>
      <c r="H23" s="41"/>
      <c r="I23" s="41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</row>
    <row r="24" spans="2:23" x14ac:dyDescent="0.25">
      <c r="B24" s="42"/>
      <c r="C24" s="42"/>
      <c r="D24" s="42"/>
      <c r="E24" s="43"/>
      <c r="F24" s="42"/>
      <c r="G24" s="1185" t="s">
        <v>97</v>
      </c>
      <c r="H24" s="1186"/>
      <c r="I24" s="69">
        <f>+SUM(I13:I23)</f>
        <v>54623901</v>
      </c>
      <c r="K24" s="69">
        <f>+SUM(K13:K23)</f>
        <v>6232324.0999999996</v>
      </c>
      <c r="M24" s="69">
        <f>+SUM(M13:M23)</f>
        <v>6612602</v>
      </c>
      <c r="O24" s="69">
        <f>+SUM(O13:O23)</f>
        <v>26639083</v>
      </c>
      <c r="Q24" s="69">
        <f>+SUM(Q13:Q23)</f>
        <v>2534682</v>
      </c>
      <c r="S24" s="69">
        <f>+SUM(S13:S23)</f>
        <v>42018691.100000001</v>
      </c>
      <c r="U24" s="69">
        <f>+SUM(U13:U23)</f>
        <v>12605209.4</v>
      </c>
      <c r="W24" s="69">
        <f>+SUM(W13:W23)</f>
        <v>54623900.5</v>
      </c>
    </row>
    <row r="25" spans="2:23" x14ac:dyDescent="0.25">
      <c r="B25" s="42"/>
      <c r="C25" s="42"/>
      <c r="D25" s="42"/>
      <c r="E25" s="43"/>
      <c r="F25" s="42"/>
      <c r="G25" s="52"/>
      <c r="H25" s="53"/>
      <c r="I25" s="44"/>
    </row>
    <row r="26" spans="2:23" x14ac:dyDescent="0.25">
      <c r="B26" s="45"/>
      <c r="C26" s="45"/>
      <c r="D26" s="45"/>
      <c r="E26" s="66" t="s">
        <v>94</v>
      </c>
      <c r="F26" s="45" t="s">
        <v>24</v>
      </c>
      <c r="G26" s="57"/>
      <c r="H26" s="46"/>
      <c r="I26" s="46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</row>
    <row r="27" spans="2:23" x14ac:dyDescent="0.25">
      <c r="B27" s="58" t="s">
        <v>25</v>
      </c>
      <c r="C27" s="58" t="s">
        <v>25</v>
      </c>
      <c r="D27" s="58" t="s">
        <v>130</v>
      </c>
      <c r="E27" s="553" t="s">
        <v>26</v>
      </c>
      <c r="F27" s="58" t="s">
        <v>18</v>
      </c>
      <c r="G27" s="59">
        <f>+cant!J256</f>
        <v>135</v>
      </c>
      <c r="H27" s="60">
        <f>+'311,1'!I55</f>
        <v>209641</v>
      </c>
      <c r="I27" s="60">
        <f>ROUND(H27*G27,0)</f>
        <v>28301535</v>
      </c>
      <c r="J27" s="59">
        <f>+'311,1'!I19</f>
        <v>5842</v>
      </c>
      <c r="K27" s="36">
        <f>+J27*G27</f>
        <v>788670</v>
      </c>
      <c r="L27" s="59">
        <f>+'311,1'!I29</f>
        <v>31020</v>
      </c>
      <c r="M27" s="36">
        <f>+L27*G27</f>
        <v>4187700</v>
      </c>
      <c r="N27" s="59">
        <f>+'311,1'!I36</f>
        <v>124100</v>
      </c>
      <c r="O27" s="36">
        <f>+N27*G27</f>
        <v>16753500</v>
      </c>
      <c r="P27" s="59">
        <f>+'311,1'!I45</f>
        <v>300</v>
      </c>
      <c r="Q27" s="36">
        <f>+P27*G27</f>
        <v>40500</v>
      </c>
      <c r="R27" s="36">
        <f>+J27+L27+N27+P27</f>
        <v>161262</v>
      </c>
      <c r="S27" s="36">
        <f>+R27*G27</f>
        <v>21770370</v>
      </c>
      <c r="T27" s="59">
        <f>+'311,1'!I53</f>
        <v>48379</v>
      </c>
      <c r="U27" s="36">
        <f>+T27*G27</f>
        <v>6531165</v>
      </c>
      <c r="V27" s="36">
        <f>+J27+L27+N27+P27+T27</f>
        <v>209641</v>
      </c>
      <c r="W27" s="36">
        <f>+V27*G27</f>
        <v>28301535</v>
      </c>
    </row>
    <row r="28" spans="2:23" x14ac:dyDescent="0.25">
      <c r="B28" s="8">
        <v>320.10000000000002</v>
      </c>
      <c r="C28" s="8" t="s">
        <v>27</v>
      </c>
      <c r="D28" s="8" t="s">
        <v>131</v>
      </c>
      <c r="E28" s="553" t="s">
        <v>95</v>
      </c>
      <c r="F28" s="8" t="s">
        <v>18</v>
      </c>
      <c r="G28" s="10">
        <f>+cant!J270</f>
        <v>180</v>
      </c>
      <c r="H28" s="11">
        <f>+'320,1'!I55</f>
        <v>277788</v>
      </c>
      <c r="I28" s="11">
        <f>ROUND(H28*G28,0)</f>
        <v>50001840</v>
      </c>
      <c r="J28" s="10">
        <f>+'320,1'!I19</f>
        <v>6525</v>
      </c>
      <c r="K28" s="36">
        <f>+J28*G28</f>
        <v>1174500</v>
      </c>
      <c r="L28" s="10">
        <f>+'320,1'!I29</f>
        <v>51700</v>
      </c>
      <c r="M28" s="36">
        <f>+L28*G28</f>
        <v>9306000</v>
      </c>
      <c r="N28" s="10">
        <f>+'320,1'!I36</f>
        <v>155125</v>
      </c>
      <c r="O28" s="36">
        <f>+N28*G28</f>
        <v>27922500</v>
      </c>
      <c r="P28" s="10">
        <f>+'320,1'!I45</f>
        <v>333</v>
      </c>
      <c r="Q28" s="36">
        <f>+P28*G28</f>
        <v>59940</v>
      </c>
      <c r="R28" s="36">
        <f>+J28+L28+N28+P28</f>
        <v>213683</v>
      </c>
      <c r="S28" s="36">
        <f>+R28*G28</f>
        <v>38462940</v>
      </c>
      <c r="T28" s="10">
        <f>+'320,1'!I53</f>
        <v>64105</v>
      </c>
      <c r="U28" s="36">
        <f>+T28*G28</f>
        <v>11538900</v>
      </c>
      <c r="V28" s="36">
        <f>+J28+L28+N28+P28+T28</f>
        <v>277788</v>
      </c>
      <c r="W28" s="36">
        <f>+V28*G28</f>
        <v>50001840</v>
      </c>
    </row>
    <row r="29" spans="2:23" x14ac:dyDescent="0.25">
      <c r="B29" s="61"/>
      <c r="C29" s="61"/>
      <c r="D29" s="61"/>
      <c r="E29" s="62"/>
      <c r="F29" s="61"/>
      <c r="G29" s="64"/>
      <c r="H29" s="625"/>
      <c r="I29" s="63"/>
      <c r="J29" s="64"/>
      <c r="K29" s="40"/>
      <c r="L29" s="64"/>
      <c r="M29" s="40"/>
      <c r="N29" s="64"/>
      <c r="O29" s="40"/>
      <c r="P29" s="64"/>
      <c r="Q29" s="40"/>
      <c r="R29" s="40"/>
      <c r="S29" s="40"/>
      <c r="T29" s="64"/>
      <c r="U29" s="40"/>
      <c r="V29" s="40"/>
      <c r="W29" s="40"/>
    </row>
    <row r="30" spans="2:23" ht="24.75" customHeight="1" x14ac:dyDescent="0.25">
      <c r="B30" s="42"/>
      <c r="C30" s="42"/>
      <c r="D30" s="42"/>
      <c r="E30" s="43"/>
      <c r="F30" s="42"/>
      <c r="G30" s="1187" t="s">
        <v>98</v>
      </c>
      <c r="H30" s="1188"/>
      <c r="I30" s="69">
        <f>+SUM(I27:I29)</f>
        <v>78303375</v>
      </c>
      <c r="K30" s="69">
        <f>+SUM(K27:K29)</f>
        <v>1963170</v>
      </c>
      <c r="M30" s="69">
        <f>+SUM(M27:M29)</f>
        <v>13493700</v>
      </c>
      <c r="O30" s="69">
        <f>+SUM(O27:O29)</f>
        <v>44676000</v>
      </c>
      <c r="Q30" s="69">
        <f>+SUM(Q27:Q29)</f>
        <v>100440</v>
      </c>
      <c r="S30" s="69">
        <f>+SUM(S27:S29)</f>
        <v>60233310</v>
      </c>
      <c r="U30" s="69">
        <f>+SUM(U27:U29)</f>
        <v>18070065</v>
      </c>
      <c r="W30" s="69">
        <f>+SUM(W27:W29)</f>
        <v>78303375</v>
      </c>
    </row>
    <row r="31" spans="2:23" x14ac:dyDescent="0.25">
      <c r="B31" s="42"/>
      <c r="C31" s="42"/>
      <c r="D31" s="42"/>
      <c r="E31" s="43"/>
      <c r="F31" s="42"/>
      <c r="G31" s="52"/>
      <c r="H31" s="53"/>
      <c r="I31" s="44"/>
    </row>
    <row r="32" spans="2:23" x14ac:dyDescent="0.25">
      <c r="B32" s="45"/>
      <c r="C32" s="45"/>
      <c r="D32" s="45"/>
      <c r="E32" s="66" t="s">
        <v>1232</v>
      </c>
      <c r="F32" s="45" t="s">
        <v>24</v>
      </c>
      <c r="G32" s="57"/>
      <c r="H32" s="46"/>
      <c r="I32" s="46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</row>
    <row r="33" spans="2:23" ht="25.5" x14ac:dyDescent="0.25">
      <c r="B33" s="58">
        <v>500.1</v>
      </c>
      <c r="C33" s="58"/>
      <c r="D33" s="58" t="s">
        <v>132</v>
      </c>
      <c r="E33" s="553" t="s">
        <v>1218</v>
      </c>
      <c r="F33" s="58" t="s">
        <v>18</v>
      </c>
      <c r="G33" s="59">
        <f>+cant!J284</f>
        <v>54</v>
      </c>
      <c r="H33" s="60">
        <f>+'500,1'!I55</f>
        <v>753952</v>
      </c>
      <c r="I33" s="60">
        <f>ROUND(H33*G33,0)</f>
        <v>40713408</v>
      </c>
      <c r="J33" s="59">
        <f>+'500,1'!I19</f>
        <v>9960</v>
      </c>
      <c r="K33" s="36">
        <f>+J33*G33</f>
        <v>537840</v>
      </c>
      <c r="L33" s="59">
        <f>+'500,1'!I29</f>
        <v>466225</v>
      </c>
      <c r="M33" s="36">
        <f>+L33*G33</f>
        <v>25176150</v>
      </c>
      <c r="N33" s="59">
        <f>+'500,1'!I36</f>
        <v>99280</v>
      </c>
      <c r="O33" s="36">
        <f>+N33*G33</f>
        <v>5361120</v>
      </c>
      <c r="P33" s="59">
        <f>+'500,1'!I45</f>
        <v>4498</v>
      </c>
      <c r="Q33" s="36">
        <f>+P33*G33</f>
        <v>242892</v>
      </c>
      <c r="R33" s="36">
        <f>+J33+L33+N33+P33</f>
        <v>579963</v>
      </c>
      <c r="S33" s="36">
        <f>+R33*G33</f>
        <v>31318002</v>
      </c>
      <c r="T33" s="59">
        <f>+'500,1'!I53</f>
        <v>173989</v>
      </c>
      <c r="U33" s="36">
        <f>+T33*G33</f>
        <v>9395406</v>
      </c>
      <c r="V33" s="36">
        <f>+J33+L33+N33+P33+T33</f>
        <v>753952</v>
      </c>
      <c r="W33" s="36">
        <f>+V33*G33</f>
        <v>40713408</v>
      </c>
    </row>
    <row r="34" spans="2:23" x14ac:dyDescent="0.25">
      <c r="B34" s="61"/>
      <c r="C34" s="61"/>
      <c r="D34" s="61"/>
      <c r="E34" s="553"/>
      <c r="F34" s="61"/>
      <c r="G34" s="64"/>
      <c r="H34" s="625"/>
      <c r="I34" s="63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</row>
    <row r="35" spans="2:23" ht="25.5" customHeight="1" x14ac:dyDescent="0.25">
      <c r="B35" s="42"/>
      <c r="C35" s="42"/>
      <c r="D35" s="42"/>
      <c r="E35" s="43"/>
      <c r="F35" s="42"/>
      <c r="G35" s="1187" t="s">
        <v>107</v>
      </c>
      <c r="H35" s="1188"/>
      <c r="I35" s="69">
        <f>+SUM(I33:I34)</f>
        <v>40713408</v>
      </c>
      <c r="K35" s="69">
        <f>+SUM(K33:K34)</f>
        <v>537840</v>
      </c>
      <c r="M35" s="69">
        <f>+SUM(M33:M34)</f>
        <v>25176150</v>
      </c>
      <c r="O35" s="69">
        <f>+SUM(O33:O34)</f>
        <v>5361120</v>
      </c>
      <c r="Q35" s="69">
        <f>+SUM(Q33:Q34)</f>
        <v>242892</v>
      </c>
      <c r="S35" s="69">
        <f>+SUM(S33:S34)</f>
        <v>31318002</v>
      </c>
      <c r="U35" s="69">
        <f>+SUM(U33:U34)</f>
        <v>9395406</v>
      </c>
      <c r="W35" s="69">
        <f>+SUM(W33:W34)</f>
        <v>40713408</v>
      </c>
    </row>
    <row r="36" spans="2:23" x14ac:dyDescent="0.25">
      <c r="B36" s="42"/>
      <c r="C36" s="42"/>
      <c r="D36" s="42"/>
      <c r="E36" s="43"/>
      <c r="F36" s="42"/>
      <c r="G36" s="52"/>
      <c r="H36" s="53"/>
      <c r="I36" s="44"/>
    </row>
    <row r="37" spans="2:23" x14ac:dyDescent="0.25">
      <c r="B37" s="77"/>
      <c r="C37" s="77"/>
      <c r="D37" s="77"/>
      <c r="E37" s="78" t="s">
        <v>101</v>
      </c>
      <c r="F37" s="77"/>
      <c r="G37" s="79"/>
      <c r="H37" s="80"/>
      <c r="I37" s="80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</row>
    <row r="38" spans="2:23" s="65" customFormat="1" x14ac:dyDescent="0.25">
      <c r="B38" s="358"/>
      <c r="C38" s="358"/>
      <c r="D38" s="358"/>
      <c r="E38" s="359" t="s">
        <v>102</v>
      </c>
      <c r="F38" s="358"/>
      <c r="G38" s="360"/>
      <c r="H38" s="361"/>
      <c r="I38" s="361"/>
      <c r="J38" s="360"/>
      <c r="K38" s="360"/>
      <c r="L38" s="360"/>
      <c r="M38" s="360"/>
      <c r="N38" s="360"/>
      <c r="O38" s="360"/>
      <c r="P38" s="360"/>
      <c r="Q38" s="360"/>
      <c r="R38" s="360"/>
      <c r="S38" s="360"/>
      <c r="T38" s="360"/>
      <c r="U38" s="360"/>
      <c r="V38" s="360"/>
      <c r="W38" s="360"/>
    </row>
    <row r="39" spans="2:23" x14ac:dyDescent="0.25">
      <c r="B39" s="58" t="s">
        <v>103</v>
      </c>
      <c r="C39" s="58" t="s">
        <v>21</v>
      </c>
      <c r="D39" s="58" t="s">
        <v>133</v>
      </c>
      <c r="E39" s="553" t="s">
        <v>29</v>
      </c>
      <c r="F39" s="58" t="s">
        <v>18</v>
      </c>
      <c r="G39" s="59">
        <f>+cant!J392</f>
        <v>952</v>
      </c>
      <c r="H39" s="60">
        <f>+'600,1,1'!I55</f>
        <v>15470</v>
      </c>
      <c r="I39" s="60">
        <f>ROUND(H39*G39,0)</f>
        <v>14727440</v>
      </c>
      <c r="J39" s="59">
        <f>+'600,1,1'!I19</f>
        <v>7888</v>
      </c>
      <c r="K39" s="59">
        <f>+J39*G39</f>
        <v>7509376</v>
      </c>
      <c r="L39" s="59">
        <f>+'600,1,1'!I29</f>
        <v>0</v>
      </c>
      <c r="M39" s="59">
        <f>+L39*G39</f>
        <v>0</v>
      </c>
      <c r="N39" s="59">
        <f>+'600,1,1'!I36</f>
        <v>1613</v>
      </c>
      <c r="O39" s="59">
        <f>+N39*G39</f>
        <v>1535576</v>
      </c>
      <c r="P39" s="59">
        <f>+'600,1,1'!I45</f>
        <v>2399</v>
      </c>
      <c r="Q39" s="59">
        <f>+P39*G39</f>
        <v>2283848</v>
      </c>
      <c r="R39" s="59">
        <f>+J39+L39+N39+P39</f>
        <v>11900</v>
      </c>
      <c r="S39" s="59">
        <f>+R39*G39</f>
        <v>11328800</v>
      </c>
      <c r="T39" s="59">
        <f>+'600,1,1'!I53</f>
        <v>3570</v>
      </c>
      <c r="U39" s="59">
        <f>+T39*G39</f>
        <v>3398640</v>
      </c>
      <c r="V39" s="59">
        <f>+J39+L39+N39+P39+T39</f>
        <v>15470</v>
      </c>
      <c r="W39" s="59">
        <f>+V39*G39</f>
        <v>14727440</v>
      </c>
    </row>
    <row r="40" spans="2:23" x14ac:dyDescent="0.25">
      <c r="B40" s="8" t="s">
        <v>106</v>
      </c>
      <c r="C40" s="8"/>
      <c r="D40" s="8" t="s">
        <v>133</v>
      </c>
      <c r="E40" s="553" t="s">
        <v>30</v>
      </c>
      <c r="F40" s="8" t="s">
        <v>18</v>
      </c>
      <c r="G40" s="10">
        <f>+cant!J405</f>
        <v>238</v>
      </c>
      <c r="H40" s="11">
        <f>+'600,2,1'!I55</f>
        <v>85717</v>
      </c>
      <c r="I40" s="11">
        <f>ROUND(H40*G40,0)</f>
        <v>20400646</v>
      </c>
      <c r="J40" s="10">
        <f>+'600,2,1'!I19</f>
        <v>33844</v>
      </c>
      <c r="K40" s="36">
        <f>+J40*G40</f>
        <v>8054872</v>
      </c>
      <c r="L40" s="10">
        <f>+'600,2,1'!I29</f>
        <v>25441</v>
      </c>
      <c r="M40" s="36">
        <f>+L40*G40</f>
        <v>6054958</v>
      </c>
      <c r="N40" s="10">
        <f>+'600,2,1'!I36</f>
        <v>1613</v>
      </c>
      <c r="O40" s="36">
        <f>+N40*G40</f>
        <v>383894</v>
      </c>
      <c r="P40" s="10">
        <f>+'600,2,1'!I45</f>
        <v>5038</v>
      </c>
      <c r="Q40" s="36">
        <f>+P40*G40</f>
        <v>1199044</v>
      </c>
      <c r="R40" s="36">
        <f>+J40+L40+N40+P40</f>
        <v>65936</v>
      </c>
      <c r="S40" s="36">
        <f>+R40*G40</f>
        <v>15692768</v>
      </c>
      <c r="T40" s="10">
        <f>+'600,2,1'!I53</f>
        <v>19781</v>
      </c>
      <c r="U40" s="36">
        <f>+T40*G40</f>
        <v>4707878</v>
      </c>
      <c r="V40" s="36">
        <f>+J40+L40+N40+P40+T40</f>
        <v>85717</v>
      </c>
      <c r="W40" s="36">
        <f>+V40*G40</f>
        <v>20400646</v>
      </c>
    </row>
    <row r="41" spans="2:23" x14ac:dyDescent="0.25">
      <c r="B41" s="8" t="s">
        <v>109</v>
      </c>
      <c r="C41" s="8" t="s">
        <v>31</v>
      </c>
      <c r="D41" s="8" t="s">
        <v>133</v>
      </c>
      <c r="E41" s="553" t="s">
        <v>32</v>
      </c>
      <c r="F41" s="8" t="s">
        <v>18</v>
      </c>
      <c r="G41" s="10">
        <f>+cant!J419</f>
        <v>48</v>
      </c>
      <c r="H41" s="11">
        <f>+'6002,2'!I55</f>
        <v>126016</v>
      </c>
      <c r="I41" s="11">
        <f>ROUND(H41*G41,0)</f>
        <v>6048768</v>
      </c>
      <c r="J41" s="10">
        <f>+'6002,2'!I19</f>
        <v>46982</v>
      </c>
      <c r="K41" s="36">
        <f>+J41*G41</f>
        <v>2255136</v>
      </c>
      <c r="L41" s="10">
        <f>+'6002,2'!I29</f>
        <v>25441</v>
      </c>
      <c r="M41" s="36">
        <f>+L41*G41</f>
        <v>1221168</v>
      </c>
      <c r="N41" s="10">
        <f>+'6002,2'!I36</f>
        <v>1613</v>
      </c>
      <c r="O41" s="36">
        <f>+N41*G41</f>
        <v>77424</v>
      </c>
      <c r="P41" s="10">
        <f>+'6002,2'!I45</f>
        <v>22899</v>
      </c>
      <c r="Q41" s="36">
        <f>+P41*G41</f>
        <v>1099152</v>
      </c>
      <c r="R41" s="36">
        <f>+J41+L41+N41+P41</f>
        <v>96935</v>
      </c>
      <c r="S41" s="36">
        <f>+R41*G41</f>
        <v>4652880</v>
      </c>
      <c r="T41" s="10">
        <f>+'6002,2'!I53</f>
        <v>29081</v>
      </c>
      <c r="U41" s="36">
        <f>+T41*G41</f>
        <v>1395888</v>
      </c>
      <c r="V41" s="36">
        <f>+J41+L41+N41+P41+T41</f>
        <v>126016</v>
      </c>
      <c r="W41" s="36">
        <f>+V41*G41</f>
        <v>6048768</v>
      </c>
    </row>
    <row r="42" spans="2:23" x14ac:dyDescent="0.25">
      <c r="B42" s="8" t="s">
        <v>110</v>
      </c>
      <c r="C42" s="8" t="s">
        <v>33</v>
      </c>
      <c r="D42" s="8" t="s">
        <v>133</v>
      </c>
      <c r="E42" s="553" t="s">
        <v>34</v>
      </c>
      <c r="F42" s="8" t="s">
        <v>18</v>
      </c>
      <c r="G42" s="10">
        <f>+cant!J432</f>
        <v>10</v>
      </c>
      <c r="H42" s="11">
        <f>+'600,2,4'!I55</f>
        <v>17713</v>
      </c>
      <c r="I42" s="11">
        <f>ROUND(H42*G42,0)</f>
        <v>177130</v>
      </c>
      <c r="J42" s="10">
        <f>+'600,2,4'!I19</f>
        <v>10584</v>
      </c>
      <c r="K42" s="36">
        <f>+J42*G42</f>
        <v>105840</v>
      </c>
      <c r="L42" s="10">
        <f>+'600,2,4'!I29</f>
        <v>0</v>
      </c>
      <c r="M42" s="36">
        <f>+L42*G42</f>
        <v>0</v>
      </c>
      <c r="N42" s="10">
        <f>+'600,2,4'!I36</f>
        <v>1613</v>
      </c>
      <c r="O42" s="36">
        <f>+N42*G42</f>
        <v>16130</v>
      </c>
      <c r="P42" s="10">
        <f>+'600,2,4'!I45</f>
        <v>1428</v>
      </c>
      <c r="Q42" s="36">
        <f>+P42*G42</f>
        <v>14280</v>
      </c>
      <c r="R42" s="36">
        <f>+J42+L42+N42+P42</f>
        <v>13625</v>
      </c>
      <c r="S42" s="36">
        <f>+R42*G42</f>
        <v>136250</v>
      </c>
      <c r="T42" s="10">
        <f>+'600,2,4'!I53</f>
        <v>4088</v>
      </c>
      <c r="U42" s="36">
        <f>+T42*G42</f>
        <v>40880</v>
      </c>
      <c r="V42" s="36">
        <f>+J42+L42+N42+P42+T42</f>
        <v>17713</v>
      </c>
      <c r="W42" s="36">
        <f>+V42*G42</f>
        <v>177130</v>
      </c>
    </row>
    <row r="43" spans="2:23" x14ac:dyDescent="0.25">
      <c r="B43" s="38"/>
      <c r="C43" s="38"/>
      <c r="D43" s="38"/>
      <c r="E43" s="39"/>
      <c r="F43" s="38"/>
      <c r="G43" s="40"/>
      <c r="H43" s="41"/>
      <c r="I43" s="41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</row>
    <row r="44" spans="2:23" x14ac:dyDescent="0.25">
      <c r="B44" s="362"/>
      <c r="C44" s="362"/>
      <c r="D44" s="362"/>
      <c r="E44" s="363" t="s">
        <v>108</v>
      </c>
      <c r="F44" s="362"/>
      <c r="G44" s="364"/>
      <c r="H44" s="365"/>
      <c r="I44" s="365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364"/>
    </row>
    <row r="45" spans="2:23" x14ac:dyDescent="0.25">
      <c r="B45" s="58">
        <v>630.1</v>
      </c>
      <c r="C45" s="58" t="s">
        <v>37</v>
      </c>
      <c r="D45" s="58" t="s">
        <v>134</v>
      </c>
      <c r="E45" s="553" t="s">
        <v>112</v>
      </c>
      <c r="F45" s="58" t="s">
        <v>18</v>
      </c>
      <c r="G45" s="59">
        <f>+cant!J498</f>
        <v>30</v>
      </c>
      <c r="H45" s="60">
        <f>+'630,1'!I55</f>
        <v>805045</v>
      </c>
      <c r="I45" s="60">
        <f>ROUND(H45*G45,0)</f>
        <v>24151350</v>
      </c>
      <c r="J45" s="59">
        <f>+'630,1'!I19</f>
        <v>24093</v>
      </c>
      <c r="K45" s="59">
        <f>+J45*G45</f>
        <v>722790</v>
      </c>
      <c r="L45" s="59">
        <f>+'630,1'!I29</f>
        <v>408757</v>
      </c>
      <c r="M45" s="59">
        <f>+L45*G45</f>
        <v>12262710</v>
      </c>
      <c r="N45" s="59">
        <f>+'630,1'!I36</f>
        <v>126440</v>
      </c>
      <c r="O45" s="59">
        <f>+N45*G45</f>
        <v>3793200</v>
      </c>
      <c r="P45" s="59">
        <f>+'630,1'!I45</f>
        <v>59975</v>
      </c>
      <c r="Q45" s="59">
        <f>+P45*G45</f>
        <v>1799250</v>
      </c>
      <c r="R45" s="59">
        <f>+J45+L45+N45+P45</f>
        <v>619265</v>
      </c>
      <c r="S45" s="59">
        <f>+R45*G45</f>
        <v>18577950</v>
      </c>
      <c r="T45" s="59">
        <f>+'630,1'!I53</f>
        <v>185780</v>
      </c>
      <c r="U45" s="59">
        <f>+T45*G45</f>
        <v>5573400</v>
      </c>
      <c r="V45" s="59">
        <f>+J45+L45+N45+P45+T45</f>
        <v>805045</v>
      </c>
      <c r="W45" s="59">
        <f>+V45*G45</f>
        <v>24151350</v>
      </c>
    </row>
    <row r="46" spans="2:23" x14ac:dyDescent="0.25">
      <c r="B46" s="8">
        <v>630.20000000000005</v>
      </c>
      <c r="C46" s="8"/>
      <c r="D46" s="8" t="s">
        <v>134</v>
      </c>
      <c r="E46" s="553" t="s">
        <v>38</v>
      </c>
      <c r="F46" s="8" t="s">
        <v>18</v>
      </c>
      <c r="G46" s="10">
        <f>+cant!J514</f>
        <v>77</v>
      </c>
      <c r="H46" s="11">
        <f>+'630,2'!I55</f>
        <v>769874</v>
      </c>
      <c r="I46" s="11">
        <f>ROUND(H46*G46,0)</f>
        <v>59280298</v>
      </c>
      <c r="J46" s="10">
        <f>+'630,2'!I19</f>
        <v>28263</v>
      </c>
      <c r="K46" s="36">
        <f>+J46*G46</f>
        <v>2176251</v>
      </c>
      <c r="L46" s="10">
        <f>+'630,2'!I29</f>
        <v>365049</v>
      </c>
      <c r="M46" s="36">
        <f>+L46*G46</f>
        <v>28108773</v>
      </c>
      <c r="N46" s="10">
        <f>+'630,2'!I36</f>
        <v>148920</v>
      </c>
      <c r="O46" s="36">
        <f>+N46*G46</f>
        <v>11466840</v>
      </c>
      <c r="P46" s="10">
        <f>+'630,2'!I45</f>
        <v>49979</v>
      </c>
      <c r="Q46" s="36">
        <f>+P46*G46</f>
        <v>3848383</v>
      </c>
      <c r="R46" s="36">
        <f>+J46+L46+N46+P46</f>
        <v>592211</v>
      </c>
      <c r="S46" s="36">
        <f>+R46*G46</f>
        <v>45600247</v>
      </c>
      <c r="T46" s="10">
        <f>+'630,2'!I53</f>
        <v>177663</v>
      </c>
      <c r="U46" s="36">
        <f>+T46*G46</f>
        <v>13680051</v>
      </c>
      <c r="V46" s="36">
        <f>+J46+L46+N46+P46+T46</f>
        <v>769874</v>
      </c>
      <c r="W46" s="36">
        <f>+V46*G46</f>
        <v>59280298</v>
      </c>
    </row>
    <row r="47" spans="2:23" x14ac:dyDescent="0.25">
      <c r="B47" s="8">
        <v>630.29999999999995</v>
      </c>
      <c r="C47" s="8" t="s">
        <v>39</v>
      </c>
      <c r="D47" s="8" t="s">
        <v>134</v>
      </c>
      <c r="E47" s="553" t="s">
        <v>40</v>
      </c>
      <c r="F47" s="8" t="s">
        <v>18</v>
      </c>
      <c r="G47" s="10">
        <f>+cant!J582</f>
        <v>14</v>
      </c>
      <c r="H47" s="11">
        <f>+'630,3'!I55</f>
        <v>594611</v>
      </c>
      <c r="I47" s="11">
        <f>ROUND(H47*G47,0)</f>
        <v>8324554</v>
      </c>
      <c r="J47" s="10">
        <f>+'630,3'!I19</f>
        <v>20508</v>
      </c>
      <c r="K47" s="36">
        <f>+J47*G47</f>
        <v>287112</v>
      </c>
      <c r="L47" s="10">
        <f>+'630,3'!I29</f>
        <v>247914</v>
      </c>
      <c r="M47" s="36">
        <f>+L47*G47</f>
        <v>3470796</v>
      </c>
      <c r="N47" s="10">
        <f>+'630,3'!I36</f>
        <v>138992</v>
      </c>
      <c r="O47" s="36">
        <f>+N47*G47</f>
        <v>1945888</v>
      </c>
      <c r="P47" s="10">
        <f>+'630,3'!I45</f>
        <v>49979</v>
      </c>
      <c r="Q47" s="36">
        <f>+P47*G47</f>
        <v>699706</v>
      </c>
      <c r="R47" s="36">
        <f>+J47+L47+N47+P47</f>
        <v>457393</v>
      </c>
      <c r="S47" s="36">
        <f>+R47*G47</f>
        <v>6403502</v>
      </c>
      <c r="T47" s="10">
        <f>+'630,3'!I53</f>
        <v>137218</v>
      </c>
      <c r="U47" s="36">
        <f>+T47*G47</f>
        <v>1921052</v>
      </c>
      <c r="V47" s="36">
        <f>+J47+L47+N47+P47+T47</f>
        <v>594611</v>
      </c>
      <c r="W47" s="36">
        <f>+V47*G47</f>
        <v>8324554</v>
      </c>
    </row>
    <row r="48" spans="2:23" x14ac:dyDescent="0.25">
      <c r="B48" s="8">
        <v>630.4</v>
      </c>
      <c r="C48" s="8" t="s">
        <v>41</v>
      </c>
      <c r="D48" s="8" t="s">
        <v>134</v>
      </c>
      <c r="E48" s="553" t="s">
        <v>42</v>
      </c>
      <c r="F48" s="8" t="s">
        <v>18</v>
      </c>
      <c r="G48" s="10">
        <f>+cant!J599</f>
        <v>139</v>
      </c>
      <c r="H48" s="11">
        <f>+'630,4'!I55</f>
        <v>336812</v>
      </c>
      <c r="I48" s="11">
        <f>ROUND(H48*G48,0)</f>
        <v>46816868</v>
      </c>
      <c r="J48" s="10">
        <f>+'630,4'!I19</f>
        <v>2999</v>
      </c>
      <c r="K48" s="36">
        <f>+J48*G48</f>
        <v>416861</v>
      </c>
      <c r="L48" s="10">
        <f>+'630,4'!I29</f>
        <v>193134</v>
      </c>
      <c r="M48" s="36">
        <f>+L48*G48</f>
        <v>26845626</v>
      </c>
      <c r="N48" s="10">
        <f>+'630,4'!I36</f>
        <v>2978</v>
      </c>
      <c r="O48" s="36">
        <f>+N48*G48</f>
        <v>413942</v>
      </c>
      <c r="P48" s="10">
        <f>+'630,4'!I45</f>
        <v>59975</v>
      </c>
      <c r="Q48" s="36">
        <f>+P48*G48</f>
        <v>8336525</v>
      </c>
      <c r="R48" s="36">
        <f>+J48+L48+N48+P48</f>
        <v>259086</v>
      </c>
      <c r="S48" s="36">
        <f>+R48*G48</f>
        <v>36012954</v>
      </c>
      <c r="T48" s="10">
        <f>+'630,4'!I53</f>
        <v>77726</v>
      </c>
      <c r="U48" s="36">
        <f>+T48*G48</f>
        <v>10803914</v>
      </c>
      <c r="V48" s="36">
        <f>+J48+L48+N48+P48+T48</f>
        <v>336812</v>
      </c>
      <c r="W48" s="36">
        <f>+V48*G48</f>
        <v>46816868</v>
      </c>
    </row>
    <row r="49" spans="2:23" x14ac:dyDescent="0.25">
      <c r="B49" s="38"/>
      <c r="C49" s="38"/>
      <c r="D49" s="38"/>
      <c r="E49" s="39"/>
      <c r="F49" s="38"/>
      <c r="G49" s="40"/>
      <c r="H49" s="41"/>
      <c r="I49" s="41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</row>
    <row r="50" spans="2:23" x14ac:dyDescent="0.25">
      <c r="B50" s="362"/>
      <c r="C50" s="362"/>
      <c r="D50" s="362"/>
      <c r="E50" s="363" t="s">
        <v>115</v>
      </c>
      <c r="F50" s="362"/>
      <c r="G50" s="364"/>
      <c r="H50" s="365"/>
      <c r="I50" s="365"/>
      <c r="J50" s="364"/>
      <c r="K50" s="364"/>
      <c r="L50" s="364"/>
      <c r="M50" s="364"/>
      <c r="N50" s="364"/>
      <c r="O50" s="364"/>
      <c r="P50" s="364"/>
      <c r="Q50" s="364"/>
      <c r="R50" s="364"/>
      <c r="S50" s="364"/>
      <c r="T50" s="364"/>
      <c r="U50" s="364"/>
      <c r="V50" s="364"/>
      <c r="W50" s="364"/>
    </row>
    <row r="51" spans="2:23" x14ac:dyDescent="0.25">
      <c r="B51" s="58">
        <v>640.1</v>
      </c>
      <c r="C51" s="58"/>
      <c r="D51" s="58" t="s">
        <v>135</v>
      </c>
      <c r="E51" s="553" t="s">
        <v>43</v>
      </c>
      <c r="F51" s="58" t="s">
        <v>338</v>
      </c>
      <c r="G51" s="59">
        <f>+cant!J666</f>
        <v>14966</v>
      </c>
      <c r="H51" s="60">
        <f>+'640,1'!I55</f>
        <v>8870</v>
      </c>
      <c r="I51" s="60">
        <f>ROUND(H51*G51,0)</f>
        <v>132748420</v>
      </c>
      <c r="J51" s="59">
        <f>+'640,1'!I19</f>
        <v>46</v>
      </c>
      <c r="K51" s="59">
        <f>+J51*G51</f>
        <v>688436</v>
      </c>
      <c r="L51" s="59">
        <f>+'640,1'!I29</f>
        <v>5877</v>
      </c>
      <c r="M51" s="59">
        <f>+L51*G51</f>
        <v>87955182</v>
      </c>
      <c r="N51" s="59">
        <f>+'640,1'!I36</f>
        <v>0</v>
      </c>
      <c r="O51" s="59">
        <f>+N51*G51</f>
        <v>0</v>
      </c>
      <c r="P51" s="59">
        <f>+'640,1'!I45</f>
        <v>900</v>
      </c>
      <c r="Q51" s="59">
        <f>+P51*G51</f>
        <v>13469400</v>
      </c>
      <c r="R51" s="59">
        <f>+J51+L51+N51+P51</f>
        <v>6823</v>
      </c>
      <c r="S51" s="59">
        <f>+R51*G51</f>
        <v>102113018</v>
      </c>
      <c r="T51" s="59">
        <f>+'640,1'!I53</f>
        <v>2047</v>
      </c>
      <c r="U51" s="59">
        <f>+T51*G51</f>
        <v>30635402</v>
      </c>
      <c r="V51" s="59">
        <f>+J51+L51+N51+P51+T51</f>
        <v>8870</v>
      </c>
      <c r="W51" s="59">
        <f>+V51*G51</f>
        <v>132748420</v>
      </c>
    </row>
    <row r="52" spans="2:23" x14ac:dyDescent="0.25">
      <c r="B52" s="8">
        <v>610.1</v>
      </c>
      <c r="C52" s="8" t="s">
        <v>35</v>
      </c>
      <c r="D52" s="8" t="s">
        <v>136</v>
      </c>
      <c r="E52" s="553" t="s">
        <v>118</v>
      </c>
      <c r="F52" s="8" t="s">
        <v>18</v>
      </c>
      <c r="G52" s="10">
        <f>+cant!J738</f>
        <v>271</v>
      </c>
      <c r="H52" s="11">
        <f>+'610,1'!I55</f>
        <v>78359</v>
      </c>
      <c r="I52" s="11">
        <f>ROUND(H52*G52,0)</f>
        <v>21235289</v>
      </c>
      <c r="J52" s="10">
        <f>+'610,1'!I19</f>
        <v>3676</v>
      </c>
      <c r="K52" s="36">
        <f>+J52*G52</f>
        <v>996196</v>
      </c>
      <c r="L52" s="10">
        <f>+'610,1'!I29</f>
        <v>34925</v>
      </c>
      <c r="M52" s="36">
        <f>+L52*G52</f>
        <v>9464675</v>
      </c>
      <c r="N52" s="10">
        <f>+'610,1'!I36</f>
        <v>9680</v>
      </c>
      <c r="O52" s="36">
        <f>+N52*G52</f>
        <v>2623280</v>
      </c>
      <c r="P52" s="10">
        <f>+'610,1'!I45</f>
        <v>11995</v>
      </c>
      <c r="Q52" s="36">
        <f>+P52*G52</f>
        <v>3250645</v>
      </c>
      <c r="R52" s="36">
        <f>+J52+L52+N52+P52</f>
        <v>60276</v>
      </c>
      <c r="S52" s="36">
        <f>+R52*G52</f>
        <v>16334796</v>
      </c>
      <c r="T52" s="10">
        <f>+'610,1'!I53</f>
        <v>18083</v>
      </c>
      <c r="U52" s="36">
        <f>+T52*G52</f>
        <v>4900493</v>
      </c>
      <c r="V52" s="36">
        <f>+J52+L52+N52+P52+T52</f>
        <v>78359</v>
      </c>
      <c r="W52" s="36">
        <f>+V52*G52</f>
        <v>21235289</v>
      </c>
    </row>
    <row r="53" spans="2:23" ht="32.25" customHeight="1" x14ac:dyDescent="0.25">
      <c r="B53" s="8" t="s">
        <v>44</v>
      </c>
      <c r="C53" s="8" t="s">
        <v>44</v>
      </c>
      <c r="D53" s="8" t="s">
        <v>137</v>
      </c>
      <c r="E53" s="553" t="s">
        <v>45</v>
      </c>
      <c r="F53" s="8" t="s">
        <v>15</v>
      </c>
      <c r="G53" s="10">
        <f>+cant!J753</f>
        <v>113</v>
      </c>
      <c r="H53" s="11">
        <f>+'661,1'!I55</f>
        <v>734009</v>
      </c>
      <c r="I53" s="11">
        <f>ROUND(H53*G53,0)</f>
        <v>82943017</v>
      </c>
      <c r="J53" s="10">
        <f>+'661,1'!I19</f>
        <v>3999</v>
      </c>
      <c r="K53" s="36">
        <f>+J53*G53</f>
        <v>451887</v>
      </c>
      <c r="L53" s="10">
        <f>+'661,1'!I29</f>
        <v>376853</v>
      </c>
      <c r="M53" s="36">
        <f>+L53*G53</f>
        <v>42584389</v>
      </c>
      <c r="N53" s="10">
        <f>+'661,1'!I36</f>
        <v>168776</v>
      </c>
      <c r="O53" s="36">
        <f>+N53*G53</f>
        <v>19071688</v>
      </c>
      <c r="P53" s="10">
        <f>+'661,1'!I45</f>
        <v>14994</v>
      </c>
      <c r="Q53" s="36">
        <f>+P53*G53</f>
        <v>1694322</v>
      </c>
      <c r="R53" s="36">
        <f>+J53+L53+N53+P53</f>
        <v>564622</v>
      </c>
      <c r="S53" s="36">
        <f>+R53*G53</f>
        <v>63802286</v>
      </c>
      <c r="T53" s="10">
        <f>+'661,1'!I53</f>
        <v>169387</v>
      </c>
      <c r="U53" s="36">
        <f>+T53*G53</f>
        <v>19140731</v>
      </c>
      <c r="V53" s="36">
        <f>+J53+L53+N53+P53+T53</f>
        <v>734009</v>
      </c>
      <c r="W53" s="36">
        <f>+V53*G53</f>
        <v>82943017</v>
      </c>
    </row>
    <row r="54" spans="2:23" x14ac:dyDescent="0.25">
      <c r="B54" s="38"/>
      <c r="C54" s="38"/>
      <c r="D54" s="38"/>
      <c r="E54" s="39"/>
      <c r="F54" s="38"/>
      <c r="G54" s="40"/>
      <c r="H54" s="41"/>
      <c r="I54" s="41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</row>
    <row r="55" spans="2:23" x14ac:dyDescent="0.25">
      <c r="B55" s="362"/>
      <c r="C55" s="362"/>
      <c r="D55" s="362"/>
      <c r="E55" s="363" t="s">
        <v>119</v>
      </c>
      <c r="F55" s="362"/>
      <c r="G55" s="364"/>
      <c r="H55" s="365"/>
      <c r="I55" s="365"/>
      <c r="J55" s="364"/>
      <c r="K55" s="364"/>
      <c r="L55" s="364"/>
      <c r="M55" s="364"/>
      <c r="N55" s="364"/>
      <c r="O55" s="364"/>
      <c r="P55" s="364"/>
      <c r="Q55" s="364"/>
      <c r="R55" s="364"/>
      <c r="S55" s="364"/>
      <c r="T55" s="364"/>
      <c r="U55" s="364"/>
      <c r="V55" s="364"/>
      <c r="W55" s="364"/>
    </row>
    <row r="56" spans="2:23" x14ac:dyDescent="0.25">
      <c r="B56" s="58">
        <v>660.1</v>
      </c>
      <c r="C56" s="58" t="s">
        <v>46</v>
      </c>
      <c r="D56" s="58" t="s">
        <v>138</v>
      </c>
      <c r="E56" s="553" t="s">
        <v>47</v>
      </c>
      <c r="F56" s="58" t="s">
        <v>18</v>
      </c>
      <c r="G56" s="59">
        <f>+cant!J769</f>
        <v>46</v>
      </c>
      <c r="H56" s="60">
        <f>+'660,1'!I55</f>
        <v>814173</v>
      </c>
      <c r="I56" s="60">
        <f>ROUND(H56*G56,0)</f>
        <v>37451958</v>
      </c>
      <c r="J56" s="59">
        <f>+'660,1'!I19</f>
        <v>1200</v>
      </c>
      <c r="K56" s="59">
        <f>+J56*G56</f>
        <v>55200</v>
      </c>
      <c r="L56" s="59">
        <f>+'660,1'!I29</f>
        <v>501817</v>
      </c>
      <c r="M56" s="59">
        <f>+L56*G56</f>
        <v>23083582</v>
      </c>
      <c r="N56" s="59">
        <f>+'660,1'!I36</f>
        <v>99280</v>
      </c>
      <c r="O56" s="59">
        <f>+N56*G56</f>
        <v>4566880</v>
      </c>
      <c r="P56" s="59">
        <f>+'660,1'!I45</f>
        <v>23990</v>
      </c>
      <c r="Q56" s="59">
        <f>+P56*G56</f>
        <v>1103540</v>
      </c>
      <c r="R56" s="59">
        <f>+J56+L56+N56+P56</f>
        <v>626287</v>
      </c>
      <c r="S56" s="59">
        <f>+R56*G56</f>
        <v>28809202</v>
      </c>
      <c r="T56" s="59">
        <f>+'660,1'!I53</f>
        <v>187886</v>
      </c>
      <c r="U56" s="59">
        <f>+T56*G56</f>
        <v>8642756</v>
      </c>
      <c r="V56" s="59">
        <f>+J56+L56+N56+P56+T56</f>
        <v>814173</v>
      </c>
      <c r="W56" s="59">
        <f>+V56*G56</f>
        <v>37451958</v>
      </c>
    </row>
    <row r="57" spans="2:23" x14ac:dyDescent="0.25">
      <c r="B57" s="8" t="s">
        <v>48</v>
      </c>
      <c r="C57" s="8" t="s">
        <v>48</v>
      </c>
      <c r="D57" s="8" t="s">
        <v>139</v>
      </c>
      <c r="E57" s="553" t="s">
        <v>49</v>
      </c>
      <c r="F57" s="8" t="s">
        <v>18</v>
      </c>
      <c r="G57" s="10">
        <f>+cant!J788</f>
        <v>13</v>
      </c>
      <c r="H57" s="11">
        <f>+'672,1'!I55</f>
        <v>54457</v>
      </c>
      <c r="I57" s="11">
        <f>ROUND(H57*G57,0)</f>
        <v>707941</v>
      </c>
      <c r="J57" s="10">
        <f>+'672,1'!I19</f>
        <v>187</v>
      </c>
      <c r="K57" s="36">
        <f>+J57*G57</f>
        <v>2431</v>
      </c>
      <c r="L57" s="10">
        <f>+'672,1'!I29</f>
        <v>37955</v>
      </c>
      <c r="M57" s="36">
        <f>+L57*G57</f>
        <v>493415</v>
      </c>
      <c r="N57" s="10">
        <f>+'672,1'!I36</f>
        <v>0</v>
      </c>
      <c r="O57" s="36">
        <f>+N57*G57</f>
        <v>0</v>
      </c>
      <c r="P57" s="10">
        <f>+'672,1'!I45</f>
        <v>3748</v>
      </c>
      <c r="Q57" s="36">
        <f>+P57*G57</f>
        <v>48724</v>
      </c>
      <c r="R57" s="36">
        <f>+J57+L57+N57+P57</f>
        <v>41890</v>
      </c>
      <c r="S57" s="36">
        <f>+R57*G57</f>
        <v>544570</v>
      </c>
      <c r="T57" s="10">
        <f>+'672,1'!I53</f>
        <v>12567</v>
      </c>
      <c r="U57" s="36">
        <f>+T57*G57</f>
        <v>163371</v>
      </c>
      <c r="V57" s="36">
        <f>+J57+L57+N57+P57+T57</f>
        <v>54457</v>
      </c>
      <c r="W57" s="36">
        <f>+V57*G57</f>
        <v>707941</v>
      </c>
    </row>
    <row r="58" spans="2:23" x14ac:dyDescent="0.25">
      <c r="B58" s="38"/>
      <c r="C58" s="38"/>
      <c r="D58" s="38"/>
      <c r="E58" s="39"/>
      <c r="F58" s="38"/>
      <c r="G58" s="40"/>
      <c r="H58" s="41"/>
      <c r="I58" s="41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</row>
    <row r="59" spans="2:23" x14ac:dyDescent="0.25">
      <c r="B59" s="362"/>
      <c r="C59" s="362"/>
      <c r="D59" s="362"/>
      <c r="E59" s="363" t="s">
        <v>120</v>
      </c>
      <c r="F59" s="362"/>
      <c r="G59" s="364"/>
      <c r="H59" s="365"/>
      <c r="I59" s="365"/>
      <c r="J59" s="364"/>
      <c r="K59" s="364"/>
      <c r="L59" s="364"/>
      <c r="M59" s="364"/>
      <c r="N59" s="364"/>
      <c r="O59" s="364"/>
      <c r="P59" s="364"/>
      <c r="Q59" s="364"/>
      <c r="R59" s="364"/>
      <c r="S59" s="364"/>
      <c r="T59" s="364"/>
      <c r="U59" s="364"/>
      <c r="V59" s="364"/>
      <c r="W59" s="364"/>
    </row>
    <row r="60" spans="2:23" x14ac:dyDescent="0.25">
      <c r="B60" s="58" t="s">
        <v>50</v>
      </c>
      <c r="C60" s="58" t="s">
        <v>22</v>
      </c>
      <c r="D60" s="58" t="s">
        <v>140</v>
      </c>
      <c r="E60" s="553" t="s">
        <v>123</v>
      </c>
      <c r="F60" s="58" t="s">
        <v>23</v>
      </c>
      <c r="G60" s="59">
        <f>+cant!J854</f>
        <v>765</v>
      </c>
      <c r="H60" s="60">
        <f>+'673,1'!I55</f>
        <v>11020</v>
      </c>
      <c r="I60" s="60">
        <f>ROUND(H60*G60,0)</f>
        <v>8430300</v>
      </c>
      <c r="J60" s="59">
        <f>+'673,1'!I19</f>
        <v>0</v>
      </c>
      <c r="K60" s="59">
        <f>+J60*G60</f>
        <v>0</v>
      </c>
      <c r="L60" s="59">
        <f>+'673,1'!I29</f>
        <v>8077</v>
      </c>
      <c r="M60" s="59">
        <f>+L60*G60</f>
        <v>6178905</v>
      </c>
      <c r="N60" s="59">
        <f>+'673,1'!I36</f>
        <v>0</v>
      </c>
      <c r="O60" s="59">
        <f>+N60*G60</f>
        <v>0</v>
      </c>
      <c r="P60" s="59">
        <f>+'673,1'!I45</f>
        <v>400</v>
      </c>
      <c r="Q60" s="59">
        <f>+P60*G60</f>
        <v>306000</v>
      </c>
      <c r="R60" s="59">
        <f>+J60+L60+N60+P60</f>
        <v>8477</v>
      </c>
      <c r="S60" s="59">
        <f>+R60*G60</f>
        <v>6484905</v>
      </c>
      <c r="T60" s="59">
        <f>+'673,1'!I53</f>
        <v>2543</v>
      </c>
      <c r="U60" s="59">
        <f>+T60*G60</f>
        <v>1945395</v>
      </c>
      <c r="V60" s="59">
        <f>+J60+L60+N60+P60+T60</f>
        <v>11020</v>
      </c>
      <c r="W60" s="59">
        <f>+V60*G60</f>
        <v>8430300</v>
      </c>
    </row>
    <row r="61" spans="2:23" x14ac:dyDescent="0.25">
      <c r="B61" s="8" t="s">
        <v>165</v>
      </c>
      <c r="C61" s="8" t="s">
        <v>50</v>
      </c>
      <c r="D61" s="8" t="s">
        <v>140</v>
      </c>
      <c r="E61" s="553" t="s">
        <v>51</v>
      </c>
      <c r="F61" s="8" t="s">
        <v>18</v>
      </c>
      <c r="G61" s="10">
        <f>+cant!J875</f>
        <v>235</v>
      </c>
      <c r="H61" s="11">
        <f>+'673,2'!I55</f>
        <v>206995</v>
      </c>
      <c r="I61" s="11">
        <f>ROUND(H61*G61,0)</f>
        <v>48643825</v>
      </c>
      <c r="J61" s="10">
        <f>+'673,2'!I19</f>
        <v>750</v>
      </c>
      <c r="K61" s="36">
        <f>+J61*G61</f>
        <v>176250</v>
      </c>
      <c r="L61" s="10">
        <f>+'673,2'!I29</f>
        <v>51700</v>
      </c>
      <c r="M61" s="36">
        <f>+L61*G61</f>
        <v>12149500</v>
      </c>
      <c r="N61" s="10">
        <f>+'673,2'!I36</f>
        <v>99280</v>
      </c>
      <c r="O61" s="36">
        <f>+N61*G61</f>
        <v>23330800</v>
      </c>
      <c r="P61" s="10">
        <f>+'673,2'!I45</f>
        <v>7497</v>
      </c>
      <c r="Q61" s="36">
        <f>+P61*G61</f>
        <v>1761795</v>
      </c>
      <c r="R61" s="36">
        <f>+J61+L61+N61+P61</f>
        <v>159227</v>
      </c>
      <c r="S61" s="36">
        <f>+R61*G61</f>
        <v>37418345</v>
      </c>
      <c r="T61" s="10">
        <f>+'673,2'!I53</f>
        <v>47768</v>
      </c>
      <c r="U61" s="36">
        <f>+T61*G61</f>
        <v>11225480</v>
      </c>
      <c r="V61" s="36">
        <f>+J61+L61+N61+P61+T61</f>
        <v>206995</v>
      </c>
      <c r="W61" s="36">
        <f>+V61*G61</f>
        <v>48643825</v>
      </c>
    </row>
    <row r="62" spans="2:23" x14ac:dyDescent="0.25">
      <c r="B62" s="8" t="s">
        <v>52</v>
      </c>
      <c r="C62" s="8" t="s">
        <v>52</v>
      </c>
      <c r="D62" s="8" t="s">
        <v>141</v>
      </c>
      <c r="E62" s="553" t="s">
        <v>53</v>
      </c>
      <c r="F62" s="8" t="s">
        <v>15</v>
      </c>
      <c r="G62" s="10">
        <f>+cant!J938</f>
        <v>113</v>
      </c>
      <c r="H62" s="11">
        <f>+'674,2'!I55</f>
        <v>93048</v>
      </c>
      <c r="I62" s="11">
        <f>ROUND(H62*G62,0)</f>
        <v>10514424</v>
      </c>
      <c r="J62" s="10">
        <f>+'674,2'!I19</f>
        <v>49812</v>
      </c>
      <c r="K62" s="36">
        <f>+J62*G62</f>
        <v>5628756</v>
      </c>
      <c r="L62" s="10">
        <f>+'674,2'!I29</f>
        <v>12767</v>
      </c>
      <c r="M62" s="36">
        <f>+L62*G62</f>
        <v>1442671</v>
      </c>
      <c r="N62" s="10">
        <f>+'674,2'!I36</f>
        <v>0</v>
      </c>
      <c r="O62" s="36">
        <f>+N62*G62</f>
        <v>0</v>
      </c>
      <c r="P62" s="10">
        <f>+'674,2'!I45</f>
        <v>8996</v>
      </c>
      <c r="Q62" s="36">
        <f>+P62*G62</f>
        <v>1016548</v>
      </c>
      <c r="R62" s="36">
        <f>+J62+L62+N62+P62</f>
        <v>71575</v>
      </c>
      <c r="S62" s="36">
        <f>+R62*G62</f>
        <v>8087975</v>
      </c>
      <c r="T62" s="10">
        <f>+'674,2'!I53</f>
        <v>21473</v>
      </c>
      <c r="U62" s="36">
        <f>+T62*G62</f>
        <v>2426449</v>
      </c>
      <c r="V62" s="36">
        <f>+J62+L62+N62+P62+T62</f>
        <v>93048</v>
      </c>
      <c r="W62" s="36">
        <f>+V62*G62</f>
        <v>10514424</v>
      </c>
    </row>
    <row r="63" spans="2:23" x14ac:dyDescent="0.25">
      <c r="B63" s="8"/>
      <c r="C63" s="8"/>
      <c r="D63" s="8"/>
      <c r="E63" s="9"/>
      <c r="F63" s="8"/>
      <c r="G63" s="10"/>
      <c r="H63" s="11"/>
      <c r="I63" s="11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</row>
    <row r="64" spans="2:23" x14ac:dyDescent="0.25">
      <c r="B64" s="38"/>
      <c r="C64" s="38"/>
      <c r="D64" s="38"/>
      <c r="E64" s="39"/>
      <c r="F64" s="38"/>
      <c r="G64" s="40"/>
      <c r="H64" s="41"/>
      <c r="I64" s="41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</row>
    <row r="65" spans="2:23" x14ac:dyDescent="0.25">
      <c r="B65" s="362"/>
      <c r="C65" s="362"/>
      <c r="D65" s="362"/>
      <c r="E65" s="366" t="s">
        <v>124</v>
      </c>
      <c r="F65" s="362"/>
      <c r="G65" s="364"/>
      <c r="H65" s="365"/>
      <c r="I65" s="365"/>
      <c r="J65" s="364"/>
      <c r="K65" s="364"/>
      <c r="L65" s="364"/>
      <c r="M65" s="364"/>
      <c r="N65" s="364"/>
      <c r="O65" s="364"/>
      <c r="P65" s="364"/>
      <c r="Q65" s="364"/>
      <c r="R65" s="364"/>
      <c r="S65" s="364"/>
      <c r="T65" s="364"/>
      <c r="U65" s="364"/>
      <c r="V65" s="364"/>
      <c r="W65" s="364"/>
    </row>
    <row r="66" spans="2:23" x14ac:dyDescent="0.25">
      <c r="B66" s="58" t="s">
        <v>54</v>
      </c>
      <c r="C66" s="58" t="s">
        <v>54</v>
      </c>
      <c r="D66" s="58" t="s">
        <v>142</v>
      </c>
      <c r="E66" s="553" t="s">
        <v>55</v>
      </c>
      <c r="F66" s="58" t="s">
        <v>18</v>
      </c>
      <c r="G66" s="59">
        <f>+cant!J953</f>
        <v>266</v>
      </c>
      <c r="H66" s="60">
        <f>+'681,1'!I55</f>
        <v>195286</v>
      </c>
      <c r="I66" s="60">
        <f>ROUND(H66*G66,0)</f>
        <v>51946076</v>
      </c>
      <c r="J66" s="59">
        <f>+'681,1'!I19</f>
        <v>750</v>
      </c>
      <c r="K66" s="59">
        <f>+J66*G66</f>
        <v>199500</v>
      </c>
      <c r="L66" s="59">
        <f>+'681,1'!I29</f>
        <v>126285</v>
      </c>
      <c r="M66" s="59">
        <f>+L66*G66</f>
        <v>33591810</v>
      </c>
      <c r="N66" s="59">
        <f>+'681,1'!I36</f>
        <v>8191</v>
      </c>
      <c r="O66" s="59">
        <f>+N66*G66</f>
        <v>2178806</v>
      </c>
      <c r="P66" s="59">
        <f>+'681,1'!I45</f>
        <v>14994</v>
      </c>
      <c r="Q66" s="59">
        <f>+P66*G66</f>
        <v>3988404</v>
      </c>
      <c r="R66" s="59">
        <f>+J66+L66+N66+P66</f>
        <v>150220</v>
      </c>
      <c r="S66" s="59">
        <f>+R66*G66</f>
        <v>39958520</v>
      </c>
      <c r="T66" s="59">
        <f>+'681,1'!I53</f>
        <v>45066</v>
      </c>
      <c r="U66" s="59">
        <f>+T66*G66</f>
        <v>11987556</v>
      </c>
      <c r="V66" s="59">
        <f>+J66+L66+N66+P66+T66</f>
        <v>195286</v>
      </c>
      <c r="W66" s="59">
        <f>+V66*G66</f>
        <v>51946076</v>
      </c>
    </row>
    <row r="67" spans="2:23" x14ac:dyDescent="0.25">
      <c r="B67" s="8"/>
      <c r="C67" s="8"/>
      <c r="D67" s="8"/>
      <c r="E67" s="9"/>
      <c r="F67" s="8"/>
      <c r="G67" s="10"/>
      <c r="H67" s="11"/>
      <c r="I67" s="11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</row>
    <row r="68" spans="2:23" x14ac:dyDescent="0.25">
      <c r="B68" s="42"/>
      <c r="C68" s="42"/>
      <c r="D68" s="42"/>
      <c r="E68" s="62"/>
      <c r="F68" s="61"/>
      <c r="G68" s="64"/>
      <c r="H68" s="625"/>
      <c r="I68" s="63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</row>
    <row r="69" spans="2:23" ht="24.75" customHeight="1" x14ac:dyDescent="0.25">
      <c r="B69" s="647"/>
      <c r="C69" s="647"/>
      <c r="D69" s="647"/>
      <c r="E69" s="646"/>
      <c r="F69" s="42"/>
      <c r="G69" s="1187" t="s">
        <v>117</v>
      </c>
      <c r="H69" s="1188"/>
      <c r="I69" s="69">
        <f>+SUM(I39:I68)</f>
        <v>574548304</v>
      </c>
      <c r="J69" s="65"/>
      <c r="K69" s="69">
        <f>+SUM(K39:K68)</f>
        <v>29726894</v>
      </c>
      <c r="L69" s="65"/>
      <c r="M69" s="69">
        <f>+SUM(M39:M68)</f>
        <v>294908160</v>
      </c>
      <c r="N69" s="65"/>
      <c r="O69" s="69">
        <f>+SUM(O39:O68)</f>
        <v>71404348</v>
      </c>
      <c r="P69" s="65"/>
      <c r="Q69" s="69">
        <f>+SUM(Q39:Q68)</f>
        <v>45919566</v>
      </c>
      <c r="R69" s="65"/>
      <c r="S69" s="69">
        <f>+SUM(S39:S68)</f>
        <v>441958968</v>
      </c>
      <c r="T69" s="65"/>
      <c r="U69" s="69">
        <f>+SUM(U39:U68)</f>
        <v>132589336</v>
      </c>
      <c r="V69" s="65"/>
      <c r="W69" s="69">
        <f>+SUM(W39:W68)</f>
        <v>574548304</v>
      </c>
    </row>
    <row r="70" spans="2:23" x14ac:dyDescent="0.25">
      <c r="B70" s="16"/>
      <c r="C70" s="16"/>
      <c r="D70" s="16"/>
      <c r="E70" s="19"/>
      <c r="F70" s="649"/>
      <c r="G70" s="642"/>
      <c r="H70" s="643"/>
      <c r="I70" s="72"/>
      <c r="J70" s="65"/>
      <c r="K70" s="648"/>
      <c r="L70" s="65"/>
      <c r="M70" s="648"/>
      <c r="N70" s="65"/>
      <c r="O70" s="648"/>
      <c r="P70" s="65"/>
      <c r="Q70" s="648"/>
      <c r="R70" s="65"/>
      <c r="S70" s="648"/>
      <c r="T70" s="65"/>
      <c r="U70" s="648"/>
      <c r="V70" s="65"/>
      <c r="W70" s="648"/>
    </row>
    <row r="71" spans="2:23" x14ac:dyDescent="0.25">
      <c r="B71" s="1194"/>
      <c r="C71" s="1194"/>
      <c r="D71" s="1194"/>
      <c r="E71" s="1194"/>
      <c r="F71" s="42"/>
      <c r="G71" s="642"/>
      <c r="H71" s="643"/>
      <c r="I71" s="72"/>
      <c r="J71" s="65"/>
      <c r="K71" s="648"/>
      <c r="L71" s="65"/>
      <c r="M71" s="648"/>
      <c r="N71" s="65"/>
      <c r="O71" s="648"/>
      <c r="P71" s="65"/>
      <c r="Q71" s="648"/>
      <c r="R71" s="65"/>
      <c r="S71" s="648"/>
      <c r="T71" s="65"/>
      <c r="U71" s="648"/>
      <c r="V71" s="65"/>
      <c r="W71" s="648"/>
    </row>
    <row r="72" spans="2:23" x14ac:dyDescent="0.25">
      <c r="B72" s="5"/>
      <c r="C72" s="5"/>
      <c r="D72" s="5"/>
      <c r="E72" s="6" t="s">
        <v>1237</v>
      </c>
      <c r="F72" s="5"/>
      <c r="G72" s="12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2:23" x14ac:dyDescent="0.25">
      <c r="B73" s="8"/>
      <c r="C73" s="8"/>
      <c r="D73" s="8"/>
      <c r="E73" s="553" t="s">
        <v>1238</v>
      </c>
      <c r="F73" s="8" t="s">
        <v>18</v>
      </c>
      <c r="G73" s="10">
        <f>+cant!J976</f>
        <v>2877</v>
      </c>
      <c r="H73" s="741">
        <f>+'311,2'!I55</f>
        <v>67271</v>
      </c>
      <c r="I73" s="741">
        <f>ROUND(H73*G73,0)</f>
        <v>193538667</v>
      </c>
      <c r="J73" s="59">
        <f>+'311,2'!I19</f>
        <v>5842</v>
      </c>
      <c r="K73" s="36">
        <f>+J73*G73</f>
        <v>16807434</v>
      </c>
      <c r="L73" s="59">
        <f>+'311,2'!I29</f>
        <v>10857</v>
      </c>
      <c r="M73" s="36">
        <f>+L73*G73</f>
        <v>31235589</v>
      </c>
      <c r="N73" s="59">
        <f>+'311,2'!I36</f>
        <v>34748</v>
      </c>
      <c r="O73" s="36">
        <f>+N73*G73</f>
        <v>99969996</v>
      </c>
      <c r="P73" s="59">
        <f>+'311,2'!I45</f>
        <v>300</v>
      </c>
      <c r="Q73" s="36">
        <f>+P73*G73</f>
        <v>863100</v>
      </c>
      <c r="R73" s="36">
        <f>+J73+L73+N73+P73</f>
        <v>51747</v>
      </c>
      <c r="S73" s="36">
        <f>+R73*G73</f>
        <v>148876119</v>
      </c>
      <c r="T73" s="59">
        <f>+'P1'!I47</f>
        <v>2565</v>
      </c>
      <c r="U73" s="36">
        <f>+T73*G73</f>
        <v>7379505</v>
      </c>
      <c r="V73" s="36">
        <f>+J73+L73+N73+P73+T73</f>
        <v>54312</v>
      </c>
      <c r="W73" s="36">
        <f>+V73*G73</f>
        <v>156255624</v>
      </c>
    </row>
    <row r="74" spans="2:23" x14ac:dyDescent="0.25">
      <c r="B74" s="38"/>
      <c r="C74" s="38"/>
      <c r="D74" s="38"/>
      <c r="E74" s="39"/>
      <c r="F74" s="38"/>
      <c r="G74" s="40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</row>
    <row r="75" spans="2:23" ht="31.5" customHeight="1" x14ac:dyDescent="0.25">
      <c r="B75" s="42"/>
      <c r="C75" s="42"/>
      <c r="D75" s="42"/>
      <c r="E75" s="43"/>
      <c r="F75" s="42"/>
      <c r="G75" s="1187" t="s">
        <v>1239</v>
      </c>
      <c r="H75" s="1188"/>
      <c r="I75" s="72">
        <f>+SUM(I73:I74)</f>
        <v>193538667</v>
      </c>
      <c r="K75" s="72">
        <f>+SUM(K73:K74)</f>
        <v>16807434</v>
      </c>
      <c r="M75" s="72">
        <f>+SUM(M73:M74)</f>
        <v>31235589</v>
      </c>
      <c r="O75" s="72">
        <f>+SUM(O73:O74)</f>
        <v>99969996</v>
      </c>
      <c r="Q75" s="72">
        <f>+SUM(Q73:Q74)</f>
        <v>863100</v>
      </c>
      <c r="S75" s="72">
        <f>+SUM(S73:S74)</f>
        <v>148876119</v>
      </c>
      <c r="U75" s="72">
        <f>+SUM(U73:U74)</f>
        <v>7379505</v>
      </c>
      <c r="W75" s="72">
        <f>+SUM(W73:W74)</f>
        <v>156255624</v>
      </c>
    </row>
    <row r="76" spans="2:23" x14ac:dyDescent="0.25">
      <c r="B76" s="48"/>
      <c r="C76" s="48"/>
      <c r="D76" s="48"/>
      <c r="E76" s="49"/>
      <c r="F76" s="48"/>
      <c r="G76" s="50"/>
      <c r="H76" s="51"/>
      <c r="I76" s="51"/>
    </row>
    <row r="77" spans="2:23" x14ac:dyDescent="0.25">
      <c r="B77" s="1177"/>
      <c r="C77" s="1177"/>
      <c r="D77" s="1177"/>
      <c r="E77" s="1177"/>
      <c r="F77" s="61"/>
      <c r="G77" s="624"/>
      <c r="H77" s="625"/>
      <c r="I77" s="63"/>
      <c r="J77" s="578"/>
      <c r="K77" s="578"/>
      <c r="L77" s="578"/>
      <c r="M77" s="578"/>
      <c r="N77" s="578"/>
      <c r="O77" s="578"/>
      <c r="P77" s="578"/>
      <c r="Q77" s="578"/>
      <c r="R77" s="578"/>
      <c r="S77" s="578"/>
      <c r="T77" s="578"/>
      <c r="U77" s="578"/>
      <c r="V77" s="578"/>
      <c r="W77" s="578"/>
    </row>
    <row r="78" spans="2:23" x14ac:dyDescent="0.25">
      <c r="B78" s="5"/>
      <c r="C78" s="5"/>
      <c r="D78" s="5"/>
      <c r="E78" s="6" t="s">
        <v>1249</v>
      </c>
      <c r="F78" s="5"/>
      <c r="G78" s="12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2:23" s="65" customFormat="1" x14ac:dyDescent="0.25">
      <c r="B79" s="8" t="s">
        <v>164</v>
      </c>
      <c r="C79" s="8"/>
      <c r="D79" s="8" t="s">
        <v>164</v>
      </c>
      <c r="E79" s="553" t="s">
        <v>163</v>
      </c>
      <c r="F79" s="8" t="s">
        <v>18</v>
      </c>
      <c r="G79" s="10">
        <f>+cant!J1000</f>
        <v>1339</v>
      </c>
      <c r="H79" s="11">
        <f>+'P1'!I55</f>
        <v>3335</v>
      </c>
      <c r="I79" s="11">
        <f>ROUND(H79*G79,0)</f>
        <v>4465565</v>
      </c>
      <c r="J79" s="59">
        <f>+'P1'!I19</f>
        <v>2315</v>
      </c>
      <c r="K79" s="36">
        <f>+J79*G79</f>
        <v>3099785</v>
      </c>
      <c r="L79" s="59">
        <f>+'P1'!I29</f>
        <v>0</v>
      </c>
      <c r="M79" s="36">
        <f>+L79*G79</f>
        <v>0</v>
      </c>
      <c r="N79" s="59">
        <f>+'P1'!I36</f>
        <v>0</v>
      </c>
      <c r="O79" s="36">
        <f>+N79*G79</f>
        <v>0</v>
      </c>
      <c r="P79" s="59">
        <f>+'P1'!I45</f>
        <v>250</v>
      </c>
      <c r="Q79" s="36">
        <f>+P79*G79</f>
        <v>334750</v>
      </c>
      <c r="R79" s="36">
        <f>+J79+L79+N79+P79</f>
        <v>2565</v>
      </c>
      <c r="S79" s="36">
        <f>+R79*G79</f>
        <v>3434535</v>
      </c>
      <c r="T79" s="59">
        <f>+'P1'!I53</f>
        <v>770</v>
      </c>
      <c r="U79" s="36">
        <f>+T79*G79</f>
        <v>1031030</v>
      </c>
      <c r="V79" s="36">
        <f>+J79+L79+N79+P79+T79</f>
        <v>3335</v>
      </c>
      <c r="W79" s="36">
        <f>+V79*G79</f>
        <v>4465565</v>
      </c>
    </row>
    <row r="80" spans="2:23" x14ac:dyDescent="0.25">
      <c r="B80" s="38"/>
      <c r="C80" s="38"/>
      <c r="D80" s="38"/>
      <c r="E80" s="39"/>
      <c r="F80" s="38"/>
      <c r="G80" s="40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</row>
    <row r="81" spans="2:23" ht="52.5" customHeight="1" x14ac:dyDescent="0.25">
      <c r="B81" s="42"/>
      <c r="C81" s="42"/>
      <c r="D81" s="42"/>
      <c r="E81" s="43"/>
      <c r="F81" s="42"/>
      <c r="G81" s="1187" t="s">
        <v>166</v>
      </c>
      <c r="H81" s="1188"/>
      <c r="I81" s="72">
        <f>+SUM(I79:I80)</f>
        <v>4465565</v>
      </c>
      <c r="K81" s="72">
        <f>+SUM(K79:K80)</f>
        <v>3099785</v>
      </c>
      <c r="M81" s="72">
        <f>+SUM(M79:M80)</f>
        <v>0</v>
      </c>
      <c r="O81" s="72">
        <f>+SUM(O79:O80)</f>
        <v>0</v>
      </c>
      <c r="Q81" s="72">
        <f>+SUM(Q79:Q80)</f>
        <v>334750</v>
      </c>
      <c r="S81" s="72">
        <f>+SUM(S79:S80)</f>
        <v>3434535</v>
      </c>
      <c r="U81" s="72">
        <f>+SUM(U79:U80)</f>
        <v>1031030</v>
      </c>
      <c r="W81" s="72">
        <f>+SUM(W79:W80)</f>
        <v>4465565</v>
      </c>
    </row>
    <row r="82" spans="2:23" x14ac:dyDescent="0.25">
      <c r="B82" s="48"/>
      <c r="C82" s="48"/>
      <c r="D82" s="48"/>
      <c r="E82" s="49"/>
      <c r="F82" s="48"/>
      <c r="G82" s="50"/>
      <c r="H82" s="51"/>
      <c r="I82" s="51"/>
    </row>
    <row r="83" spans="2:23" x14ac:dyDescent="0.25">
      <c r="B83" s="77"/>
      <c r="C83" s="77"/>
      <c r="D83" s="77"/>
      <c r="E83" s="81" t="s">
        <v>1250</v>
      </c>
      <c r="F83" s="77"/>
      <c r="G83" s="79"/>
      <c r="H83" s="80"/>
      <c r="I83" s="80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</row>
    <row r="84" spans="2:23" ht="38.25" x14ac:dyDescent="0.25">
      <c r="B84" s="8" t="s">
        <v>67</v>
      </c>
      <c r="C84" s="8"/>
      <c r="D84" s="8" t="s">
        <v>172</v>
      </c>
      <c r="E84" s="553" t="s">
        <v>173</v>
      </c>
      <c r="F84" s="8" t="s">
        <v>68</v>
      </c>
      <c r="G84" s="10">
        <f>+cant!J1036</f>
        <v>363</v>
      </c>
      <c r="H84" s="11">
        <f>+'900,2'!I55</f>
        <v>1412</v>
      </c>
      <c r="I84" s="11">
        <f>ROUND(H84*G84,0)</f>
        <v>512556</v>
      </c>
      <c r="J84" s="59">
        <f>+'900,2'!I19</f>
        <v>1086</v>
      </c>
      <c r="K84" s="36">
        <f>+J84*G84</f>
        <v>394218</v>
      </c>
      <c r="L84" s="59">
        <f>+'900,2'!I29</f>
        <v>0</v>
      </c>
      <c r="M84" s="36">
        <f>+L84*G84</f>
        <v>0</v>
      </c>
      <c r="N84" s="59">
        <f>+'900,2'!I36</f>
        <v>0</v>
      </c>
      <c r="O84" s="36">
        <f>+N84*G84</f>
        <v>0</v>
      </c>
      <c r="P84" s="59">
        <f>+'900,2'!I45</f>
        <v>0</v>
      </c>
      <c r="Q84" s="36">
        <f>+P84*G84</f>
        <v>0</v>
      </c>
      <c r="R84" s="36">
        <f>+J84+L84+N84+P84</f>
        <v>1086</v>
      </c>
      <c r="S84" s="36">
        <f>+R84*G84</f>
        <v>394218</v>
      </c>
      <c r="T84" s="59">
        <f>+'900,2'!I53</f>
        <v>326</v>
      </c>
      <c r="U84" s="36">
        <f>+T84*G84</f>
        <v>118338</v>
      </c>
      <c r="V84" s="36">
        <f>+J84+L84+N84+P84+T84</f>
        <v>1412</v>
      </c>
      <c r="W84" s="36">
        <f>+V84*G84</f>
        <v>512556</v>
      </c>
    </row>
    <row r="85" spans="2:23" ht="27.75" customHeight="1" x14ac:dyDescent="0.25">
      <c r="B85" s="48"/>
      <c r="C85" s="48"/>
      <c r="D85" s="48"/>
      <c r="E85" s="553"/>
      <c r="F85" s="8"/>
      <c r="G85" s="50"/>
      <c r="H85" s="51"/>
      <c r="I85" s="11"/>
      <c r="J85" s="541"/>
      <c r="K85" s="36"/>
      <c r="L85" s="541"/>
      <c r="M85" s="36"/>
      <c r="N85" s="541"/>
      <c r="O85" s="36"/>
      <c r="P85" s="541"/>
      <c r="Q85" s="36"/>
      <c r="R85" s="36"/>
      <c r="S85" s="36"/>
      <c r="T85" s="541"/>
      <c r="U85" s="36"/>
      <c r="V85" s="36"/>
      <c r="W85" s="36"/>
    </row>
    <row r="86" spans="2:23" x14ac:dyDescent="0.25">
      <c r="B86" s="38"/>
      <c r="C86" s="38"/>
      <c r="D86" s="38"/>
      <c r="E86" s="39"/>
      <c r="F86" s="38"/>
      <c r="G86" s="40"/>
      <c r="H86" s="41"/>
      <c r="I86" s="41"/>
      <c r="J86" s="40"/>
      <c r="K86" s="40"/>
      <c r="L86" s="40"/>
      <c r="M86" s="40"/>
      <c r="N86" s="40"/>
      <c r="O86" s="40"/>
      <c r="P86" s="40"/>
      <c r="Q86" s="40"/>
      <c r="R86" s="40"/>
      <c r="S86" s="40"/>
      <c r="T86" s="40"/>
      <c r="U86" s="40"/>
      <c r="V86" s="40"/>
      <c r="W86" s="40"/>
    </row>
    <row r="87" spans="2:23" x14ac:dyDescent="0.25">
      <c r="B87" s="20"/>
      <c r="C87" s="20"/>
      <c r="D87" s="20"/>
      <c r="E87" s="21"/>
      <c r="F87" s="20"/>
      <c r="G87" s="1187" t="s">
        <v>175</v>
      </c>
      <c r="H87" s="1188"/>
      <c r="I87" s="72">
        <f>+SUM(I84:I86)</f>
        <v>512556</v>
      </c>
      <c r="K87" s="72">
        <f>+SUM(K84:K86)</f>
        <v>394218</v>
      </c>
      <c r="M87" s="72">
        <f>+SUM(M84:M86)</f>
        <v>0</v>
      </c>
      <c r="O87" s="72">
        <f>+SUM(O84:O86)</f>
        <v>0</v>
      </c>
      <c r="Q87" s="72">
        <f>+SUM(Q84:Q86)</f>
        <v>0</v>
      </c>
      <c r="S87" s="72">
        <f>+SUM(S84:S86)</f>
        <v>394218</v>
      </c>
      <c r="U87" s="72">
        <f>+SUM(U84:U86)</f>
        <v>118338</v>
      </c>
      <c r="W87" s="72">
        <f>+SUM(W84:W86)</f>
        <v>512556</v>
      </c>
    </row>
    <row r="88" spans="2:23" x14ac:dyDescent="0.25">
      <c r="B88" s="77"/>
      <c r="C88" s="77"/>
      <c r="D88" s="77"/>
      <c r="E88" s="81" t="s">
        <v>1253</v>
      </c>
      <c r="F88" s="77"/>
      <c r="G88" s="79"/>
      <c r="H88" s="80"/>
      <c r="I88" s="80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</row>
    <row r="89" spans="2:23" x14ac:dyDescent="0.25">
      <c r="B89" s="8"/>
      <c r="C89" s="8"/>
      <c r="D89" s="8"/>
      <c r="E89" s="553" t="s">
        <v>310</v>
      </c>
      <c r="F89" s="8" t="s">
        <v>18</v>
      </c>
      <c r="G89" s="10">
        <f>+G21+G22+G27+G28</f>
        <v>1281</v>
      </c>
      <c r="H89" s="741">
        <f>+('230,1'!H11+'310,1'!H11+'311,1'!H13+'311,2'!H13+'320,1'!H13)*1.3</f>
        <v>11380.893333333333</v>
      </c>
      <c r="I89" s="741">
        <f>ROUND(H89*G89,0)</f>
        <v>14578924</v>
      </c>
      <c r="J89" s="59">
        <f>+'900,2'!I24</f>
        <v>0</v>
      </c>
      <c r="K89" s="36">
        <f>+J89*G89</f>
        <v>0</v>
      </c>
      <c r="L89" s="59">
        <f>+'900,2'!I34</f>
        <v>0</v>
      </c>
      <c r="M89" s="36">
        <f>+L89*G89</f>
        <v>0</v>
      </c>
      <c r="N89" s="59">
        <f>+'900,2'!I41</f>
        <v>0</v>
      </c>
      <c r="O89" s="36">
        <f>+N89*G89</f>
        <v>0</v>
      </c>
      <c r="P89" s="59">
        <f>+'900,2'!I50</f>
        <v>0</v>
      </c>
      <c r="Q89" s="36">
        <f>+P89*G89</f>
        <v>0</v>
      </c>
      <c r="R89" s="36">
        <f>+J89+L89+N89+P89</f>
        <v>0</v>
      </c>
      <c r="S89" s="36">
        <f>+R89*G89</f>
        <v>0</v>
      </c>
      <c r="T89" s="59">
        <f>+'900,2'!I58</f>
        <v>0</v>
      </c>
      <c r="U89" s="36">
        <f>+T89*G89</f>
        <v>0</v>
      </c>
      <c r="V89" s="36">
        <f>+J89+L89+N89+P89+T89</f>
        <v>0</v>
      </c>
      <c r="W89" s="36">
        <f>+V89*G89</f>
        <v>0</v>
      </c>
    </row>
    <row r="90" spans="2:23" x14ac:dyDescent="0.25">
      <c r="B90" s="48"/>
      <c r="C90" s="48"/>
      <c r="D90" s="48"/>
      <c r="E90" s="553" t="s">
        <v>1251</v>
      </c>
      <c r="F90" s="8" t="s">
        <v>18</v>
      </c>
      <c r="G90" s="1">
        <f>+G15+G16+G17+G18+G19+G39+G40+G41+G42</f>
        <v>1369</v>
      </c>
      <c r="H90" s="50">
        <f>+('201,7'!H13+'215'!H11+'210,1,1'!H11+'210,2,1'!H11+'211,1'!H11+'600,1,1'!H11+'600,2,1'!H12+'6002,2'!H12+'600,2,4'!H11)*1.3</f>
        <v>104220.30666666666</v>
      </c>
      <c r="I90" s="741">
        <f>ROUND(H90*G90,0)</f>
        <v>142677600</v>
      </c>
      <c r="J90" s="541"/>
      <c r="K90" s="36"/>
      <c r="L90" s="541"/>
      <c r="M90" s="36"/>
      <c r="N90" s="541"/>
      <c r="O90" s="36"/>
      <c r="P90" s="541"/>
      <c r="Q90" s="36"/>
      <c r="R90" s="36"/>
      <c r="S90" s="36"/>
      <c r="T90" s="541"/>
      <c r="U90" s="36"/>
      <c r="V90" s="36"/>
      <c r="W90" s="36"/>
    </row>
    <row r="91" spans="2:23" x14ac:dyDescent="0.25">
      <c r="B91" s="48"/>
      <c r="C91" s="48"/>
      <c r="D91" s="48"/>
      <c r="E91" s="553" t="s">
        <v>1252</v>
      </c>
      <c r="F91" s="38" t="s">
        <v>18</v>
      </c>
      <c r="G91" s="40">
        <f>+'900,2'!H11*1.3</f>
        <v>1411.2287878787879</v>
      </c>
      <c r="H91" s="41">
        <f>+G84</f>
        <v>363</v>
      </c>
      <c r="I91" s="741">
        <f>ROUND(H91*G91,0)</f>
        <v>512276</v>
      </c>
      <c r="J91" s="40"/>
      <c r="K91" s="40"/>
      <c r="L91" s="40"/>
      <c r="M91" s="40"/>
      <c r="N91" s="40"/>
      <c r="O91" s="40"/>
      <c r="P91" s="40"/>
      <c r="Q91" s="40"/>
      <c r="R91" s="40"/>
      <c r="S91" s="40"/>
      <c r="T91" s="40"/>
      <c r="U91" s="40"/>
      <c r="V91" s="40"/>
      <c r="W91" s="40"/>
    </row>
    <row r="92" spans="2:23" x14ac:dyDescent="0.25">
      <c r="B92" s="48"/>
      <c r="C92" s="48"/>
      <c r="D92" s="48"/>
      <c r="E92" s="553" t="s">
        <v>55</v>
      </c>
      <c r="F92" s="58" t="s">
        <v>18</v>
      </c>
      <c r="G92" s="59">
        <f>+ROUNDUP(cant!J945,0)</f>
        <v>100</v>
      </c>
      <c r="H92" s="60">
        <f>+H66</f>
        <v>195286</v>
      </c>
      <c r="I92" s="60">
        <f>ROUND(H92*G92,0)</f>
        <v>19528600</v>
      </c>
      <c r="J92" s="59">
        <f>+'681,1'!I45</f>
        <v>14994</v>
      </c>
      <c r="K92" s="59">
        <f>+J92*G92</f>
        <v>1499400</v>
      </c>
      <c r="L92" s="59">
        <f>+'681,1'!I55</f>
        <v>195286</v>
      </c>
      <c r="M92" s="59">
        <f>+L92*G92</f>
        <v>19528600</v>
      </c>
      <c r="N92" s="59">
        <f>+'681,1'!I62</f>
        <v>0</v>
      </c>
      <c r="O92" s="59">
        <f>+N92*G92</f>
        <v>0</v>
      </c>
      <c r="P92" s="59">
        <f>+'681,1'!I71</f>
        <v>0</v>
      </c>
      <c r="Q92" s="59">
        <f>+P92*G92</f>
        <v>0</v>
      </c>
      <c r="R92" s="59">
        <f>+J92+L92+N92+P92</f>
        <v>210280</v>
      </c>
      <c r="S92" s="59">
        <f>+R92*G92</f>
        <v>21028000</v>
      </c>
      <c r="T92" s="59">
        <f>+'681,1'!I79</f>
        <v>0</v>
      </c>
      <c r="U92" s="59">
        <f>+T92*G92</f>
        <v>0</v>
      </c>
      <c r="V92" s="59">
        <f>+J92+L92+N92+P92+T92</f>
        <v>210280</v>
      </c>
      <c r="W92" s="59">
        <f>+V92*G92</f>
        <v>21028000</v>
      </c>
    </row>
    <row r="93" spans="2:23" x14ac:dyDescent="0.25">
      <c r="B93" s="48"/>
      <c r="C93" s="48"/>
      <c r="D93" s="48"/>
      <c r="E93" s="553" t="s">
        <v>1255</v>
      </c>
      <c r="F93" s="61" t="s">
        <v>18</v>
      </c>
      <c r="G93" s="1165">
        <f>+cant!H510</f>
        <v>4.9119999999999999</v>
      </c>
      <c r="H93" s="1166">
        <f>+H45</f>
        <v>805045</v>
      </c>
      <c r="I93" s="60">
        <f t="shared" ref="I93:I94" si="10">ROUND(H93*G93,0)</f>
        <v>3954381</v>
      </c>
      <c r="J93" s="26"/>
      <c r="K93" s="991"/>
      <c r="L93" s="26"/>
      <c r="M93" s="991"/>
      <c r="N93" s="26"/>
      <c r="O93" s="991"/>
      <c r="P93" s="26"/>
      <c r="Q93" s="991"/>
      <c r="R93" s="26"/>
      <c r="S93" s="991"/>
      <c r="T93" s="26"/>
      <c r="U93" s="991"/>
      <c r="V93" s="26"/>
      <c r="W93" s="991"/>
    </row>
    <row r="94" spans="2:23" x14ac:dyDescent="0.25">
      <c r="B94" s="48"/>
      <c r="C94" s="48"/>
      <c r="D94" s="48"/>
      <c r="E94" s="553" t="s">
        <v>1256</v>
      </c>
      <c r="F94" s="61" t="s">
        <v>338</v>
      </c>
      <c r="G94" s="1165">
        <f>+cant!G607</f>
        <v>275</v>
      </c>
      <c r="H94" s="1166">
        <f>+H51</f>
        <v>8870</v>
      </c>
      <c r="I94" s="60">
        <f t="shared" si="10"/>
        <v>2439250</v>
      </c>
      <c r="J94" s="26"/>
      <c r="K94" s="991"/>
      <c r="L94" s="26"/>
      <c r="M94" s="991"/>
      <c r="N94" s="26"/>
      <c r="O94" s="991"/>
      <c r="P94" s="26"/>
      <c r="Q94" s="991"/>
      <c r="R94" s="26"/>
      <c r="S94" s="991"/>
      <c r="T94" s="26"/>
      <c r="U94" s="991"/>
      <c r="V94" s="26"/>
      <c r="W94" s="991"/>
    </row>
    <row r="95" spans="2:23" x14ac:dyDescent="0.25">
      <c r="B95" s="20"/>
      <c r="C95" s="20"/>
      <c r="D95" s="20"/>
      <c r="E95" s="742"/>
      <c r="F95" s="20"/>
      <c r="G95" s="1187" t="s">
        <v>1254</v>
      </c>
      <c r="H95" s="1188"/>
      <c r="I95" s="72">
        <f>+SUM(I89:I94)</f>
        <v>183691031</v>
      </c>
      <c r="K95" s="72">
        <f>+SUM(K89:K91)</f>
        <v>0</v>
      </c>
      <c r="M95" s="72">
        <f>+SUM(M89:M91)</f>
        <v>0</v>
      </c>
      <c r="O95" s="72">
        <f>+SUM(O89:O91)</f>
        <v>0</v>
      </c>
      <c r="Q95" s="72">
        <f>+SUM(Q89:Q91)</f>
        <v>0</v>
      </c>
      <c r="S95" s="72">
        <f>+SUM(S89:S91)</f>
        <v>0</v>
      </c>
      <c r="U95" s="72">
        <f>+SUM(U89:U91)</f>
        <v>0</v>
      </c>
      <c r="W95" s="72">
        <f>+SUM(W89:W91)</f>
        <v>0</v>
      </c>
    </row>
    <row r="96" spans="2:23" x14ac:dyDescent="0.25">
      <c r="B96"/>
      <c r="C96"/>
      <c r="D96"/>
      <c r="E96"/>
      <c r="F96"/>
      <c r="G96"/>
      <c r="H96"/>
      <c r="I96" s="1047"/>
      <c r="Q96" s="449">
        <f>SUM(Q13:Q87)/2</f>
        <v>49995430</v>
      </c>
      <c r="S96" s="449">
        <f>SUM(S13:S87)/2</f>
        <v>728233843.10000002</v>
      </c>
    </row>
    <row r="97" spans="2:19" x14ac:dyDescent="0.25">
      <c r="G97" s="13"/>
      <c r="K97" s="1112"/>
      <c r="L97" s="1112"/>
      <c r="S97" s="744">
        <f>+S96-I95</f>
        <v>544542812.10000002</v>
      </c>
    </row>
    <row r="98" spans="2:19" ht="15" customHeight="1" x14ac:dyDescent="0.25">
      <c r="B98" s="374"/>
      <c r="C98" s="1189" t="s">
        <v>176</v>
      </c>
      <c r="D98" s="1189"/>
      <c r="E98" s="1189"/>
      <c r="F98" s="375"/>
      <c r="G98" s="376"/>
      <c r="H98" s="377"/>
      <c r="I98" s="378">
        <f>+I24+I30+I35+I69+I75+I81+I87</f>
        <v>946705776</v>
      </c>
      <c r="J98" s="872"/>
      <c r="K98" s="1045"/>
      <c r="L98" s="1114">
        <v>4084</v>
      </c>
      <c r="M98" s="963"/>
      <c r="N98" s="963"/>
      <c r="O98" s="963"/>
      <c r="P98" s="963"/>
    </row>
    <row r="99" spans="2:19" ht="15" customHeight="1" x14ac:dyDescent="0.25">
      <c r="B99" s="374"/>
      <c r="C99" s="1136"/>
      <c r="D99" s="1189" t="s">
        <v>1257</v>
      </c>
      <c r="E99" s="1189"/>
      <c r="F99" s="1189"/>
      <c r="G99" s="376"/>
      <c r="H99" s="377"/>
      <c r="I99" s="378">
        <f>+I98-I95</f>
        <v>763014745</v>
      </c>
      <c r="J99" s="872"/>
      <c r="K99" s="1045"/>
      <c r="L99" s="1114"/>
      <c r="M99" s="963"/>
      <c r="N99" s="963"/>
      <c r="O99" s="963"/>
      <c r="P99" s="963"/>
    </row>
    <row r="100" spans="2:19" ht="15" customHeight="1" x14ac:dyDescent="0.25">
      <c r="B100" s="374"/>
      <c r="C100" s="1189" t="str">
        <f>+'Presup '!C94:H94</f>
        <v>PLAN DE MANEJO AMBIENTAL</v>
      </c>
      <c r="D100" s="1189"/>
      <c r="E100" s="1189"/>
      <c r="F100" s="375"/>
      <c r="G100" s="376"/>
      <c r="H100" s="377"/>
      <c r="I100" s="379">
        <f>+'[18] PAGA CAP'!$G$21</f>
        <v>8702581</v>
      </c>
      <c r="J100" s="874"/>
      <c r="K100" s="1115">
        <f>+(L100*K98)/L98</f>
        <v>0</v>
      </c>
      <c r="L100" s="1114">
        <f>+cant!E15</f>
        <v>20200</v>
      </c>
      <c r="M100" s="963"/>
      <c r="N100" s="963"/>
      <c r="O100" s="963"/>
      <c r="P100" s="963"/>
    </row>
    <row r="101" spans="2:19" ht="15" customHeight="1" x14ac:dyDescent="0.25">
      <c r="B101" s="374"/>
      <c r="C101" s="1189" t="s">
        <v>810</v>
      </c>
      <c r="D101" s="1189" t="s">
        <v>630</v>
      </c>
      <c r="E101" s="1189"/>
      <c r="F101" s="375"/>
      <c r="G101" s="376"/>
      <c r="H101" s="377"/>
      <c r="I101" s="379">
        <f>+ROUND(I100*0.19,0)</f>
        <v>1653490</v>
      </c>
      <c r="J101" s="874"/>
      <c r="K101" s="1112"/>
      <c r="L101" s="1113"/>
      <c r="M101" s="963"/>
      <c r="N101" s="963"/>
      <c r="O101" s="963"/>
      <c r="P101" s="963"/>
    </row>
    <row r="102" spans="2:19" ht="15" customHeight="1" x14ac:dyDescent="0.25">
      <c r="B102" s="374"/>
      <c r="C102" s="1189" t="str">
        <f>+'Presup '!C98:H98</f>
        <v>PLAN DE MANEJO AMBIENTAL</v>
      </c>
      <c r="D102" s="1189"/>
      <c r="E102" s="1189"/>
      <c r="F102" s="375"/>
      <c r="G102" s="376"/>
      <c r="H102" s="377"/>
      <c r="I102" s="378">
        <f>+I101+I100</f>
        <v>10356071</v>
      </c>
      <c r="J102" s="873"/>
      <c r="K102" s="1113">
        <v>289992973</v>
      </c>
      <c r="L102" s="1114">
        <f>+L98</f>
        <v>4084</v>
      </c>
      <c r="M102" s="963"/>
      <c r="N102" s="963"/>
      <c r="O102" s="963"/>
      <c r="P102" s="963"/>
    </row>
    <row r="103" spans="2:19" ht="15" customHeight="1" x14ac:dyDescent="0.25">
      <c r="B103" s="374"/>
      <c r="C103" s="1189" t="str">
        <f>+'Presup '!C99:H99</f>
        <v>PLAN DE MANEJO DE TRÁNSITO</v>
      </c>
      <c r="D103" s="1189"/>
      <c r="E103" s="1189"/>
      <c r="F103" s="375"/>
      <c r="G103" s="376"/>
      <c r="H103" s="377"/>
      <c r="I103" s="379">
        <f>+PLMT!G28</f>
        <v>12565630</v>
      </c>
      <c r="J103" s="871"/>
      <c r="K103" s="1115">
        <f>+ROUNDUP((L103*K102)/L102,0)</f>
        <v>1434343305</v>
      </c>
      <c r="L103" s="1114">
        <f>+L100</f>
        <v>20200</v>
      </c>
      <c r="M103" s="963"/>
      <c r="N103" s="963"/>
      <c r="O103" s="963"/>
      <c r="P103" s="963"/>
    </row>
    <row r="104" spans="2:19" ht="15" customHeight="1" x14ac:dyDescent="0.25">
      <c r="B104" s="374"/>
      <c r="C104" s="1189" t="s">
        <v>811</v>
      </c>
      <c r="D104" s="1189" t="s">
        <v>630</v>
      </c>
      <c r="E104" s="1189"/>
      <c r="F104" s="375"/>
      <c r="G104" s="376"/>
      <c r="H104" s="377"/>
      <c r="I104" s="379">
        <f>ROUND(I103*0.19,0)</f>
        <v>2387470</v>
      </c>
      <c r="J104" s="871"/>
      <c r="K104" s="1112"/>
      <c r="L104" s="1113"/>
      <c r="M104" s="963"/>
      <c r="N104" s="963"/>
      <c r="O104" s="963"/>
      <c r="P104" s="963"/>
    </row>
    <row r="105" spans="2:19" ht="15" customHeight="1" x14ac:dyDescent="0.25">
      <c r="B105" s="374"/>
      <c r="C105" s="1189" t="str">
        <f>+'Presup '!C101:H101</f>
        <v>PLAN DE MANEJO DE TRÁNSITO</v>
      </c>
      <c r="D105" s="1189"/>
      <c r="E105" s="1189"/>
      <c r="F105" s="375"/>
      <c r="G105" s="376"/>
      <c r="H105" s="377"/>
      <c r="I105" s="378">
        <f>+I104+I103</f>
        <v>14953100</v>
      </c>
      <c r="J105" s="871"/>
      <c r="K105" s="1113">
        <f>+PLMT!G28</f>
        <v>12565630</v>
      </c>
      <c r="L105" s="1114">
        <f>+PLMT!D23</f>
        <v>2020</v>
      </c>
      <c r="M105" s="963"/>
      <c r="N105" s="963"/>
      <c r="O105" s="963"/>
      <c r="P105" s="963"/>
    </row>
    <row r="106" spans="2:19" hidden="1" x14ac:dyDescent="0.25">
      <c r="B106" s="374"/>
      <c r="C106" s="1189" t="s">
        <v>638</v>
      </c>
      <c r="D106" s="1189"/>
      <c r="E106" s="1189"/>
      <c r="F106" s="375"/>
      <c r="G106" s="376"/>
      <c r="H106" s="377"/>
      <c r="I106" s="379">
        <f>+[19]Hoja1!$H$88*0</f>
        <v>0</v>
      </c>
      <c r="J106" s="871"/>
      <c r="K106" s="1116">
        <f>+ROUND((L106*K105)/L105,0)</f>
        <v>125656300</v>
      </c>
      <c r="L106" s="1114">
        <f>+L103</f>
        <v>20200</v>
      </c>
      <c r="M106" s="963"/>
      <c r="N106" s="963"/>
      <c r="O106" s="963"/>
      <c r="P106" s="963"/>
    </row>
    <row r="107" spans="2:19" hidden="1" x14ac:dyDescent="0.25">
      <c r="B107" s="374"/>
      <c r="C107" s="1189" t="s">
        <v>812</v>
      </c>
      <c r="D107" s="1189" t="s">
        <v>630</v>
      </c>
      <c r="E107" s="1189"/>
      <c r="F107" s="375"/>
      <c r="G107" s="376"/>
      <c r="H107" s="377"/>
      <c r="I107" s="379">
        <f>ROUND(I106*0.19,0)</f>
        <v>0</v>
      </c>
      <c r="J107" s="871"/>
      <c r="K107" s="1112"/>
      <c r="L107" s="1113"/>
      <c r="M107" s="963"/>
      <c r="N107" s="963"/>
      <c r="O107" s="963"/>
      <c r="P107" s="963"/>
    </row>
    <row r="108" spans="2:19" hidden="1" x14ac:dyDescent="0.25">
      <c r="B108" s="374"/>
      <c r="C108" s="1189" t="s">
        <v>641</v>
      </c>
      <c r="D108" s="1189"/>
      <c r="E108" s="1189"/>
      <c r="F108" s="375"/>
      <c r="G108" s="376"/>
      <c r="H108" s="377"/>
      <c r="I108" s="378">
        <f>+I107+I106</f>
        <v>0</v>
      </c>
      <c r="J108" s="871"/>
      <c r="K108" s="1045"/>
      <c r="L108" s="964"/>
      <c r="M108" s="963"/>
      <c r="N108" s="963"/>
      <c r="O108" s="963"/>
      <c r="P108" s="963"/>
    </row>
    <row r="109" spans="2:19" ht="15" customHeight="1" x14ac:dyDescent="0.25">
      <c r="B109" s="374"/>
      <c r="C109" s="1128"/>
      <c r="D109" s="1190" t="str">
        <f>+'Presup '!D97:H97</f>
        <v>CARACTERIZACIÓN VIAL</v>
      </c>
      <c r="E109" s="1191"/>
      <c r="F109" s="1132"/>
      <c r="G109" s="376"/>
      <c r="H109" s="377"/>
      <c r="I109" s="378">
        <f>+'Presup '!I97</f>
        <v>0</v>
      </c>
      <c r="J109" s="871"/>
      <c r="K109" s="1045"/>
      <c r="L109" s="964"/>
      <c r="M109" s="963"/>
      <c r="N109" s="963"/>
      <c r="O109" s="963"/>
      <c r="P109" s="963"/>
    </row>
    <row r="110" spans="2:19" ht="15" customHeight="1" x14ac:dyDescent="0.25">
      <c r="B110" s="374"/>
      <c r="C110" s="1128"/>
      <c r="D110" s="1190" t="str">
        <f>+'Presup '!D105:H105</f>
        <v>PROTOCOLO DE BIOSEGURIDAD</v>
      </c>
      <c r="E110" s="1192"/>
      <c r="F110" s="1132"/>
      <c r="G110" s="376"/>
      <c r="H110" s="377"/>
      <c r="I110" s="378">
        <f>+'Presup '!I105</f>
        <v>6707620</v>
      </c>
      <c r="J110" s="871"/>
      <c r="K110" s="1045"/>
      <c r="L110" s="964"/>
      <c r="M110" s="963"/>
      <c r="N110" s="963"/>
      <c r="O110" s="963"/>
      <c r="P110" s="963"/>
    </row>
    <row r="111" spans="2:19" ht="15" customHeight="1" x14ac:dyDescent="0.25">
      <c r="B111" s="374"/>
      <c r="C111" s="1128"/>
      <c r="D111" s="1190" t="str">
        <f>+'Presup '!C108</f>
        <v>INTERVENTORIA:</v>
      </c>
      <c r="E111" s="1191"/>
      <c r="F111" s="1132"/>
      <c r="G111" s="376"/>
      <c r="H111" s="377"/>
      <c r="I111" s="378">
        <f>+Interv!H53+'[17]presup protocolo interv'!$F$43</f>
        <v>76437172</v>
      </c>
      <c r="J111" s="871"/>
      <c r="K111" s="1045"/>
      <c r="L111" s="964"/>
      <c r="M111" s="963"/>
      <c r="N111" s="963"/>
      <c r="O111" s="963"/>
      <c r="P111" s="963"/>
    </row>
    <row r="112" spans="2:19" x14ac:dyDescent="0.25">
      <c r="B112" s="374"/>
      <c r="C112" s="1189" t="s">
        <v>643</v>
      </c>
      <c r="D112" s="1189"/>
      <c r="E112" s="1189"/>
      <c r="F112" s="375"/>
      <c r="G112" s="376"/>
      <c r="H112" s="377"/>
      <c r="I112" s="379">
        <f>+I108+I105+I102+I99+I109+I111+I110</f>
        <v>871468708</v>
      </c>
      <c r="J112" s="871"/>
      <c r="K112" s="1046"/>
      <c r="L112" s="1159"/>
      <c r="M112" s="963"/>
      <c r="N112" s="963"/>
      <c r="O112" s="963"/>
      <c r="P112" s="963"/>
    </row>
    <row r="113" spans="2:16" x14ac:dyDescent="0.25">
      <c r="J113" s="963"/>
      <c r="K113" s="1160"/>
      <c r="L113" s="1047"/>
      <c r="M113" s="963"/>
      <c r="N113" s="963"/>
      <c r="O113" s="963"/>
      <c r="P113" s="963"/>
    </row>
    <row r="114" spans="2:16" x14ac:dyDescent="0.25">
      <c r="F114"/>
      <c r="G114"/>
      <c r="H114"/>
      <c r="I114"/>
    </row>
    <row r="115" spans="2:16" hidden="1" x14ac:dyDescent="0.25"/>
    <row r="116" spans="2:16" hidden="1" x14ac:dyDescent="0.25"/>
    <row r="117" spans="2:16" hidden="1" x14ac:dyDescent="0.25"/>
    <row r="118" spans="2:16" hidden="1" x14ac:dyDescent="0.25"/>
    <row r="119" spans="2:16" hidden="1" x14ac:dyDescent="0.25">
      <c r="F119" s="1193">
        <f>+B71</f>
        <v>0</v>
      </c>
      <c r="G119" s="1193"/>
      <c r="H119" s="1193"/>
      <c r="I119" s="1193"/>
    </row>
    <row r="120" spans="2:16" hidden="1" x14ac:dyDescent="0.25">
      <c r="F120" s="1177">
        <f>+B77</f>
        <v>0</v>
      </c>
      <c r="G120" s="1177"/>
      <c r="H120" s="1177"/>
      <c r="I120" s="1177"/>
    </row>
    <row r="121" spans="2:16" hidden="1" x14ac:dyDescent="0.25">
      <c r="F121" s="1180"/>
      <c r="G121" s="1180"/>
      <c r="H121" s="1180"/>
      <c r="I121" s="1180"/>
    </row>
    <row r="122" spans="2:16" x14ac:dyDescent="0.25">
      <c r="B122" s="1093"/>
      <c r="C122" s="1093"/>
      <c r="D122" s="1093"/>
      <c r="F122" s="1093"/>
      <c r="G122" s="1093"/>
      <c r="H122" s="1093"/>
      <c r="I122" s="1093"/>
    </row>
    <row r="123" spans="2:16" x14ac:dyDescent="0.25">
      <c r="B123" s="1093"/>
      <c r="C123" s="1093"/>
      <c r="D123" s="1093"/>
      <c r="F123" s="1093"/>
      <c r="G123" s="1093"/>
      <c r="H123" s="1093"/>
      <c r="I123" s="1093"/>
    </row>
    <row r="124" spans="2:16" x14ac:dyDescent="0.25">
      <c r="B124" s="1093"/>
      <c r="C124" s="1093"/>
      <c r="D124" s="1093"/>
      <c r="F124" s="1093"/>
      <c r="G124" s="1093"/>
      <c r="H124" s="1093"/>
      <c r="I124" s="1093"/>
    </row>
    <row r="125" spans="2:16" x14ac:dyDescent="0.25">
      <c r="B125" s="1093"/>
      <c r="C125" s="1093"/>
      <c r="D125" s="1093"/>
      <c r="E125" s="14"/>
      <c r="F125" s="1093"/>
      <c r="G125" s="1093"/>
      <c r="H125" s="1093"/>
      <c r="I125" s="1093"/>
    </row>
    <row r="126" spans="2:16" x14ac:dyDescent="0.25">
      <c r="B126" s="1093"/>
      <c r="C126" s="1093"/>
      <c r="D126" s="1093"/>
      <c r="E126" s="1100" t="str">
        <f>+'Presup '!F123</f>
        <v>ING. JHONATAN STIVEN PANTOJA MORILLO</v>
      </c>
      <c r="F126" s="1093"/>
      <c r="G126" s="1093"/>
      <c r="H126" s="1093"/>
      <c r="I126" s="1093"/>
    </row>
    <row r="127" spans="2:16" x14ac:dyDescent="0.25">
      <c r="B127" s="1093"/>
      <c r="C127" s="1093"/>
      <c r="D127" s="1093"/>
      <c r="E127" s="1100" t="str">
        <f>+'Presup '!F124</f>
        <v xml:space="preserve">M.P. 111037-0520109 NRÑ </v>
      </c>
      <c r="F127" s="1093"/>
      <c r="G127" s="1093"/>
      <c r="H127" s="1093"/>
      <c r="I127" s="1093"/>
    </row>
    <row r="132" spans="9:9" x14ac:dyDescent="0.25">
      <c r="I132" s="67"/>
    </row>
  </sheetData>
  <mergeCells count="34">
    <mergeCell ref="C102:E102"/>
    <mergeCell ref="G87:H87"/>
    <mergeCell ref="G69:H69"/>
    <mergeCell ref="G81:H81"/>
    <mergeCell ref="F119:I119"/>
    <mergeCell ref="C100:E100"/>
    <mergeCell ref="C101:E101"/>
    <mergeCell ref="B71:E71"/>
    <mergeCell ref="C103:E103"/>
    <mergeCell ref="F120:I120"/>
    <mergeCell ref="F121:I121"/>
    <mergeCell ref="G75:H75"/>
    <mergeCell ref="G95:H95"/>
    <mergeCell ref="D99:F99"/>
    <mergeCell ref="C105:E105"/>
    <mergeCell ref="C106:E106"/>
    <mergeCell ref="C107:E107"/>
    <mergeCell ref="D111:E111"/>
    <mergeCell ref="C112:E112"/>
    <mergeCell ref="C108:E108"/>
    <mergeCell ref="D110:E110"/>
    <mergeCell ref="D109:E109"/>
    <mergeCell ref="C104:E104"/>
    <mergeCell ref="B77:E77"/>
    <mergeCell ref="C98:E98"/>
    <mergeCell ref="G24:H24"/>
    <mergeCell ref="G30:H30"/>
    <mergeCell ref="G35:H35"/>
    <mergeCell ref="B9:W9"/>
    <mergeCell ref="B1:W1"/>
    <mergeCell ref="B2:W2"/>
    <mergeCell ref="B3:W3"/>
    <mergeCell ref="B5:W6"/>
    <mergeCell ref="B7:W7"/>
  </mergeCells>
  <hyperlinks>
    <hyperlink ref="E13" location="'200.2'!A1" display="DESMONTE Y LIMPIEZA EN ZONAS NO BOSCOSAS           "/>
    <hyperlink ref="E14" location="'200,4P'!A1" display="LOCALIZACIÓN Y REPLANTEO (CARRETERA)     "/>
    <hyperlink ref="E15" location="'201,7'!A1" display="DEMOLICIÓN DE ESTRUCTURAS"/>
    <hyperlink ref="E16" location="'215'!A1" display="REMOSIÓN DE ALCANTARILLAS"/>
    <hyperlink ref="E17" location="'210,1,1'!A1" display="EXCAVACION SIN CLASIFICAR DE LA EXPLANACIÓN Y CANALES"/>
    <hyperlink ref="E18" location="'210,2,1'!A1" display="EXCAVACION EN ROCA DE LA EXPLANACION Y CANALES"/>
    <hyperlink ref="E19" location="'211,1'!A1" display="REMOCION DE DERRUMBES"/>
    <hyperlink ref="E21" location="'230,1'!A1" display="MEJORAMIENTO DE LA SUBRASANTE EMPLEANDO UNICAMENTE MATERIAL ADICIONADO "/>
    <hyperlink ref="E22" location="'310,1'!A1" display="CONFORMACIÓN DE LA CALZADA EXISTENTE CON ADICIÓN DE MATERIAL"/>
    <hyperlink ref="E27" location="'311,1'!A1" display="AFIRMADO"/>
    <hyperlink ref="E28" location="'320,1'!A1" display="SUBBASE GRANULAR"/>
    <hyperlink ref="E33" location="'500,1'!A1" display="PAVIMENTO DE CONCRETO HIDRÁULICO"/>
    <hyperlink ref="E39" location="'600,1,1'!A1" display="EXCAVACIONES VARIAS SIN CLASIFICAR"/>
    <hyperlink ref="E40" location="'600,2,1'!A1" display="EXCAVACIONES VARIAS EN ROCA EN SECO"/>
    <hyperlink ref="E41" location="'6002,2'!A1" display="EXCAVACIONES VARIAS EN ROCA BAJO AGUA"/>
    <hyperlink ref="E42" location="'600,2,4'!A1" display="EXCAVACIONES VARIAS EN MATERIAL COMÚN BAJO AGUA"/>
    <hyperlink ref="E45" location="'630,1'!A1" display="CONCRETO CLASE C"/>
    <hyperlink ref="E46" location="'630,2'!A1" display="CONCRETO CLASE D"/>
    <hyperlink ref="E47" location="'630,3'!A1" display="CONCRETO CLASE F"/>
    <hyperlink ref="E48" location="'630,4'!A1" display="CONCRETO CLASE G"/>
    <hyperlink ref="E51" location="'640,1'!A1" display="ACERO DE REFUERZO fy 412 Mpa"/>
    <hyperlink ref="E52" location="'610,1'!A1" display="RELLENO PARA ESTRUCTURAS CON RECEBO"/>
    <hyperlink ref="E53" location="'661,1'!A1" display="TUBERÍA DE CONCRETO REFORZADO 900 MM DIÁMETRO INTERIOR (TIPO 1)"/>
    <hyperlink ref="E56" location="'660,1'!A1" display="CUNETA DE CONCRETO FUNDIDA EN EL LUGAR"/>
    <hyperlink ref="E57" location="'672,1'!A1" display="BORDILLOS DE CONCRETO"/>
    <hyperlink ref="E60" location="'673,1'!A1" display="GEOTEXTIL "/>
    <hyperlink ref="E61" location="'673,2'!A1" display="MATERIAL GRANULAR FILTRANTE"/>
    <hyperlink ref="E62" location="'674,2'!A1" display="DREN HORIZONTAL DE LONGITUD MAYOR A DIEZ METROS"/>
    <hyperlink ref="E66" location="'681,1'!A1" display="GAVIÓN"/>
    <hyperlink ref="E79" location="'P1'!A1" display="CONFORMACION DE DEPÓSITO DE MATERIAL SOBRANTE"/>
    <hyperlink ref="E84" location="'900,2'!A1" display="TRANSPORTE DE MATERIALES PROVENIENTES DE LA EXCAVACIÓN DE LA EXPLANACIÓN, CANALES Y PRÉSTAMOS PARA DISTANCIAS MAYORES DE MIL METROS (1000 M), MEDIDO A PARTIR DE CIEN METROS (100M)."/>
    <hyperlink ref="E73" location="'311,2'!A1" display="BACHEO"/>
    <hyperlink ref="E92" location="'681,1'!A1" display="GAVIÓN"/>
  </hyperlinks>
  <printOptions horizontalCentered="1"/>
  <pageMargins left="0.23622047244094491" right="0.23622047244094491" top="0.74803149606299213" bottom="0.74803149606299213" header="0.31496062992125984" footer="0.31496062992125984"/>
  <pageSetup paperSize="124" scale="46" orientation="landscape" horizontalDpi="200" verticalDpi="20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1079"/>
  <sheetViews>
    <sheetView view="pageBreakPreview" topLeftCell="E22" zoomScale="80" zoomScaleNormal="100" zoomScaleSheetLayoutView="80" workbookViewId="0">
      <selection activeCell="H1094" sqref="H1094"/>
    </sheetView>
  </sheetViews>
  <sheetFormatPr baseColWidth="10" defaultRowHeight="15" x14ac:dyDescent="0.25"/>
  <cols>
    <col min="1" max="1" width="4.42578125" customWidth="1"/>
    <col min="2" max="2" width="6.85546875" style="626" bestFit="1" customWidth="1"/>
    <col min="3" max="3" width="6.85546875" style="626" hidden="1" customWidth="1"/>
    <col min="4" max="4" width="56.28515625" style="1" customWidth="1"/>
    <col min="5" max="10" width="15.42578125" style="1" customWidth="1"/>
    <col min="11" max="12" width="59" style="15" customWidth="1"/>
    <col min="13" max="13" width="6.5703125" customWidth="1"/>
    <col min="15" max="15" width="16.28515625" bestFit="1" customWidth="1"/>
  </cols>
  <sheetData>
    <row r="1" spans="2:13" ht="18.75" customHeight="1" x14ac:dyDescent="0.25">
      <c r="B1" s="1175" t="s">
        <v>0</v>
      </c>
      <c r="C1" s="1175"/>
      <c r="D1" s="1175"/>
      <c r="E1" s="1175"/>
      <c r="F1" s="1175"/>
      <c r="G1" s="1175"/>
      <c r="H1" s="1175"/>
      <c r="I1" s="1175"/>
      <c r="J1" s="1175"/>
      <c r="K1" s="1175"/>
      <c r="L1" s="1175"/>
    </row>
    <row r="2" spans="2:13" ht="18.75" customHeight="1" x14ac:dyDescent="0.25">
      <c r="B2" s="1175" t="s">
        <v>1</v>
      </c>
      <c r="C2" s="1175"/>
      <c r="D2" s="1175"/>
      <c r="E2" s="1175"/>
      <c r="F2" s="1175"/>
      <c r="G2" s="1175"/>
      <c r="H2" s="1175"/>
      <c r="I2" s="1175"/>
      <c r="J2" s="1175"/>
      <c r="K2" s="1175"/>
      <c r="L2" s="1175"/>
    </row>
    <row r="3" spans="2:13" ht="18.75" customHeight="1" x14ac:dyDescent="0.25">
      <c r="B3" s="1175" t="str">
        <f>+'Presup '!B3:I3</f>
        <v>ALCALDÍA MUNICIPAL DE SAN LORENZO</v>
      </c>
      <c r="C3" s="1175"/>
      <c r="D3" s="1175"/>
      <c r="E3" s="1175"/>
      <c r="F3" s="1175"/>
      <c r="G3" s="1175"/>
      <c r="H3" s="1175"/>
      <c r="I3" s="1175"/>
      <c r="J3" s="1175"/>
      <c r="K3" s="1175"/>
      <c r="L3" s="1175"/>
    </row>
    <row r="4" spans="2:13" x14ac:dyDescent="0.25">
      <c r="B4" s="67"/>
      <c r="C4" s="67"/>
      <c r="D4" s="67"/>
      <c r="E4" s="67"/>
      <c r="F4" s="67"/>
      <c r="G4" s="67"/>
      <c r="H4" s="67"/>
      <c r="I4" s="67"/>
      <c r="J4" s="67"/>
      <c r="K4" s="794"/>
      <c r="L4" s="794"/>
    </row>
    <row r="5" spans="2:13" x14ac:dyDescent="0.25">
      <c r="B5" s="1175" t="str">
        <f>+'Presup '!B5:I6</f>
        <v>MEJORAMIENTO VÍA LA LAGUNA, SALINAS, LOS OLIVOS</v>
      </c>
      <c r="C5" s="1175"/>
      <c r="D5" s="1175"/>
      <c r="E5" s="1175"/>
      <c r="F5" s="1175"/>
      <c r="G5" s="1175"/>
      <c r="H5" s="1175"/>
      <c r="I5" s="1175"/>
      <c r="J5" s="1175"/>
      <c r="K5" s="1175"/>
      <c r="L5" s="1175"/>
    </row>
    <row r="6" spans="2:13" x14ac:dyDescent="0.25">
      <c r="B6" s="1175"/>
      <c r="C6" s="1175"/>
      <c r="D6" s="1175"/>
      <c r="E6" s="1175"/>
      <c r="F6" s="1175"/>
      <c r="G6" s="1175"/>
      <c r="H6" s="1175"/>
      <c r="I6" s="1175"/>
      <c r="J6" s="1175"/>
      <c r="K6" s="1175"/>
      <c r="L6" s="1175"/>
    </row>
    <row r="7" spans="2:13" ht="18" customHeight="1" x14ac:dyDescent="0.25">
      <c r="B7" s="1177"/>
      <c r="C7" s="1177"/>
      <c r="D7" s="1177"/>
      <c r="E7" s="1177"/>
      <c r="F7" s="1177"/>
      <c r="G7" s="1177"/>
      <c r="H7" s="1177"/>
      <c r="I7" s="1177"/>
      <c r="J7" s="1177"/>
      <c r="K7" s="1177"/>
      <c r="L7" s="1177"/>
    </row>
    <row r="8" spans="2:13" x14ac:dyDescent="0.25">
      <c r="B8" s="627"/>
      <c r="C8" s="627"/>
      <c r="D8" s="627"/>
      <c r="E8" s="627"/>
      <c r="F8" s="627"/>
      <c r="G8" s="627"/>
      <c r="H8" s="701"/>
      <c r="I8" s="701"/>
      <c r="J8" s="627"/>
      <c r="L8" s="1102" t="str">
        <f>+'Presup '!F123</f>
        <v>ING. JHONATAN STIVEN PANTOJA MORILLO</v>
      </c>
    </row>
    <row r="9" spans="2:13" ht="18.75" customHeight="1" x14ac:dyDescent="0.25">
      <c r="B9" s="1176" t="s">
        <v>1211</v>
      </c>
      <c r="C9" s="1176"/>
      <c r="D9" s="1176"/>
      <c r="E9" s="1176"/>
      <c r="F9" s="1176"/>
      <c r="G9" s="1176"/>
      <c r="H9" s="1176"/>
      <c r="I9" s="1176"/>
      <c r="J9" s="1176"/>
      <c r="K9" s="1176"/>
      <c r="L9" s="1101" t="str">
        <f>+'Presup '!F124</f>
        <v xml:space="preserve">M.P. 111037-0520109 NRÑ </v>
      </c>
    </row>
    <row r="10" spans="2:13" ht="6.75" customHeight="1" x14ac:dyDescent="0.25">
      <c r="B10" s="628"/>
      <c r="C10" s="628"/>
      <c r="D10" s="628"/>
      <c r="E10" s="628"/>
      <c r="F10" s="628"/>
      <c r="G10" s="628"/>
      <c r="H10" s="702"/>
      <c r="I10" s="702"/>
      <c r="J10" s="628"/>
      <c r="L10" s="1101"/>
    </row>
    <row r="11" spans="2:13" ht="18.75" customHeight="1" x14ac:dyDescent="0.25">
      <c r="B11" s="628"/>
      <c r="C11" s="628"/>
      <c r="D11" s="31" t="s">
        <v>93</v>
      </c>
      <c r="E11" s="628"/>
      <c r="F11" s="628"/>
      <c r="G11" s="628"/>
      <c r="H11" s="702"/>
      <c r="I11" s="702"/>
      <c r="J11" s="628"/>
    </row>
    <row r="12" spans="2:13" ht="15.75" x14ac:dyDescent="0.25">
      <c r="B12" s="628"/>
      <c r="C12" s="628"/>
      <c r="D12" s="628"/>
      <c r="E12" s="628"/>
      <c r="F12" s="628"/>
      <c r="H12" s="24"/>
      <c r="I12" s="24"/>
    </row>
    <row r="13" spans="2:13" ht="15.75" x14ac:dyDescent="0.25">
      <c r="D13" s="626"/>
      <c r="E13" s="1209" t="s">
        <v>78</v>
      </c>
      <c r="F13" s="1210"/>
      <c r="G13" s="1210"/>
      <c r="H13" s="1211"/>
      <c r="I13" s="782" t="s">
        <v>79</v>
      </c>
      <c r="J13" s="54" t="str">
        <f>+P.Detall!F13</f>
        <v xml:space="preserve"> HA</v>
      </c>
      <c r="K13" s="1205" t="s">
        <v>971</v>
      </c>
      <c r="L13" s="1206"/>
    </row>
    <row r="14" spans="2:13" x14ac:dyDescent="0.25">
      <c r="B14" s="629" t="s">
        <v>2</v>
      </c>
      <c r="C14" s="629" t="s">
        <v>2</v>
      </c>
      <c r="D14" s="629" t="s">
        <v>4</v>
      </c>
      <c r="E14" s="629" t="s">
        <v>75</v>
      </c>
      <c r="F14" s="629" t="s">
        <v>76</v>
      </c>
      <c r="G14" s="629" t="s">
        <v>77</v>
      </c>
      <c r="H14" s="705"/>
      <c r="I14" s="705"/>
      <c r="J14" s="644" t="s">
        <v>88</v>
      </c>
      <c r="K14" s="1207"/>
      <c r="L14" s="1208"/>
    </row>
    <row r="15" spans="2:13" x14ac:dyDescent="0.25">
      <c r="B15" s="20" t="s">
        <v>83</v>
      </c>
      <c r="C15" s="20" t="s">
        <v>9</v>
      </c>
      <c r="D15" s="21" t="str">
        <f>+P.Detall!E13</f>
        <v xml:space="preserve">DESMONTE Y LIMPIEZA EN ZONAS NO BOSCOSAS           </v>
      </c>
      <c r="E15" s="33">
        <v>20200</v>
      </c>
      <c r="F15" s="34"/>
      <c r="G15" s="34"/>
      <c r="H15" s="34"/>
      <c r="I15" s="34"/>
      <c r="J15" s="651">
        <f>(F21*E15/10000)</f>
        <v>10.1</v>
      </c>
      <c r="K15" s="1195"/>
      <c r="L15" s="1195"/>
      <c r="M15">
        <f>6015-650-765</f>
        <v>4600</v>
      </c>
    </row>
    <row r="16" spans="2:13" x14ac:dyDescent="0.25">
      <c r="B16" s="20"/>
      <c r="C16" s="20"/>
      <c r="D16" s="25" t="s">
        <v>881</v>
      </c>
      <c r="E16" s="33"/>
      <c r="F16" s="543">
        <v>5</v>
      </c>
      <c r="G16" s="34"/>
      <c r="H16" s="653"/>
      <c r="I16" s="653"/>
      <c r="J16" s="651"/>
      <c r="K16" s="1195"/>
      <c r="L16" s="1195"/>
    </row>
    <row r="17" spans="2:12" x14ac:dyDescent="0.25">
      <c r="B17" s="20"/>
      <c r="C17" s="20"/>
      <c r="D17" s="32" t="s">
        <v>882</v>
      </c>
      <c r="E17" s="33"/>
      <c r="F17" s="543">
        <v>0</v>
      </c>
      <c r="G17" s="34"/>
      <c r="H17" s="653"/>
      <c r="I17" s="653"/>
      <c r="J17" s="651"/>
      <c r="K17" s="1195"/>
      <c r="L17" s="1195"/>
    </row>
    <row r="18" spans="2:12" x14ac:dyDescent="0.25">
      <c r="B18" s="20"/>
      <c r="C18" s="20"/>
      <c r="D18" s="32" t="s">
        <v>883</v>
      </c>
      <c r="E18" s="33"/>
      <c r="F18" s="543">
        <f>+F17</f>
        <v>0</v>
      </c>
      <c r="G18" s="34"/>
      <c r="H18" s="653"/>
      <c r="I18" s="653"/>
      <c r="J18" s="651"/>
      <c r="K18" s="1195"/>
      <c r="L18" s="1195"/>
    </row>
    <row r="19" spans="2:12" x14ac:dyDescent="0.25">
      <c r="B19" s="20"/>
      <c r="C19" s="20"/>
      <c r="D19" s="32" t="s">
        <v>884</v>
      </c>
      <c r="E19" s="33"/>
      <c r="F19" s="543">
        <v>0</v>
      </c>
      <c r="G19" s="34"/>
      <c r="H19" s="653"/>
      <c r="I19" s="653"/>
      <c r="J19" s="651"/>
      <c r="K19" s="1195"/>
      <c r="L19" s="1195"/>
    </row>
    <row r="20" spans="2:12" x14ac:dyDescent="0.25">
      <c r="B20" s="20"/>
      <c r="C20" s="20"/>
      <c r="D20" s="25" t="s">
        <v>885</v>
      </c>
      <c r="E20" s="33"/>
      <c r="F20" s="543">
        <f>+F19</f>
        <v>0</v>
      </c>
      <c r="G20" s="34"/>
      <c r="H20" s="653"/>
      <c r="I20" s="653"/>
      <c r="J20" s="651"/>
      <c r="K20" s="1195"/>
      <c r="L20" s="1195"/>
    </row>
    <row r="21" spans="2:12" x14ac:dyDescent="0.25">
      <c r="B21" s="20"/>
      <c r="C21" s="20"/>
      <c r="D21" s="25"/>
      <c r="E21" s="33"/>
      <c r="F21" s="699">
        <f>SUM(F16:F20)</f>
        <v>5</v>
      </c>
      <c r="G21" s="34"/>
      <c r="H21" s="653"/>
      <c r="I21" s="653"/>
      <c r="J21" s="651"/>
      <c r="K21" s="1195"/>
      <c r="L21" s="1195"/>
    </row>
    <row r="22" spans="2:12" x14ac:dyDescent="0.25">
      <c r="B22" s="20"/>
      <c r="C22" s="20"/>
      <c r="D22" s="25"/>
      <c r="E22" s="33"/>
      <c r="F22" s="699"/>
      <c r="G22" s="34"/>
      <c r="H22" s="653"/>
      <c r="I22" s="653"/>
      <c r="J22" s="651"/>
      <c r="K22" s="1195"/>
      <c r="L22" s="1195"/>
    </row>
    <row r="23" spans="2:12" x14ac:dyDescent="0.25">
      <c r="B23" s="20"/>
      <c r="C23" s="20"/>
      <c r="D23" s="25"/>
      <c r="E23" s="33"/>
      <c r="F23" s="699"/>
      <c r="G23" s="34"/>
      <c r="H23" s="653"/>
      <c r="I23" s="653"/>
      <c r="J23" s="651"/>
      <c r="K23" s="1195"/>
      <c r="L23" s="1195"/>
    </row>
    <row r="24" spans="2:12" x14ac:dyDescent="0.25">
      <c r="B24" s="20"/>
      <c r="C24" s="20"/>
      <c r="D24" s="25"/>
      <c r="E24" s="33"/>
      <c r="F24" s="699"/>
      <c r="G24" s="34"/>
      <c r="H24" s="653"/>
      <c r="I24" s="653"/>
      <c r="J24" s="651"/>
      <c r="K24" s="1195"/>
      <c r="L24" s="1195"/>
    </row>
    <row r="25" spans="2:12" x14ac:dyDescent="0.25">
      <c r="B25" s="20"/>
      <c r="C25" s="20"/>
      <c r="D25" s="25"/>
      <c r="E25" s="33"/>
      <c r="F25" s="699"/>
      <c r="G25" s="34"/>
      <c r="H25" s="653"/>
      <c r="I25" s="653"/>
      <c r="J25" s="651"/>
      <c r="K25" s="1195"/>
      <c r="L25" s="1195"/>
    </row>
    <row r="26" spans="2:12" x14ac:dyDescent="0.25">
      <c r="B26" s="20"/>
      <c r="C26" s="20"/>
      <c r="D26" s="25"/>
      <c r="E26" s="33"/>
      <c r="F26" s="699"/>
      <c r="G26" s="34"/>
      <c r="H26" s="653"/>
      <c r="I26" s="653"/>
      <c r="J26" s="651"/>
      <c r="K26" s="1195"/>
      <c r="L26" s="1195"/>
    </row>
    <row r="27" spans="2:12" x14ac:dyDescent="0.25">
      <c r="B27" s="20"/>
      <c r="C27" s="20"/>
      <c r="D27" s="25"/>
      <c r="E27" s="33"/>
      <c r="F27" s="699"/>
      <c r="G27" s="34"/>
      <c r="H27" s="653"/>
      <c r="I27" s="653"/>
      <c r="J27" s="651"/>
      <c r="K27" s="1195"/>
      <c r="L27" s="1195"/>
    </row>
    <row r="28" spans="2:12" x14ac:dyDescent="0.25">
      <c r="B28" s="20"/>
      <c r="C28" s="20"/>
      <c r="D28" s="25"/>
      <c r="E28" s="33"/>
      <c r="F28" s="699"/>
      <c r="G28" s="34"/>
      <c r="H28" s="653"/>
      <c r="I28" s="653"/>
      <c r="J28" s="651"/>
      <c r="K28" s="1195"/>
      <c r="L28" s="1195"/>
    </row>
    <row r="29" spans="2:12" x14ac:dyDescent="0.25">
      <c r="B29" s="1196" t="s">
        <v>972</v>
      </c>
      <c r="C29" s="1197"/>
      <c r="D29" s="1197"/>
      <c r="E29" s="1197"/>
      <c r="F29" s="1198"/>
      <c r="G29" s="34"/>
      <c r="H29" s="653"/>
      <c r="I29" s="653"/>
      <c r="J29" s="651"/>
      <c r="K29" s="1195"/>
      <c r="L29" s="1195"/>
    </row>
    <row r="30" spans="2:12" x14ac:dyDescent="0.25">
      <c r="B30" s="1199"/>
      <c r="C30" s="1200"/>
      <c r="D30" s="1200"/>
      <c r="E30" s="1200"/>
      <c r="F30" s="1201"/>
      <c r="G30" s="34"/>
      <c r="H30" s="653"/>
      <c r="I30" s="653"/>
      <c r="J30" s="651"/>
      <c r="K30" s="1195"/>
      <c r="L30" s="1195"/>
    </row>
    <row r="31" spans="2:12" s="15" customFormat="1" x14ac:dyDescent="0.25">
      <c r="B31" s="1202"/>
      <c r="C31" s="1203"/>
      <c r="D31" s="1203"/>
      <c r="E31" s="1203"/>
      <c r="F31" s="1204"/>
      <c r="G31" s="783" t="s">
        <v>80</v>
      </c>
      <c r="H31" s="783"/>
      <c r="I31" s="783"/>
      <c r="J31" s="784">
        <f>ROUND(SUM(J15:J21),2)</f>
        <v>10.1</v>
      </c>
      <c r="K31" s="1195"/>
      <c r="L31" s="1195"/>
    </row>
    <row r="32" spans="2:12" s="15" customFormat="1" x14ac:dyDescent="0.25">
      <c r="B32" s="16"/>
      <c r="C32" s="16"/>
      <c r="D32" s="19"/>
      <c r="E32" s="26"/>
      <c r="F32" s="18"/>
      <c r="G32" s="55"/>
      <c r="H32" s="55"/>
      <c r="I32" s="55"/>
      <c r="J32" s="56"/>
    </row>
    <row r="33" spans="2:12" ht="15.75" x14ac:dyDescent="0.25">
      <c r="B33" s="628"/>
      <c r="C33" s="628"/>
      <c r="D33" s="628"/>
      <c r="E33" s="628"/>
      <c r="F33" s="628"/>
      <c r="H33" s="24"/>
      <c r="I33" s="24"/>
    </row>
    <row r="34" spans="2:12" ht="15.75" x14ac:dyDescent="0.25">
      <c r="D34" s="626"/>
      <c r="E34" s="1209" t="s">
        <v>78</v>
      </c>
      <c r="F34" s="1210"/>
      <c r="G34" s="1210"/>
      <c r="H34" s="1211"/>
      <c r="I34" s="782" t="s">
        <v>79</v>
      </c>
      <c r="J34" s="54" t="str">
        <f>+P.Detall!F14</f>
        <v>ML</v>
      </c>
      <c r="K34" s="1205" t="s">
        <v>971</v>
      </c>
      <c r="L34" s="1206"/>
    </row>
    <row r="35" spans="2:12" x14ac:dyDescent="0.25">
      <c r="B35" s="629" t="s">
        <v>2</v>
      </c>
      <c r="C35" s="629" t="s">
        <v>2</v>
      </c>
      <c r="D35" s="629" t="s">
        <v>4</v>
      </c>
      <c r="E35" s="629" t="s">
        <v>75</v>
      </c>
      <c r="F35" s="629" t="s">
        <v>76</v>
      </c>
      <c r="G35" s="629" t="s">
        <v>77</v>
      </c>
      <c r="H35" s="705"/>
      <c r="I35" s="705"/>
      <c r="J35" s="652" t="s">
        <v>88</v>
      </c>
      <c r="K35" s="1207"/>
      <c r="L35" s="1208"/>
    </row>
    <row r="36" spans="2:12" x14ac:dyDescent="0.25">
      <c r="B36" s="30" t="s">
        <v>82</v>
      </c>
      <c r="C36" s="20" t="s">
        <v>9</v>
      </c>
      <c r="D36" s="742" t="str">
        <f>+P.Detall!E14</f>
        <v xml:space="preserve">LOCALIZACIÓN Y REPLANTEO (CARRETERA)     </v>
      </c>
      <c r="E36" s="33">
        <f>200</f>
        <v>200</v>
      </c>
      <c r="F36" s="34"/>
      <c r="G36" s="34"/>
      <c r="H36" s="653"/>
      <c r="I36" s="653"/>
      <c r="J36" s="653">
        <f>+E36</f>
        <v>200</v>
      </c>
      <c r="K36" s="1195"/>
      <c r="L36" s="1195"/>
    </row>
    <row r="37" spans="2:12" x14ac:dyDescent="0.25">
      <c r="B37" s="30"/>
      <c r="C37" s="20"/>
      <c r="D37" s="742"/>
      <c r="E37" s="33"/>
      <c r="F37" s="34"/>
      <c r="G37" s="34"/>
      <c r="H37" s="653"/>
      <c r="I37" s="653"/>
      <c r="J37" s="653"/>
      <c r="K37" s="1195"/>
      <c r="L37" s="1195"/>
    </row>
    <row r="38" spans="2:12" x14ac:dyDescent="0.25">
      <c r="B38" s="30"/>
      <c r="C38" s="20"/>
      <c r="D38" s="742"/>
      <c r="E38" s="33"/>
      <c r="F38" s="34"/>
      <c r="G38" s="34"/>
      <c r="H38" s="653"/>
      <c r="I38" s="653"/>
      <c r="J38" s="653"/>
      <c r="K38" s="1195"/>
      <c r="L38" s="1195"/>
    </row>
    <row r="39" spans="2:12" x14ac:dyDescent="0.25">
      <c r="B39" s="30"/>
      <c r="C39" s="20"/>
      <c r="D39" s="742"/>
      <c r="E39" s="33"/>
      <c r="F39" s="34"/>
      <c r="G39" s="34"/>
      <c r="H39" s="653"/>
      <c r="I39" s="653"/>
      <c r="J39" s="653"/>
      <c r="K39" s="1195"/>
      <c r="L39" s="1195"/>
    </row>
    <row r="40" spans="2:12" x14ac:dyDescent="0.25">
      <c r="B40" s="30"/>
      <c r="C40" s="20"/>
      <c r="D40" s="742"/>
      <c r="E40" s="33"/>
      <c r="F40" s="34"/>
      <c r="G40" s="34"/>
      <c r="H40" s="653"/>
      <c r="I40" s="653"/>
      <c r="J40" s="653"/>
      <c r="K40" s="1195"/>
      <c r="L40" s="1195"/>
    </row>
    <row r="41" spans="2:12" x14ac:dyDescent="0.25">
      <c r="B41" s="30"/>
      <c r="C41" s="20"/>
      <c r="D41" s="742"/>
      <c r="E41" s="33"/>
      <c r="F41" s="34"/>
      <c r="G41" s="34"/>
      <c r="H41" s="653"/>
      <c r="I41" s="653"/>
      <c r="J41" s="653"/>
      <c r="K41" s="1195"/>
      <c r="L41" s="1195"/>
    </row>
    <row r="42" spans="2:12" x14ac:dyDescent="0.25">
      <c r="B42" s="30"/>
      <c r="C42" s="20"/>
      <c r="D42" s="742"/>
      <c r="E42" s="33"/>
      <c r="F42" s="34"/>
      <c r="G42" s="34"/>
      <c r="H42" s="653"/>
      <c r="I42" s="653"/>
      <c r="J42" s="653"/>
      <c r="K42" s="1195"/>
      <c r="L42" s="1195"/>
    </row>
    <row r="43" spans="2:12" x14ac:dyDescent="0.25">
      <c r="B43" s="30"/>
      <c r="C43" s="20"/>
      <c r="D43" s="742"/>
      <c r="E43" s="33"/>
      <c r="F43" s="34"/>
      <c r="G43" s="34"/>
      <c r="H43" s="653"/>
      <c r="I43" s="653"/>
      <c r="J43" s="653"/>
      <c r="K43" s="1195"/>
      <c r="L43" s="1195"/>
    </row>
    <row r="44" spans="2:12" x14ac:dyDescent="0.25">
      <c r="B44" s="30"/>
      <c r="C44" s="20"/>
      <c r="D44" s="742"/>
      <c r="E44" s="33"/>
      <c r="F44" s="34"/>
      <c r="G44" s="34"/>
      <c r="H44" s="653"/>
      <c r="I44" s="653"/>
      <c r="J44" s="653"/>
      <c r="K44" s="1195"/>
      <c r="L44" s="1195"/>
    </row>
    <row r="45" spans="2:12" x14ac:dyDescent="0.25">
      <c r="B45" s="30"/>
      <c r="C45" s="20"/>
      <c r="D45" s="742"/>
      <c r="E45" s="33"/>
      <c r="F45" s="34"/>
      <c r="G45" s="34"/>
      <c r="H45" s="653"/>
      <c r="I45" s="653"/>
      <c r="J45" s="653"/>
      <c r="K45" s="1195"/>
      <c r="L45" s="1195"/>
    </row>
    <row r="46" spans="2:12" x14ac:dyDescent="0.25">
      <c r="B46" s="30"/>
      <c r="C46" s="20"/>
      <c r="D46" s="742"/>
      <c r="E46" s="33"/>
      <c r="F46" s="34"/>
      <c r="G46" s="34"/>
      <c r="H46" s="653"/>
      <c r="I46" s="653"/>
      <c r="J46" s="653"/>
      <c r="K46" s="1195"/>
      <c r="L46" s="1195"/>
    </row>
    <row r="47" spans="2:12" x14ac:dyDescent="0.25">
      <c r="B47" s="30"/>
      <c r="C47" s="20"/>
      <c r="D47" s="742"/>
      <c r="E47" s="33"/>
      <c r="F47" s="34"/>
      <c r="G47" s="34"/>
      <c r="H47" s="653"/>
      <c r="I47" s="653"/>
      <c r="J47" s="653"/>
      <c r="K47" s="1195"/>
      <c r="L47" s="1195"/>
    </row>
    <row r="48" spans="2:12" x14ac:dyDescent="0.25">
      <c r="B48" s="30"/>
      <c r="C48" s="20"/>
      <c r="D48" s="742"/>
      <c r="E48" s="33"/>
      <c r="F48" s="34"/>
      <c r="G48" s="34"/>
      <c r="H48" s="653"/>
      <c r="I48" s="653"/>
      <c r="J48" s="653"/>
      <c r="K48" s="1195"/>
      <c r="L48" s="1195"/>
    </row>
    <row r="49" spans="2:12" x14ac:dyDescent="0.25">
      <c r="B49" s="30"/>
      <c r="C49" s="20"/>
      <c r="D49" s="742"/>
      <c r="E49" s="33"/>
      <c r="F49" s="34"/>
      <c r="G49" s="34"/>
      <c r="H49" s="653"/>
      <c r="I49" s="653"/>
      <c r="J49" s="653"/>
      <c r="K49" s="1195"/>
      <c r="L49" s="1195"/>
    </row>
    <row r="50" spans="2:12" x14ac:dyDescent="0.25">
      <c r="B50" s="30"/>
      <c r="C50" s="20"/>
      <c r="D50" s="742"/>
      <c r="E50" s="33"/>
      <c r="F50" s="34"/>
      <c r="G50" s="34"/>
      <c r="H50" s="653"/>
      <c r="I50" s="653"/>
      <c r="J50" s="653"/>
      <c r="K50" s="1195"/>
      <c r="L50" s="1195"/>
    </row>
    <row r="51" spans="2:12" x14ac:dyDescent="0.25">
      <c r="B51" s="30"/>
      <c r="C51" s="20"/>
      <c r="D51" s="742"/>
      <c r="E51" s="33"/>
      <c r="F51" s="34"/>
      <c r="G51" s="34"/>
      <c r="H51" s="653"/>
      <c r="I51" s="653"/>
      <c r="J51" s="653"/>
      <c r="K51" s="1195"/>
      <c r="L51" s="1195"/>
    </row>
    <row r="52" spans="2:12" x14ac:dyDescent="0.25">
      <c r="B52" s="30"/>
      <c r="C52" s="20"/>
      <c r="D52" s="742"/>
      <c r="E52" s="33"/>
      <c r="F52" s="34"/>
      <c r="G52" s="34"/>
      <c r="H52" s="653"/>
      <c r="I52" s="653"/>
      <c r="J52" s="653"/>
      <c r="K52" s="1195"/>
      <c r="L52" s="1195"/>
    </row>
    <row r="53" spans="2:12" x14ac:dyDescent="0.25">
      <c r="B53" s="30"/>
      <c r="C53" s="20"/>
      <c r="D53" s="742"/>
      <c r="E53" s="33"/>
      <c r="F53" s="34"/>
      <c r="G53" s="34"/>
      <c r="H53" s="653"/>
      <c r="I53" s="653"/>
      <c r="J53" s="653"/>
      <c r="K53" s="1195"/>
      <c r="L53" s="1195"/>
    </row>
    <row r="54" spans="2:12" x14ac:dyDescent="0.25">
      <c r="B54" s="30"/>
      <c r="C54" s="20"/>
      <c r="D54" s="742"/>
      <c r="E54" s="33"/>
      <c r="F54" s="34"/>
      <c r="G54" s="34"/>
      <c r="H54" s="653"/>
      <c r="I54" s="653"/>
      <c r="J54" s="653"/>
      <c r="K54" s="1195"/>
      <c r="L54" s="1195"/>
    </row>
    <row r="55" spans="2:12" x14ac:dyDescent="0.25">
      <c r="B55" s="30"/>
      <c r="C55" s="20"/>
      <c r="D55" s="742"/>
      <c r="E55" s="33"/>
      <c r="F55" s="34"/>
      <c r="G55" s="34"/>
      <c r="H55" s="653"/>
      <c r="I55" s="653"/>
      <c r="J55" s="653"/>
      <c r="K55" s="1195"/>
      <c r="L55" s="1195"/>
    </row>
    <row r="56" spans="2:12" x14ac:dyDescent="0.25">
      <c r="B56" s="30"/>
      <c r="C56" s="20"/>
      <c r="D56" s="742"/>
      <c r="E56" s="33"/>
      <c r="F56" s="34"/>
      <c r="G56" s="34"/>
      <c r="H56" s="653"/>
      <c r="I56" s="653"/>
      <c r="J56" s="653"/>
      <c r="K56" s="1195"/>
      <c r="L56" s="1195"/>
    </row>
    <row r="57" spans="2:12" x14ac:dyDescent="0.25">
      <c r="B57" s="30"/>
      <c r="C57" s="20"/>
      <c r="D57" s="742"/>
      <c r="E57" s="33"/>
      <c r="F57" s="34"/>
      <c r="G57" s="34"/>
      <c r="H57" s="653"/>
      <c r="I57" s="653"/>
      <c r="J57" s="653"/>
      <c r="K57" s="1195"/>
      <c r="L57" s="1195"/>
    </row>
    <row r="58" spans="2:12" x14ac:dyDescent="0.25">
      <c r="B58" s="30"/>
      <c r="C58" s="20"/>
      <c r="D58" s="742"/>
      <c r="E58" s="33"/>
      <c r="F58" s="34"/>
      <c r="G58" s="34"/>
      <c r="H58" s="653"/>
      <c r="I58" s="653"/>
      <c r="J58" s="653"/>
      <c r="K58" s="1195"/>
      <c r="L58" s="1195"/>
    </row>
    <row r="59" spans="2:12" x14ac:dyDescent="0.25">
      <c r="B59" s="30"/>
      <c r="C59" s="20"/>
      <c r="D59" s="742"/>
      <c r="E59" s="33"/>
      <c r="F59" s="34"/>
      <c r="G59" s="34"/>
      <c r="H59" s="653"/>
      <c r="I59" s="653"/>
      <c r="J59" s="653"/>
      <c r="K59" s="1195"/>
      <c r="L59" s="1195"/>
    </row>
    <row r="60" spans="2:12" x14ac:dyDescent="0.25">
      <c r="B60" s="30"/>
      <c r="C60" s="20"/>
      <c r="D60" s="742"/>
      <c r="E60" s="33"/>
      <c r="F60" s="34"/>
      <c r="G60" s="34"/>
      <c r="H60" s="653"/>
      <c r="I60" s="653"/>
      <c r="J60" s="653"/>
      <c r="K60" s="1195"/>
      <c r="L60" s="1195"/>
    </row>
    <row r="61" spans="2:12" x14ac:dyDescent="0.25">
      <c r="B61" s="30"/>
      <c r="C61" s="20"/>
      <c r="D61" s="742"/>
      <c r="E61" s="33"/>
      <c r="F61" s="34"/>
      <c r="G61" s="34"/>
      <c r="H61" s="653"/>
      <c r="I61" s="653"/>
      <c r="J61" s="653"/>
      <c r="K61" s="1195"/>
      <c r="L61" s="1195"/>
    </row>
    <row r="62" spans="2:12" ht="15" customHeight="1" x14ac:dyDescent="0.25">
      <c r="B62" s="20"/>
      <c r="C62" s="20"/>
      <c r="D62" s="23"/>
      <c r="E62" s="33"/>
      <c r="F62" s="34"/>
      <c r="G62" s="34"/>
      <c r="H62" s="653"/>
      <c r="I62" s="653"/>
      <c r="J62" s="653"/>
      <c r="K62" s="1195"/>
      <c r="L62" s="1195"/>
    </row>
    <row r="63" spans="2:12" x14ac:dyDescent="0.25">
      <c r="B63" s="1196" t="s">
        <v>974</v>
      </c>
      <c r="C63" s="1197"/>
      <c r="D63" s="1197"/>
      <c r="E63" s="1197"/>
      <c r="F63" s="1198"/>
      <c r="G63" s="34"/>
      <c r="H63" s="653"/>
      <c r="I63" s="653"/>
      <c r="J63" s="653"/>
      <c r="K63" s="1195"/>
      <c r="L63" s="1195"/>
    </row>
    <row r="64" spans="2:12" x14ac:dyDescent="0.25">
      <c r="B64" s="1199"/>
      <c r="C64" s="1200"/>
      <c r="D64" s="1200"/>
      <c r="E64" s="1200"/>
      <c r="F64" s="1201"/>
      <c r="G64" s="34"/>
      <c r="H64" s="653"/>
      <c r="I64" s="653"/>
      <c r="J64" s="653"/>
      <c r="K64" s="1195"/>
      <c r="L64" s="1195"/>
    </row>
    <row r="65" spans="2:12" s="15" customFormat="1" x14ac:dyDescent="0.25">
      <c r="B65" s="1202"/>
      <c r="C65" s="1203"/>
      <c r="D65" s="1203"/>
      <c r="E65" s="1203"/>
      <c r="F65" s="1204"/>
      <c r="G65" s="783" t="s">
        <v>80</v>
      </c>
      <c r="H65" s="783"/>
      <c r="I65" s="783"/>
      <c r="J65" s="784">
        <f>ROUND(SUM(J36:J63),0)</f>
        <v>200</v>
      </c>
      <c r="K65" s="1195"/>
      <c r="L65" s="1195"/>
    </row>
    <row r="66" spans="2:12" s="15" customFormat="1" x14ac:dyDescent="0.25">
      <c r="B66" s="16"/>
      <c r="C66" s="16"/>
      <c r="D66" s="19"/>
      <c r="E66" s="26"/>
      <c r="F66" s="18"/>
      <c r="G66" s="18"/>
      <c r="H66" s="18"/>
      <c r="I66" s="18"/>
      <c r="J66" s="18"/>
    </row>
    <row r="67" spans="2:12" ht="15.75" x14ac:dyDescent="0.25">
      <c r="B67" s="788"/>
      <c r="C67" s="788"/>
      <c r="D67" s="788"/>
      <c r="E67" s="789"/>
      <c r="F67" s="789"/>
      <c r="G67" s="789"/>
      <c r="H67" s="789"/>
      <c r="I67" s="789"/>
      <c r="J67" s="789"/>
    </row>
    <row r="68" spans="2:12" ht="15.75" x14ac:dyDescent="0.25">
      <c r="D68" s="626"/>
      <c r="E68" s="1209" t="s">
        <v>78</v>
      </c>
      <c r="F68" s="1210"/>
      <c r="G68" s="1210"/>
      <c r="H68" s="1211"/>
      <c r="I68" s="782" t="s">
        <v>79</v>
      </c>
      <c r="J68" s="54" t="str">
        <f>+P.Detall!F15</f>
        <v>M3</v>
      </c>
      <c r="K68" s="1205" t="s">
        <v>971</v>
      </c>
      <c r="L68" s="1206"/>
    </row>
    <row r="69" spans="2:12" x14ac:dyDescent="0.25">
      <c r="B69" s="629" t="s">
        <v>2</v>
      </c>
      <c r="C69" s="629" t="s">
        <v>2</v>
      </c>
      <c r="D69" s="629" t="s">
        <v>4</v>
      </c>
      <c r="E69" s="629" t="s">
        <v>84</v>
      </c>
      <c r="F69" s="629" t="s">
        <v>875</v>
      </c>
      <c r="G69" s="629" t="s">
        <v>874</v>
      </c>
      <c r="H69" s="705"/>
      <c r="I69" s="705"/>
      <c r="J69" s="652" t="s">
        <v>88</v>
      </c>
      <c r="K69" s="1207"/>
      <c r="L69" s="1208"/>
    </row>
    <row r="70" spans="2:12" x14ac:dyDescent="0.25">
      <c r="B70" s="30" t="s">
        <v>81</v>
      </c>
      <c r="C70" s="20" t="s">
        <v>9</v>
      </c>
      <c r="D70" s="742" t="str">
        <f>+P.Detall!E15</f>
        <v>DEMOLICIÓN DE ESTRUCTURAS</v>
      </c>
      <c r="E70" s="542"/>
      <c r="F70" s="543" t="s">
        <v>876</v>
      </c>
      <c r="G70" s="543">
        <f>2*2.25*0.2</f>
        <v>0.9</v>
      </c>
      <c r="H70" s="651"/>
      <c r="I70" s="651"/>
      <c r="J70" s="651">
        <f>+E109*G75</f>
        <v>38</v>
      </c>
      <c r="K70" s="1195"/>
      <c r="L70" s="1195"/>
    </row>
    <row r="71" spans="2:12" ht="25.5" x14ac:dyDescent="0.25">
      <c r="B71" s="20"/>
      <c r="C71" s="20"/>
      <c r="D71" s="32" t="s">
        <v>887</v>
      </c>
      <c r="E71" s="33"/>
      <c r="F71" s="34" t="s">
        <v>877</v>
      </c>
      <c r="G71" s="543">
        <f>+G70</f>
        <v>0.9</v>
      </c>
      <c r="H71" s="651"/>
      <c r="I71" s="651"/>
      <c r="J71" s="653"/>
      <c r="K71" s="1195"/>
      <c r="L71" s="1195"/>
    </row>
    <row r="72" spans="2:12" x14ac:dyDescent="0.25">
      <c r="B72" s="20"/>
      <c r="C72" s="20"/>
      <c r="D72" s="23"/>
      <c r="E72" s="33"/>
      <c r="F72" s="34" t="s">
        <v>878</v>
      </c>
      <c r="G72" s="543">
        <f>1*2*0.3</f>
        <v>0.6</v>
      </c>
      <c r="H72" s="651"/>
      <c r="I72" s="651"/>
      <c r="J72" s="653"/>
      <c r="K72" s="1195"/>
      <c r="L72" s="1195"/>
    </row>
    <row r="73" spans="2:12" x14ac:dyDescent="0.25">
      <c r="B73" s="20"/>
      <c r="C73" s="20"/>
      <c r="D73" s="23"/>
      <c r="E73" s="33"/>
      <c r="F73" s="34" t="s">
        <v>879</v>
      </c>
      <c r="G73" s="543">
        <f>+G72</f>
        <v>0.6</v>
      </c>
      <c r="H73" s="651"/>
      <c r="I73" s="651"/>
      <c r="J73" s="653"/>
      <c r="K73" s="1195"/>
      <c r="L73" s="1195"/>
    </row>
    <row r="74" spans="2:12" x14ac:dyDescent="0.25">
      <c r="B74" s="20"/>
      <c r="C74" s="20"/>
      <c r="D74" s="23"/>
      <c r="E74" s="33"/>
      <c r="F74" s="34" t="s">
        <v>888</v>
      </c>
      <c r="G74" s="543">
        <f>1*2*0.2*2</f>
        <v>0.8</v>
      </c>
      <c r="H74" s="651"/>
      <c r="I74" s="651"/>
      <c r="J74" s="653"/>
      <c r="K74" s="1195"/>
      <c r="L74" s="1195"/>
    </row>
    <row r="75" spans="2:12" x14ac:dyDescent="0.25">
      <c r="B75" s="20"/>
      <c r="C75" s="20"/>
      <c r="D75" s="21"/>
      <c r="E75" s="33"/>
      <c r="F75" s="34"/>
      <c r="G75" s="699">
        <f>SUM(G70:G74)</f>
        <v>3.8</v>
      </c>
      <c r="H75" s="707"/>
      <c r="I75" s="707"/>
      <c r="J75" s="653"/>
      <c r="K75" s="1195"/>
      <c r="L75" s="1195"/>
    </row>
    <row r="76" spans="2:12" x14ac:dyDescent="0.25">
      <c r="B76" s="20"/>
      <c r="C76" s="20"/>
      <c r="D76" s="1062">
        <v>1</v>
      </c>
      <c r="E76" s="781">
        <v>1</v>
      </c>
      <c r="F76" s="34"/>
      <c r="G76" s="699"/>
      <c r="H76" s="707"/>
      <c r="I76" s="707"/>
      <c r="J76" s="653"/>
      <c r="K76" s="1195"/>
      <c r="L76" s="1195"/>
    </row>
    <row r="77" spans="2:12" x14ac:dyDescent="0.25">
      <c r="B77" s="20"/>
      <c r="C77" s="20"/>
      <c r="D77" s="1062">
        <v>2</v>
      </c>
      <c r="E77" s="781">
        <f>+E76</f>
        <v>1</v>
      </c>
      <c r="F77" s="34"/>
      <c r="G77" s="699"/>
      <c r="H77" s="707"/>
      <c r="I77" s="707"/>
      <c r="J77" s="653"/>
      <c r="K77" s="1195"/>
      <c r="L77" s="1195"/>
    </row>
    <row r="78" spans="2:12" x14ac:dyDescent="0.25">
      <c r="B78" s="20"/>
      <c r="C78" s="20"/>
      <c r="D78" s="1062">
        <v>3</v>
      </c>
      <c r="E78" s="781">
        <f t="shared" ref="E78:E85" si="0">+E77</f>
        <v>1</v>
      </c>
      <c r="F78" s="34"/>
      <c r="G78" s="699"/>
      <c r="H78" s="707"/>
      <c r="I78" s="707"/>
      <c r="J78" s="653"/>
      <c r="K78" s="1195"/>
      <c r="L78" s="1195"/>
    </row>
    <row r="79" spans="2:12" x14ac:dyDescent="0.25">
      <c r="B79" s="20"/>
      <c r="C79" s="20"/>
      <c r="D79" s="1062">
        <v>4</v>
      </c>
      <c r="E79" s="781">
        <f t="shared" si="0"/>
        <v>1</v>
      </c>
      <c r="F79" s="34"/>
      <c r="G79" s="699"/>
      <c r="H79" s="707"/>
      <c r="I79" s="707"/>
      <c r="J79" s="653"/>
      <c r="K79" s="1195"/>
      <c r="L79" s="1195"/>
    </row>
    <row r="80" spans="2:12" x14ac:dyDescent="0.25">
      <c r="B80" s="20"/>
      <c r="C80" s="20"/>
      <c r="D80" s="1062">
        <v>5</v>
      </c>
      <c r="E80" s="781">
        <f t="shared" si="0"/>
        <v>1</v>
      </c>
      <c r="F80" s="34"/>
      <c r="G80" s="699"/>
      <c r="H80" s="707"/>
      <c r="I80" s="707"/>
      <c r="J80" s="653"/>
      <c r="K80" s="1195"/>
      <c r="L80" s="1195"/>
    </row>
    <row r="81" spans="2:12" x14ac:dyDescent="0.25">
      <c r="B81" s="20"/>
      <c r="C81" s="20"/>
      <c r="D81" s="1062">
        <v>6</v>
      </c>
      <c r="E81" s="781">
        <f t="shared" si="0"/>
        <v>1</v>
      </c>
      <c r="F81" s="34"/>
      <c r="G81" s="699"/>
      <c r="H81" s="707"/>
      <c r="I81" s="707"/>
      <c r="J81" s="653"/>
      <c r="K81" s="1195"/>
      <c r="L81" s="1195"/>
    </row>
    <row r="82" spans="2:12" x14ac:dyDescent="0.25">
      <c r="B82" s="20"/>
      <c r="C82" s="20"/>
      <c r="D82" s="1062">
        <v>7</v>
      </c>
      <c r="E82" s="781">
        <f t="shared" si="0"/>
        <v>1</v>
      </c>
      <c r="F82" s="34"/>
      <c r="G82" s="699"/>
      <c r="H82" s="707"/>
      <c r="I82" s="707"/>
      <c r="J82" s="653"/>
      <c r="K82" s="1195"/>
      <c r="L82" s="1195"/>
    </row>
    <row r="83" spans="2:12" x14ac:dyDescent="0.25">
      <c r="B83" s="20"/>
      <c r="C83" s="20"/>
      <c r="D83" s="1062">
        <v>8</v>
      </c>
      <c r="E83" s="781">
        <f t="shared" si="0"/>
        <v>1</v>
      </c>
      <c r="F83" s="34"/>
      <c r="G83" s="699"/>
      <c r="H83" s="707"/>
      <c r="I83" s="707"/>
      <c r="J83" s="653"/>
      <c r="K83" s="1195"/>
      <c r="L83" s="1195"/>
    </row>
    <row r="84" spans="2:12" x14ac:dyDescent="0.25">
      <c r="B84" s="20"/>
      <c r="C84" s="20"/>
      <c r="D84" s="1062">
        <v>9</v>
      </c>
      <c r="E84" s="781">
        <f t="shared" si="0"/>
        <v>1</v>
      </c>
      <c r="F84" s="34"/>
      <c r="G84" s="699"/>
      <c r="H84" s="707"/>
      <c r="I84" s="707"/>
      <c r="J84" s="653"/>
      <c r="K84" s="1195"/>
      <c r="L84" s="1195"/>
    </row>
    <row r="85" spans="2:12" x14ac:dyDescent="0.25">
      <c r="B85" s="20"/>
      <c r="C85" s="20"/>
      <c r="D85" s="1062">
        <v>10</v>
      </c>
      <c r="E85" s="781">
        <f t="shared" si="0"/>
        <v>1</v>
      </c>
      <c r="F85" s="34"/>
      <c r="G85" s="699"/>
      <c r="H85" s="707"/>
      <c r="I85" s="707"/>
      <c r="J85" s="653"/>
      <c r="K85" s="1195"/>
      <c r="L85" s="1195"/>
    </row>
    <row r="86" spans="2:12" x14ac:dyDescent="0.25">
      <c r="B86" s="20"/>
      <c r="C86" s="20"/>
      <c r="D86" s="1062"/>
      <c r="E86" s="781"/>
      <c r="F86" s="34"/>
      <c r="G86" s="699"/>
      <c r="H86" s="707"/>
      <c r="I86" s="707"/>
      <c r="J86" s="653"/>
      <c r="K86" s="1195"/>
      <c r="L86" s="1195"/>
    </row>
    <row r="87" spans="2:12" x14ac:dyDescent="0.25">
      <c r="B87" s="20"/>
      <c r="C87" s="20"/>
      <c r="D87" s="1153">
        <v>1860</v>
      </c>
      <c r="E87" s="781"/>
      <c r="F87" s="34"/>
      <c r="G87" s="699"/>
      <c r="H87" s="707"/>
      <c r="I87" s="707"/>
      <c r="J87" s="653"/>
      <c r="K87" s="1195"/>
      <c r="L87" s="1195"/>
    </row>
    <row r="88" spans="2:12" x14ac:dyDescent="0.25">
      <c r="B88" s="20"/>
      <c r="C88" s="20"/>
      <c r="D88" s="1153">
        <v>1920</v>
      </c>
      <c r="E88" s="781"/>
      <c r="F88" s="34"/>
      <c r="G88" s="699"/>
      <c r="H88" s="707"/>
      <c r="I88" s="707"/>
      <c r="J88" s="653"/>
      <c r="K88" s="1195"/>
      <c r="L88" s="1195"/>
    </row>
    <row r="89" spans="2:12" x14ac:dyDescent="0.25">
      <c r="B89" s="20"/>
      <c r="C89" s="20"/>
      <c r="D89" s="1153">
        <v>2020</v>
      </c>
      <c r="E89" s="781"/>
      <c r="F89" s="34"/>
      <c r="G89" s="699"/>
      <c r="H89" s="707"/>
      <c r="I89" s="707"/>
      <c r="J89" s="653"/>
      <c r="K89" s="1195"/>
      <c r="L89" s="1195"/>
    </row>
    <row r="90" spans="2:12" x14ac:dyDescent="0.25">
      <c r="B90" s="20"/>
      <c r="C90" s="20"/>
      <c r="D90" s="1153">
        <v>2120</v>
      </c>
      <c r="E90" s="781"/>
      <c r="F90" s="34"/>
      <c r="G90" s="699"/>
      <c r="H90" s="707"/>
      <c r="I90" s="707"/>
      <c r="J90" s="653"/>
      <c r="K90" s="1195"/>
      <c r="L90" s="1195"/>
    </row>
    <row r="91" spans="2:12" x14ac:dyDescent="0.25">
      <c r="B91" s="20"/>
      <c r="C91" s="20"/>
      <c r="D91" s="1153">
        <v>2220</v>
      </c>
      <c r="E91" s="781"/>
      <c r="F91" s="34"/>
      <c r="G91" s="699"/>
      <c r="H91" s="707"/>
      <c r="I91" s="707"/>
      <c r="J91" s="653"/>
      <c r="K91" s="1195"/>
      <c r="L91" s="1195"/>
    </row>
    <row r="92" spans="2:12" x14ac:dyDescent="0.25">
      <c r="B92" s="20"/>
      <c r="C92" s="20"/>
      <c r="D92" s="1153">
        <v>2320</v>
      </c>
      <c r="E92" s="781"/>
      <c r="F92" s="34"/>
      <c r="G92" s="699"/>
      <c r="H92" s="707"/>
      <c r="I92" s="707"/>
      <c r="J92" s="653"/>
      <c r="K92" s="1195"/>
      <c r="L92" s="1195"/>
    </row>
    <row r="93" spans="2:12" x14ac:dyDescent="0.25">
      <c r="B93" s="20"/>
      <c r="C93" s="20"/>
      <c r="D93" s="1153">
        <v>2450</v>
      </c>
      <c r="E93" s="781"/>
      <c r="F93" s="34"/>
      <c r="G93" s="699"/>
      <c r="H93" s="707"/>
      <c r="I93" s="707"/>
      <c r="J93" s="653"/>
      <c r="K93" s="1195"/>
      <c r="L93" s="1195"/>
    </row>
    <row r="94" spans="2:12" x14ac:dyDescent="0.25">
      <c r="B94" s="20"/>
      <c r="C94" s="20"/>
      <c r="D94" s="1153">
        <v>2550</v>
      </c>
      <c r="E94" s="781"/>
      <c r="F94" s="34"/>
      <c r="G94" s="699"/>
      <c r="H94" s="707"/>
      <c r="I94" s="707"/>
      <c r="J94" s="653"/>
      <c r="K94" s="1195"/>
      <c r="L94" s="1195"/>
    </row>
    <row r="95" spans="2:12" x14ac:dyDescent="0.25">
      <c r="B95" s="20"/>
      <c r="C95" s="20"/>
      <c r="D95" s="1153">
        <v>2650</v>
      </c>
      <c r="E95" s="781"/>
      <c r="F95" s="34"/>
      <c r="G95" s="699"/>
      <c r="H95" s="707"/>
      <c r="I95" s="707"/>
      <c r="J95" s="653"/>
      <c r="K95" s="1195"/>
      <c r="L95" s="1195"/>
    </row>
    <row r="96" spans="2:12" x14ac:dyDescent="0.25">
      <c r="B96" s="20"/>
      <c r="C96" s="20"/>
      <c r="D96" s="1153">
        <v>2750</v>
      </c>
      <c r="E96" s="781"/>
      <c r="F96" s="34"/>
      <c r="G96" s="699"/>
      <c r="H96" s="707"/>
      <c r="I96" s="707"/>
      <c r="J96" s="653"/>
      <c r="K96" s="1195"/>
      <c r="L96" s="1195"/>
    </row>
    <row r="97" spans="2:12" x14ac:dyDescent="0.25">
      <c r="B97" s="20"/>
      <c r="C97" s="20"/>
      <c r="D97" s="1153">
        <v>2840</v>
      </c>
      <c r="E97" s="781"/>
      <c r="F97" s="34"/>
      <c r="G97" s="699"/>
      <c r="H97" s="707"/>
      <c r="I97" s="707"/>
      <c r="J97" s="653"/>
      <c r="K97" s="1195"/>
      <c r="L97" s="1195"/>
    </row>
    <row r="98" spans="2:12" x14ac:dyDescent="0.25">
      <c r="B98" s="20"/>
      <c r="C98" s="20"/>
      <c r="D98" s="1153">
        <v>2940</v>
      </c>
      <c r="E98" s="781"/>
      <c r="F98" s="34"/>
      <c r="G98" s="699"/>
      <c r="H98" s="707"/>
      <c r="I98" s="707"/>
      <c r="J98" s="653"/>
      <c r="K98" s="1195"/>
      <c r="L98" s="1195"/>
    </row>
    <row r="99" spans="2:12" x14ac:dyDescent="0.25">
      <c r="B99" s="20"/>
      <c r="C99" s="20"/>
      <c r="D99" s="1153">
        <v>3040</v>
      </c>
      <c r="E99" s="781"/>
      <c r="F99" s="34"/>
      <c r="G99" s="699"/>
      <c r="H99" s="707"/>
      <c r="I99" s="707"/>
      <c r="J99" s="653"/>
      <c r="K99" s="1195"/>
      <c r="L99" s="1195"/>
    </row>
    <row r="100" spans="2:12" x14ac:dyDescent="0.25">
      <c r="B100" s="20"/>
      <c r="C100" s="20"/>
      <c r="D100" s="1153">
        <v>3150</v>
      </c>
      <c r="E100" s="781"/>
      <c r="F100" s="34"/>
      <c r="G100" s="699"/>
      <c r="H100" s="707"/>
      <c r="I100" s="707"/>
      <c r="J100" s="653"/>
      <c r="K100" s="1195"/>
      <c r="L100" s="1195"/>
    </row>
    <row r="101" spans="2:12" x14ac:dyDescent="0.25">
      <c r="B101" s="20"/>
      <c r="C101" s="20"/>
      <c r="D101" s="1153">
        <v>3240</v>
      </c>
      <c r="E101" s="781"/>
      <c r="F101" s="34"/>
      <c r="G101" s="699"/>
      <c r="H101" s="707"/>
      <c r="I101" s="707"/>
      <c r="J101" s="653"/>
      <c r="K101" s="1195"/>
      <c r="L101" s="1195"/>
    </row>
    <row r="102" spans="2:12" x14ac:dyDescent="0.25">
      <c r="B102" s="20"/>
      <c r="C102" s="20"/>
      <c r="D102" s="1153">
        <v>3340</v>
      </c>
      <c r="E102" s="781"/>
      <c r="F102" s="34"/>
      <c r="G102" s="699"/>
      <c r="H102" s="707"/>
      <c r="I102" s="707"/>
      <c r="J102" s="653"/>
      <c r="K102" s="1195"/>
      <c r="L102" s="1195"/>
    </row>
    <row r="103" spans="2:12" x14ac:dyDescent="0.25">
      <c r="B103" s="20"/>
      <c r="C103" s="20"/>
      <c r="D103" s="1153">
        <v>3440</v>
      </c>
      <c r="E103" s="781"/>
      <c r="F103" s="34"/>
      <c r="G103" s="699"/>
      <c r="H103" s="707"/>
      <c r="I103" s="707"/>
      <c r="J103" s="653"/>
      <c r="K103" s="1195"/>
      <c r="L103" s="1195"/>
    </row>
    <row r="104" spans="2:12" x14ac:dyDescent="0.25">
      <c r="B104" s="20"/>
      <c r="C104" s="20"/>
      <c r="D104" s="1153">
        <v>3540</v>
      </c>
      <c r="E104" s="781"/>
      <c r="F104" s="34"/>
      <c r="G104" s="699"/>
      <c r="H104" s="707"/>
      <c r="I104" s="707"/>
      <c r="J104" s="653"/>
      <c r="K104" s="1195"/>
      <c r="L104" s="1195"/>
    </row>
    <row r="105" spans="2:12" x14ac:dyDescent="0.25">
      <c r="B105" s="20"/>
      <c r="C105" s="20"/>
      <c r="D105" s="1153">
        <v>3640</v>
      </c>
      <c r="E105" s="781"/>
      <c r="F105" s="34"/>
      <c r="G105" s="699"/>
      <c r="H105" s="707"/>
      <c r="I105" s="707"/>
      <c r="J105" s="653"/>
      <c r="K105" s="1195"/>
      <c r="L105" s="1195"/>
    </row>
    <row r="106" spans="2:12" x14ac:dyDescent="0.25">
      <c r="B106" s="20"/>
      <c r="C106" s="20"/>
      <c r="D106" s="1153">
        <v>3740</v>
      </c>
      <c r="E106" s="781"/>
      <c r="F106" s="34"/>
      <c r="G106" s="699"/>
      <c r="H106" s="707"/>
      <c r="I106" s="707"/>
      <c r="J106" s="653"/>
      <c r="K106" s="1195"/>
      <c r="L106" s="1195"/>
    </row>
    <row r="107" spans="2:12" x14ac:dyDescent="0.25">
      <c r="B107" s="20"/>
      <c r="C107" s="20"/>
      <c r="D107" s="1153">
        <v>3840</v>
      </c>
      <c r="E107" s="781"/>
      <c r="F107" s="34"/>
      <c r="G107" s="699"/>
      <c r="H107" s="707"/>
      <c r="I107" s="707"/>
      <c r="J107" s="653"/>
      <c r="K107" s="1195"/>
      <c r="L107" s="1195"/>
    </row>
    <row r="108" spans="2:12" x14ac:dyDescent="0.25">
      <c r="B108" s="20"/>
      <c r="C108" s="20"/>
      <c r="D108" s="25"/>
      <c r="E108" s="781"/>
      <c r="F108" s="34"/>
      <c r="G108" s="699"/>
      <c r="H108" s="707"/>
      <c r="I108" s="707"/>
      <c r="J108" s="653"/>
      <c r="K108" s="1195"/>
      <c r="L108" s="1195"/>
    </row>
    <row r="109" spans="2:12" x14ac:dyDescent="0.25">
      <c r="B109" s="20"/>
      <c r="C109" s="20"/>
      <c r="D109" s="742"/>
      <c r="E109" s="33">
        <f>+SUM(E76:E107)</f>
        <v>10</v>
      </c>
      <c r="F109" s="34"/>
      <c r="G109" s="699"/>
      <c r="H109" s="707"/>
      <c r="I109" s="707"/>
      <c r="J109" s="653"/>
      <c r="K109" s="1195"/>
      <c r="L109" s="1195"/>
    </row>
    <row r="110" spans="2:12" x14ac:dyDescent="0.25">
      <c r="B110" s="1196" t="s">
        <v>974</v>
      </c>
      <c r="C110" s="1197"/>
      <c r="D110" s="1197"/>
      <c r="E110" s="1197"/>
      <c r="F110" s="1198"/>
      <c r="G110" s="699"/>
      <c r="H110" s="707"/>
      <c r="I110" s="707"/>
      <c r="J110" s="653"/>
      <c r="K110" s="1195"/>
      <c r="L110" s="1195"/>
    </row>
    <row r="111" spans="2:12" x14ac:dyDescent="0.25">
      <c r="B111" s="1199"/>
      <c r="C111" s="1200"/>
      <c r="D111" s="1200"/>
      <c r="E111" s="1200"/>
      <c r="F111" s="1201"/>
      <c r="G111" s="699"/>
      <c r="H111" s="707"/>
      <c r="I111" s="707"/>
      <c r="J111" s="653"/>
      <c r="K111" s="1195"/>
      <c r="L111" s="1195"/>
    </row>
    <row r="112" spans="2:12" s="15" customFormat="1" x14ac:dyDescent="0.25">
      <c r="B112" s="1202"/>
      <c r="C112" s="1203"/>
      <c r="D112" s="1203"/>
      <c r="E112" s="1203"/>
      <c r="F112" s="1204"/>
      <c r="G112" s="783" t="s">
        <v>80</v>
      </c>
      <c r="H112" s="783"/>
      <c r="I112" s="783"/>
      <c r="J112" s="784">
        <f>ROUND(SUM(J70:J75),2)</f>
        <v>38</v>
      </c>
      <c r="K112" s="1195"/>
      <c r="L112" s="1195"/>
    </row>
    <row r="113" spans="2:12" s="15" customFormat="1" x14ac:dyDescent="0.25">
      <c r="B113" s="16"/>
      <c r="C113" s="16"/>
      <c r="D113" s="19"/>
      <c r="E113" s="26"/>
      <c r="F113" s="18"/>
      <c r="G113" s="18"/>
      <c r="H113" s="18"/>
      <c r="I113" s="18"/>
      <c r="J113" s="18"/>
    </row>
    <row r="114" spans="2:12" ht="15.75" x14ac:dyDescent="0.25">
      <c r="B114" s="628"/>
      <c r="C114" s="628"/>
      <c r="D114" s="628"/>
      <c r="E114" s="628"/>
      <c r="F114" s="628"/>
      <c r="H114" s="24"/>
      <c r="I114" s="24"/>
    </row>
    <row r="115" spans="2:12" ht="15.75" x14ac:dyDescent="0.25">
      <c r="D115" s="626"/>
      <c r="E115" s="1209" t="s">
        <v>78</v>
      </c>
      <c r="F115" s="1210"/>
      <c r="G115" s="1210"/>
      <c r="H115" s="1211"/>
      <c r="I115" s="782" t="s">
        <v>79</v>
      </c>
      <c r="J115" s="54" t="str">
        <f>+P.Detall!F16</f>
        <v>ML</v>
      </c>
      <c r="K115" s="1205" t="s">
        <v>971</v>
      </c>
      <c r="L115" s="1206"/>
    </row>
    <row r="116" spans="2:12" ht="28.5" x14ac:dyDescent="0.25">
      <c r="B116" s="629" t="s">
        <v>2</v>
      </c>
      <c r="C116" s="629" t="s">
        <v>2</v>
      </c>
      <c r="D116" s="629" t="s">
        <v>4</v>
      </c>
      <c r="E116" s="629" t="s">
        <v>84</v>
      </c>
      <c r="F116" s="698" t="s">
        <v>886</v>
      </c>
      <c r="G116" s="629"/>
      <c r="H116" s="705"/>
      <c r="I116" s="705"/>
      <c r="J116" s="652" t="s">
        <v>88</v>
      </c>
      <c r="K116" s="1207"/>
      <c r="L116" s="1208"/>
    </row>
    <row r="117" spans="2:12" ht="25.5" x14ac:dyDescent="0.25">
      <c r="B117" s="30">
        <v>215</v>
      </c>
      <c r="C117" s="20" t="s">
        <v>9</v>
      </c>
      <c r="D117" s="742" t="str">
        <f>+P.Detall!E16</f>
        <v>REMOSIÓN DE ALCANTARILLAS</v>
      </c>
      <c r="E117" s="25">
        <f>+SUM(E118:E124)</f>
        <v>5</v>
      </c>
      <c r="F117" s="22">
        <v>6</v>
      </c>
      <c r="G117" s="22" t="s">
        <v>880</v>
      </c>
      <c r="H117" s="655"/>
      <c r="I117" s="655"/>
      <c r="J117" s="655">
        <f>+F117*E117</f>
        <v>30</v>
      </c>
      <c r="K117" s="1195"/>
      <c r="L117" s="1195"/>
    </row>
    <row r="118" spans="2:12" x14ac:dyDescent="0.25">
      <c r="B118" s="30"/>
      <c r="C118" s="20"/>
      <c r="D118" s="1062">
        <v>1</v>
      </c>
      <c r="E118" s="25">
        <v>1</v>
      </c>
      <c r="F118" s="22"/>
      <c r="G118" s="22"/>
      <c r="H118" s="655"/>
      <c r="I118" s="655"/>
      <c r="J118" s="654"/>
      <c r="K118" s="1195"/>
      <c r="L118" s="1195"/>
    </row>
    <row r="119" spans="2:12" x14ac:dyDescent="0.25">
      <c r="B119" s="30"/>
      <c r="C119" s="20"/>
      <c r="D119" s="1062">
        <v>2</v>
      </c>
      <c r="E119" s="25">
        <f>+E118</f>
        <v>1</v>
      </c>
      <c r="F119" s="22"/>
      <c r="G119" s="22"/>
      <c r="H119" s="655"/>
      <c r="I119" s="655"/>
      <c r="J119" s="654"/>
      <c r="K119" s="1195"/>
      <c r="L119" s="1195"/>
    </row>
    <row r="120" spans="2:12" x14ac:dyDescent="0.25">
      <c r="B120" s="30"/>
      <c r="C120" s="20"/>
      <c r="D120" s="1062">
        <v>3</v>
      </c>
      <c r="E120" s="25">
        <f>+E119</f>
        <v>1</v>
      </c>
      <c r="F120" s="22"/>
      <c r="G120" s="22"/>
      <c r="H120" s="655"/>
      <c r="I120" s="655"/>
      <c r="J120" s="654"/>
      <c r="K120" s="1195"/>
      <c r="L120" s="1195"/>
    </row>
    <row r="121" spans="2:12" x14ac:dyDescent="0.25">
      <c r="B121" s="30"/>
      <c r="C121" s="20"/>
      <c r="D121" s="1062">
        <v>4</v>
      </c>
      <c r="E121" s="25">
        <f>+E120</f>
        <v>1</v>
      </c>
      <c r="F121" s="22"/>
      <c r="G121" s="22"/>
      <c r="H121" s="655"/>
      <c r="I121" s="655"/>
      <c r="J121" s="654"/>
      <c r="K121" s="1195"/>
      <c r="L121" s="1195"/>
    </row>
    <row r="122" spans="2:12" x14ac:dyDescent="0.25">
      <c r="B122" s="30"/>
      <c r="C122" s="20"/>
      <c r="D122" s="1062">
        <v>5</v>
      </c>
      <c r="E122" s="25">
        <f t="shared" ref="E122" si="1">+E121</f>
        <v>1</v>
      </c>
      <c r="F122" s="22"/>
      <c r="G122" s="22"/>
      <c r="H122" s="655"/>
      <c r="I122" s="655"/>
      <c r="J122" s="654"/>
      <c r="K122" s="1195"/>
      <c r="L122" s="1195"/>
    </row>
    <row r="123" spans="2:12" x14ac:dyDescent="0.25">
      <c r="B123" s="30"/>
      <c r="C123" s="20"/>
      <c r="D123" s="1062"/>
      <c r="E123" s="25"/>
      <c r="F123" s="22"/>
      <c r="G123" s="22"/>
      <c r="H123" s="655"/>
      <c r="I123" s="655"/>
      <c r="J123" s="654"/>
      <c r="K123" s="1195"/>
      <c r="L123" s="1195"/>
    </row>
    <row r="124" spans="2:12" x14ac:dyDescent="0.25">
      <c r="B124" s="30"/>
      <c r="C124" s="20"/>
      <c r="D124" s="1062"/>
      <c r="E124" s="25"/>
      <c r="F124" s="22"/>
      <c r="G124" s="22"/>
      <c r="H124" s="655"/>
      <c r="I124" s="655"/>
      <c r="J124" s="654"/>
      <c r="K124" s="1195"/>
      <c r="L124" s="1195"/>
    </row>
    <row r="125" spans="2:12" x14ac:dyDescent="0.25">
      <c r="B125" s="30"/>
      <c r="C125" s="20"/>
      <c r="D125" s="742"/>
      <c r="E125" s="25"/>
      <c r="F125" s="22"/>
      <c r="G125" s="22"/>
      <c r="H125" s="655"/>
      <c r="I125" s="655"/>
      <c r="J125" s="654"/>
      <c r="K125" s="1195"/>
      <c r="L125" s="1195"/>
    </row>
    <row r="126" spans="2:12" x14ac:dyDescent="0.25">
      <c r="B126" s="1196" t="s">
        <v>974</v>
      </c>
      <c r="C126" s="1197"/>
      <c r="D126" s="1197"/>
      <c r="E126" s="1197"/>
      <c r="F126" s="1198"/>
      <c r="G126" s="22"/>
      <c r="H126" s="655"/>
      <c r="I126" s="655"/>
      <c r="J126" s="655"/>
      <c r="K126" s="1195"/>
      <c r="L126" s="1195"/>
    </row>
    <row r="127" spans="2:12" x14ac:dyDescent="0.25">
      <c r="B127" s="1199"/>
      <c r="C127" s="1200"/>
      <c r="D127" s="1200"/>
      <c r="E127" s="1200"/>
      <c r="F127" s="1201"/>
      <c r="G127" s="22"/>
      <c r="H127" s="655"/>
      <c r="I127" s="655"/>
      <c r="J127" s="655"/>
      <c r="K127" s="1195"/>
      <c r="L127" s="1195"/>
    </row>
    <row r="128" spans="2:12" s="15" customFormat="1" x14ac:dyDescent="0.25">
      <c r="B128" s="1202"/>
      <c r="C128" s="1203"/>
      <c r="D128" s="1203"/>
      <c r="E128" s="1203"/>
      <c r="F128" s="1204"/>
      <c r="G128" s="783" t="s">
        <v>80</v>
      </c>
      <c r="H128" s="783"/>
      <c r="I128" s="783"/>
      <c r="J128" s="784">
        <f>ROUND(SUM(J117:J127),0)</f>
        <v>30</v>
      </c>
      <c r="K128" s="1195"/>
      <c r="L128" s="1195"/>
    </row>
    <row r="129" spans="2:12" s="15" customFormat="1" x14ac:dyDescent="0.25">
      <c r="B129" s="16"/>
      <c r="C129" s="16"/>
      <c r="D129" s="17"/>
      <c r="E129" s="26"/>
      <c r="F129" s="18"/>
      <c r="G129" s="18"/>
      <c r="H129" s="18"/>
      <c r="I129" s="18"/>
      <c r="J129" s="18"/>
      <c r="K129" s="1195"/>
      <c r="L129" s="1195"/>
    </row>
    <row r="130" spans="2:12" s="15" customFormat="1" ht="15.75" x14ac:dyDescent="0.25">
      <c r="B130" s="16"/>
      <c r="C130" s="16"/>
      <c r="D130" s="17"/>
      <c r="E130" s="26"/>
      <c r="F130" s="18"/>
      <c r="H130" s="24"/>
      <c r="I130" s="24"/>
    </row>
    <row r="131" spans="2:12" ht="15.75" x14ac:dyDescent="0.25">
      <c r="D131" s="626"/>
      <c r="E131" s="1209" t="s">
        <v>78</v>
      </c>
      <c r="F131" s="1210"/>
      <c r="G131" s="1210"/>
      <c r="H131" s="1211"/>
      <c r="I131" s="782" t="s">
        <v>79</v>
      </c>
      <c r="J131" s="54" t="str">
        <f>+P.Detall!F17</f>
        <v>M3</v>
      </c>
      <c r="K131" s="1205" t="s">
        <v>971</v>
      </c>
      <c r="L131" s="1206"/>
    </row>
    <row r="132" spans="2:12" x14ac:dyDescent="0.25">
      <c r="B132" s="629" t="s">
        <v>2</v>
      </c>
      <c r="C132" s="629" t="s">
        <v>2</v>
      </c>
      <c r="D132" s="629" t="s">
        <v>4</v>
      </c>
      <c r="E132" s="629" t="s">
        <v>75</v>
      </c>
      <c r="F132" s="629" t="s">
        <v>76</v>
      </c>
      <c r="G132" s="629" t="s">
        <v>1120</v>
      </c>
      <c r="H132" s="705" t="s">
        <v>1119</v>
      </c>
      <c r="I132" s="705" t="s">
        <v>1121</v>
      </c>
      <c r="J132" s="652" t="s">
        <v>88</v>
      </c>
      <c r="K132" s="1207"/>
      <c r="L132" s="1208"/>
    </row>
    <row r="133" spans="2:12" ht="25.5" x14ac:dyDescent="0.25">
      <c r="B133" s="30" t="s">
        <v>19</v>
      </c>
      <c r="C133" s="20" t="s">
        <v>9</v>
      </c>
      <c r="D133" s="742" t="str">
        <f>+P.Detall!E17</f>
        <v>EXCAVACION SIN CLASIFICAR DE LA EXPLANACIÓN Y CANALES</v>
      </c>
      <c r="E133" s="25"/>
      <c r="F133" s="22"/>
      <c r="G133" s="22"/>
      <c r="H133" s="655"/>
      <c r="I133" s="655"/>
      <c r="J133" s="655"/>
      <c r="K133" s="1195"/>
      <c r="L133" s="1195"/>
    </row>
    <row r="134" spans="2:12" x14ac:dyDescent="0.25">
      <c r="B134" s="20"/>
      <c r="C134" s="20"/>
      <c r="D134" s="32" t="s">
        <v>1233</v>
      </c>
      <c r="E134" s="25">
        <f>+E15/2000</f>
        <v>10.1</v>
      </c>
      <c r="F134" s="22">
        <v>3</v>
      </c>
      <c r="G134" s="22">
        <v>1.2</v>
      </c>
      <c r="H134" s="655">
        <f>+F134*G134</f>
        <v>3.5999999999999996</v>
      </c>
      <c r="I134" s="655">
        <f>+H134*E134</f>
        <v>36.359999999999992</v>
      </c>
      <c r="J134" s="655">
        <f>+G134*F134*E134</f>
        <v>36.359999999999992</v>
      </c>
      <c r="K134" s="1195"/>
      <c r="L134" s="1195"/>
    </row>
    <row r="135" spans="2:12" x14ac:dyDescent="0.25">
      <c r="B135" s="20"/>
      <c r="C135" s="20"/>
      <c r="D135" s="32" t="s">
        <v>87</v>
      </c>
      <c r="E135" s="22">
        <f>+E134</f>
        <v>10.1</v>
      </c>
      <c r="F135" s="22"/>
      <c r="G135" s="22">
        <v>0.2</v>
      </c>
      <c r="H135" s="22"/>
      <c r="I135" s="22"/>
      <c r="J135" s="655">
        <f>ROUND(G135*F138*E135,0)</f>
        <v>3</v>
      </c>
      <c r="K135" s="1195"/>
      <c r="L135" s="1195"/>
    </row>
    <row r="136" spans="2:12" x14ac:dyDescent="0.25">
      <c r="B136" s="20"/>
      <c r="C136" s="20"/>
      <c r="D136" s="32" t="s">
        <v>889</v>
      </c>
      <c r="E136" s="25"/>
      <c r="F136" s="22">
        <v>0.8</v>
      </c>
      <c r="G136" s="22"/>
      <c r="H136" s="22"/>
      <c r="I136" s="22"/>
      <c r="J136" s="654"/>
      <c r="K136" s="1195"/>
      <c r="L136" s="1195"/>
    </row>
    <row r="137" spans="2:12" x14ac:dyDescent="0.25">
      <c r="B137" s="20"/>
      <c r="C137" s="20"/>
      <c r="D137" s="32" t="s">
        <v>890</v>
      </c>
      <c r="E137" s="25"/>
      <c r="F137" s="22">
        <v>0.8</v>
      </c>
      <c r="G137" s="22"/>
      <c r="H137" s="22"/>
      <c r="I137" s="22"/>
      <c r="J137" s="655"/>
      <c r="K137" s="1195"/>
      <c r="L137" s="1195"/>
    </row>
    <row r="138" spans="2:12" x14ac:dyDescent="0.25">
      <c r="B138" s="20"/>
      <c r="C138" s="20"/>
      <c r="D138" s="21"/>
      <c r="E138" s="25"/>
      <c r="F138" s="20">
        <f>SUM(F136:F137)</f>
        <v>1.6</v>
      </c>
      <c r="G138" s="22"/>
      <c r="H138" s="22"/>
      <c r="I138" s="22"/>
      <c r="J138" s="655"/>
      <c r="K138" s="1195"/>
      <c r="L138" s="1195"/>
    </row>
    <row r="139" spans="2:12" x14ac:dyDescent="0.25">
      <c r="B139" s="20"/>
      <c r="C139" s="20"/>
      <c r="D139" s="742"/>
      <c r="E139" s="25"/>
      <c r="F139" s="20"/>
      <c r="G139" s="22"/>
      <c r="H139" s="655"/>
      <c r="I139" s="655"/>
      <c r="J139" s="655"/>
      <c r="K139" s="1195"/>
      <c r="L139" s="1195"/>
    </row>
    <row r="140" spans="2:12" x14ac:dyDescent="0.25">
      <c r="B140" s="20"/>
      <c r="C140" s="20"/>
      <c r="D140" s="742"/>
      <c r="E140" s="25"/>
      <c r="F140" s="20"/>
      <c r="G140" s="22"/>
      <c r="H140" s="655"/>
      <c r="I140" s="655"/>
      <c r="J140" s="655"/>
      <c r="K140" s="1195"/>
      <c r="L140" s="1195"/>
    </row>
    <row r="141" spans="2:12" x14ac:dyDescent="0.25">
      <c r="B141" s="20"/>
      <c r="C141" s="20"/>
      <c r="D141" s="742"/>
      <c r="E141" s="25"/>
      <c r="F141" s="20"/>
      <c r="G141" s="22"/>
      <c r="H141" s="655"/>
      <c r="I141" s="655"/>
      <c r="J141" s="655"/>
      <c r="K141" s="1195"/>
      <c r="L141" s="1195"/>
    </row>
    <row r="142" spans="2:12" x14ac:dyDescent="0.25">
      <c r="B142" s="20"/>
      <c r="C142" s="20"/>
      <c r="D142" s="742"/>
      <c r="E142" s="25"/>
      <c r="F142" s="20"/>
      <c r="G142" s="22"/>
      <c r="H142" s="655"/>
      <c r="I142" s="655"/>
      <c r="J142" s="655"/>
      <c r="K142" s="1195"/>
      <c r="L142" s="1195"/>
    </row>
    <row r="143" spans="2:12" x14ac:dyDescent="0.25">
      <c r="B143" s="20"/>
      <c r="C143" s="20"/>
      <c r="D143" s="742"/>
      <c r="E143" s="25"/>
      <c r="F143" s="20"/>
      <c r="G143" s="22"/>
      <c r="H143" s="655"/>
      <c r="I143" s="655"/>
      <c r="J143" s="655"/>
      <c r="K143" s="1195"/>
      <c r="L143" s="1195"/>
    </row>
    <row r="144" spans="2:12" x14ac:dyDescent="0.25">
      <c r="B144" s="20"/>
      <c r="C144" s="20"/>
      <c r="D144" s="742"/>
      <c r="E144" s="25"/>
      <c r="F144" s="20"/>
      <c r="G144" s="22"/>
      <c r="H144" s="655"/>
      <c r="I144" s="655"/>
      <c r="J144" s="655"/>
      <c r="K144" s="1195"/>
      <c r="L144" s="1195"/>
    </row>
    <row r="145" spans="2:12" x14ac:dyDescent="0.25">
      <c r="B145" s="1196" t="s">
        <v>974</v>
      </c>
      <c r="C145" s="1197"/>
      <c r="D145" s="1197"/>
      <c r="E145" s="1197"/>
      <c r="F145" s="1198"/>
      <c r="G145" s="22"/>
      <c r="H145" s="655"/>
      <c r="I145" s="655"/>
      <c r="J145" s="655"/>
      <c r="K145" s="1195"/>
      <c r="L145" s="1195"/>
    </row>
    <row r="146" spans="2:12" x14ac:dyDescent="0.25">
      <c r="B146" s="1199"/>
      <c r="C146" s="1200"/>
      <c r="D146" s="1200"/>
      <c r="E146" s="1200"/>
      <c r="F146" s="1201"/>
      <c r="G146" s="22"/>
      <c r="H146" s="655"/>
      <c r="I146" s="655"/>
      <c r="J146" s="655"/>
      <c r="K146" s="1195"/>
      <c r="L146" s="1195"/>
    </row>
    <row r="147" spans="2:12" s="15" customFormat="1" x14ac:dyDescent="0.25">
      <c r="B147" s="1202"/>
      <c r="C147" s="1203"/>
      <c r="D147" s="1203"/>
      <c r="E147" s="1203"/>
      <c r="F147" s="1204"/>
      <c r="G147" s="783" t="s">
        <v>80</v>
      </c>
      <c r="H147" s="783"/>
      <c r="I147" s="783"/>
      <c r="J147" s="784">
        <f>ROUND(SUM(J133:J138),0)</f>
        <v>39</v>
      </c>
      <c r="K147" s="1195"/>
      <c r="L147" s="1195"/>
    </row>
    <row r="148" spans="2:12" s="15" customFormat="1" x14ac:dyDescent="0.25">
      <c r="B148" s="16"/>
      <c r="C148" s="16"/>
      <c r="D148" s="19"/>
      <c r="E148" s="26"/>
      <c r="F148" s="18"/>
      <c r="G148" s="18"/>
      <c r="H148" s="18"/>
      <c r="I148" s="18"/>
      <c r="J148" s="18"/>
    </row>
    <row r="149" spans="2:12" s="15" customFormat="1" ht="15.75" x14ac:dyDescent="0.25">
      <c r="B149" s="16"/>
      <c r="C149" s="16"/>
      <c r="D149" s="19"/>
      <c r="E149" s="26"/>
      <c r="F149" s="18"/>
      <c r="H149" s="24"/>
      <c r="I149" s="24"/>
    </row>
    <row r="150" spans="2:12" ht="15.75" x14ac:dyDescent="0.25">
      <c r="D150" s="626"/>
      <c r="E150" s="1209" t="s">
        <v>78</v>
      </c>
      <c r="F150" s="1210"/>
      <c r="G150" s="1210"/>
      <c r="H150" s="1211"/>
      <c r="I150" s="782" t="s">
        <v>79</v>
      </c>
      <c r="J150" s="54" t="str">
        <f>+P.Detall!F18</f>
        <v>M3</v>
      </c>
      <c r="K150" s="1205" t="s">
        <v>971</v>
      </c>
      <c r="L150" s="1206"/>
    </row>
    <row r="151" spans="2:12" x14ac:dyDescent="0.25">
      <c r="B151" s="629" t="s">
        <v>2</v>
      </c>
      <c r="C151" s="629" t="s">
        <v>2</v>
      </c>
      <c r="D151" s="629" t="s">
        <v>4</v>
      </c>
      <c r="E151" s="698" t="s">
        <v>891</v>
      </c>
      <c r="F151" s="698" t="s">
        <v>892</v>
      </c>
      <c r="G151" s="698" t="s">
        <v>77</v>
      </c>
      <c r="H151" s="703"/>
      <c r="I151" s="703"/>
      <c r="J151" s="790" t="s">
        <v>88</v>
      </c>
      <c r="K151" s="1207"/>
      <c r="L151" s="1208"/>
    </row>
    <row r="152" spans="2:12" x14ac:dyDescent="0.25">
      <c r="B152" s="30" t="s">
        <v>20</v>
      </c>
      <c r="C152" s="20" t="s">
        <v>9</v>
      </c>
      <c r="D152" s="742" t="str">
        <f>+P.Detall!E18</f>
        <v>EXCAVACION EN ROCA DE LA EXPLANACION Y CANALES</v>
      </c>
      <c r="E152" s="25"/>
      <c r="F152" s="22"/>
      <c r="G152" s="22"/>
      <c r="H152" s="22"/>
      <c r="I152" s="22"/>
      <c r="J152" s="655">
        <f>ROUND(E153*F153,0)</f>
        <v>10</v>
      </c>
      <c r="K152" s="1195"/>
      <c r="L152" s="1195"/>
    </row>
    <row r="153" spans="2:12" x14ac:dyDescent="0.25">
      <c r="B153" s="20"/>
      <c r="C153" s="20"/>
      <c r="D153" s="1148" t="str">
        <f>+D133</f>
        <v>EXCAVACION SIN CLASIFICAR DE LA EXPLANACIÓN Y CANALES</v>
      </c>
      <c r="E153" s="25">
        <f>+J147</f>
        <v>39</v>
      </c>
      <c r="F153" s="22">
        <v>0.25</v>
      </c>
      <c r="G153" s="22"/>
      <c r="H153" s="22"/>
      <c r="I153" s="22"/>
      <c r="J153" s="655"/>
      <c r="K153" s="1195"/>
      <c r="L153" s="1195"/>
    </row>
    <row r="154" spans="2:12" x14ac:dyDescent="0.25">
      <c r="B154" s="20"/>
      <c r="C154" s="20"/>
      <c r="D154" s="32"/>
      <c r="E154" s="22"/>
      <c r="F154" s="22"/>
      <c r="G154" s="22"/>
      <c r="H154" s="655"/>
      <c r="I154" s="655"/>
      <c r="J154" s="655"/>
      <c r="K154" s="1195"/>
      <c r="L154" s="1195"/>
    </row>
    <row r="155" spans="2:12" x14ac:dyDescent="0.25">
      <c r="B155" s="20"/>
      <c r="C155" s="20"/>
      <c r="D155" s="32"/>
      <c r="E155" s="22"/>
      <c r="F155" s="22"/>
      <c r="G155" s="22"/>
      <c r="H155" s="655"/>
      <c r="I155" s="655"/>
      <c r="J155" s="655"/>
      <c r="K155" s="1195"/>
      <c r="L155" s="1195"/>
    </row>
    <row r="156" spans="2:12" x14ac:dyDescent="0.25">
      <c r="B156" s="20"/>
      <c r="C156" s="20"/>
      <c r="D156" s="32"/>
      <c r="E156" s="22"/>
      <c r="F156" s="22"/>
      <c r="G156" s="22"/>
      <c r="H156" s="655"/>
      <c r="I156" s="655"/>
      <c r="J156" s="655"/>
      <c r="K156" s="1195"/>
      <c r="L156" s="1195"/>
    </row>
    <row r="157" spans="2:12" x14ac:dyDescent="0.25">
      <c r="B157" s="20"/>
      <c r="C157" s="20"/>
      <c r="D157" s="32"/>
      <c r="E157" s="22"/>
      <c r="F157" s="22"/>
      <c r="G157" s="22"/>
      <c r="H157" s="655"/>
      <c r="I157" s="655"/>
      <c r="J157" s="655"/>
      <c r="K157" s="1195"/>
      <c r="L157" s="1195"/>
    </row>
    <row r="158" spans="2:12" x14ac:dyDescent="0.25">
      <c r="B158" s="20"/>
      <c r="C158" s="20"/>
      <c r="D158" s="32"/>
      <c r="E158" s="22"/>
      <c r="F158" s="22"/>
      <c r="G158" s="22"/>
      <c r="H158" s="655"/>
      <c r="I158" s="655"/>
      <c r="J158" s="655"/>
      <c r="K158" s="1195"/>
      <c r="L158" s="1195"/>
    </row>
    <row r="159" spans="2:12" x14ac:dyDescent="0.25">
      <c r="B159" s="20"/>
      <c r="C159" s="20"/>
      <c r="D159" s="32"/>
      <c r="E159" s="22"/>
      <c r="F159" s="22"/>
      <c r="G159" s="22"/>
      <c r="H159" s="655"/>
      <c r="I159" s="655"/>
      <c r="J159" s="655"/>
      <c r="K159" s="1195"/>
      <c r="L159" s="1195"/>
    </row>
    <row r="160" spans="2:12" x14ac:dyDescent="0.25">
      <c r="B160" s="20"/>
      <c r="C160" s="20"/>
      <c r="D160" s="32"/>
      <c r="E160" s="22"/>
      <c r="F160" s="22"/>
      <c r="G160" s="22"/>
      <c r="H160" s="655"/>
      <c r="I160" s="655"/>
      <c r="J160" s="655"/>
      <c r="K160" s="1195"/>
      <c r="L160" s="1195"/>
    </row>
    <row r="161" spans="2:12" x14ac:dyDescent="0.25">
      <c r="B161" s="20"/>
      <c r="C161" s="20"/>
      <c r="D161" s="32"/>
      <c r="E161" s="22"/>
      <c r="F161" s="22"/>
      <c r="G161" s="22"/>
      <c r="H161" s="655"/>
      <c r="I161" s="655"/>
      <c r="J161" s="655"/>
      <c r="K161" s="1195"/>
      <c r="L161" s="1195"/>
    </row>
    <row r="162" spans="2:12" x14ac:dyDescent="0.25">
      <c r="B162" s="20"/>
      <c r="C162" s="20"/>
      <c r="D162" s="32"/>
      <c r="E162" s="22"/>
      <c r="F162" s="22"/>
      <c r="G162" s="22"/>
      <c r="H162" s="655"/>
      <c r="I162" s="655"/>
      <c r="J162" s="655"/>
      <c r="K162" s="1195"/>
      <c r="L162" s="1195"/>
    </row>
    <row r="163" spans="2:12" x14ac:dyDescent="0.25">
      <c r="B163" s="20"/>
      <c r="C163" s="20"/>
      <c r="D163" s="32"/>
      <c r="E163" s="22"/>
      <c r="F163" s="22"/>
      <c r="G163" s="22"/>
      <c r="H163" s="655"/>
      <c r="I163" s="655"/>
      <c r="J163" s="655"/>
      <c r="K163" s="1195"/>
      <c r="L163" s="1195"/>
    </row>
    <row r="164" spans="2:12" x14ac:dyDescent="0.25">
      <c r="B164" s="20"/>
      <c r="C164" s="20"/>
      <c r="D164" s="32"/>
      <c r="E164" s="22"/>
      <c r="F164" s="22"/>
      <c r="G164" s="22"/>
      <c r="H164" s="655"/>
      <c r="I164" s="655"/>
      <c r="J164" s="655"/>
      <c r="K164" s="1195"/>
      <c r="L164" s="1195"/>
    </row>
    <row r="165" spans="2:12" x14ac:dyDescent="0.25">
      <c r="B165" s="20"/>
      <c r="C165" s="20"/>
      <c r="D165" s="32"/>
      <c r="E165" s="22"/>
      <c r="F165" s="22"/>
      <c r="G165" s="22"/>
      <c r="H165" s="655"/>
      <c r="I165" s="655"/>
      <c r="J165" s="655"/>
      <c r="K165" s="1195"/>
      <c r="L165" s="1195"/>
    </row>
    <row r="166" spans="2:12" ht="15" customHeight="1" x14ac:dyDescent="0.25">
      <c r="B166" s="20"/>
      <c r="C166" s="20"/>
      <c r="D166" s="32"/>
      <c r="E166" s="25"/>
      <c r="F166" s="22"/>
      <c r="G166" s="22"/>
      <c r="H166" s="655"/>
      <c r="I166" s="655"/>
      <c r="J166" s="655"/>
      <c r="K166" s="1195"/>
      <c r="L166" s="1195"/>
    </row>
    <row r="167" spans="2:12" ht="15" customHeight="1" x14ac:dyDescent="0.25">
      <c r="B167" s="1196" t="s">
        <v>972</v>
      </c>
      <c r="C167" s="1197"/>
      <c r="D167" s="1197"/>
      <c r="E167" s="1197"/>
      <c r="F167" s="1198"/>
      <c r="G167" s="22"/>
      <c r="H167" s="655"/>
      <c r="I167" s="655"/>
      <c r="J167" s="655"/>
      <c r="K167" s="1195"/>
      <c r="L167" s="1195"/>
    </row>
    <row r="168" spans="2:12" x14ac:dyDescent="0.25">
      <c r="B168" s="1199"/>
      <c r="C168" s="1200"/>
      <c r="D168" s="1200"/>
      <c r="E168" s="1200"/>
      <c r="F168" s="1201"/>
      <c r="G168" s="22"/>
      <c r="H168" s="655"/>
      <c r="I168" s="655"/>
      <c r="J168" s="655"/>
      <c r="K168" s="1195"/>
      <c r="L168" s="1195"/>
    </row>
    <row r="169" spans="2:12" s="15" customFormat="1" x14ac:dyDescent="0.25">
      <c r="B169" s="1202"/>
      <c r="C169" s="1203"/>
      <c r="D169" s="1203"/>
      <c r="E169" s="1203"/>
      <c r="F169" s="1204"/>
      <c r="G169" s="783" t="s">
        <v>80</v>
      </c>
      <c r="H169" s="783"/>
      <c r="I169" s="783"/>
      <c r="J169" s="784">
        <f>ROUND(SUM(J152:J167),0)</f>
        <v>10</v>
      </c>
      <c r="K169" s="1195"/>
      <c r="L169" s="1195"/>
    </row>
    <row r="170" spans="2:12" s="15" customFormat="1" x14ac:dyDescent="0.25">
      <c r="B170" s="631"/>
      <c r="C170" s="630"/>
      <c r="D170" s="630"/>
      <c r="E170" s="631"/>
      <c r="F170" s="631"/>
      <c r="G170" s="28"/>
      <c r="H170" s="28"/>
      <c r="I170" s="28"/>
      <c r="J170" s="28"/>
    </row>
    <row r="171" spans="2:12" s="15" customFormat="1" ht="15.75" x14ac:dyDescent="0.25">
      <c r="B171" s="631"/>
      <c r="C171" s="630"/>
      <c r="D171" s="630"/>
      <c r="E171" s="631"/>
      <c r="F171" s="631"/>
      <c r="H171" s="24"/>
      <c r="I171" s="24"/>
    </row>
    <row r="172" spans="2:12" ht="15.75" x14ac:dyDescent="0.25">
      <c r="D172" s="626"/>
      <c r="E172" s="1209" t="s">
        <v>78</v>
      </c>
      <c r="F172" s="1210"/>
      <c r="G172" s="1210"/>
      <c r="H172" s="1211"/>
      <c r="I172" s="782" t="s">
        <v>79</v>
      </c>
      <c r="J172" s="54" t="str">
        <f>+P.Detall!F19</f>
        <v>M3</v>
      </c>
      <c r="K172" s="1205" t="s">
        <v>971</v>
      </c>
      <c r="L172" s="1206"/>
    </row>
    <row r="173" spans="2:12" x14ac:dyDescent="0.25">
      <c r="B173" s="629" t="s">
        <v>2</v>
      </c>
      <c r="C173" s="629" t="s">
        <v>2</v>
      </c>
      <c r="D173" s="629" t="s">
        <v>4</v>
      </c>
      <c r="E173" s="698" t="s">
        <v>891</v>
      </c>
      <c r="F173" s="698" t="s">
        <v>892</v>
      </c>
      <c r="G173" s="629" t="s">
        <v>77</v>
      </c>
      <c r="H173" s="705"/>
      <c r="I173" s="705"/>
      <c r="J173" s="652" t="s">
        <v>88</v>
      </c>
      <c r="K173" s="1207"/>
      <c r="L173" s="1208"/>
    </row>
    <row r="174" spans="2:12" x14ac:dyDescent="0.25">
      <c r="B174" s="47">
        <v>211.1</v>
      </c>
      <c r="C174" s="20" t="s">
        <v>9</v>
      </c>
      <c r="D174" s="742" t="str">
        <f>+P.Detall!E19</f>
        <v>REMOCION DE DERRUMBES</v>
      </c>
      <c r="E174" s="25"/>
      <c r="F174" s="22"/>
      <c r="G174" s="22"/>
      <c r="H174" s="655"/>
      <c r="I174" s="655"/>
      <c r="J174" s="654">
        <f>ROUND(E175*F175,0)</f>
        <v>4</v>
      </c>
      <c r="K174" s="1195"/>
      <c r="L174" s="1195"/>
    </row>
    <row r="175" spans="2:12" x14ac:dyDescent="0.25">
      <c r="B175" s="20"/>
      <c r="C175" s="20"/>
      <c r="D175" s="1148" t="str">
        <f>+D133</f>
        <v>EXCAVACION SIN CLASIFICAR DE LA EXPLANACIÓN Y CANALES</v>
      </c>
      <c r="E175" s="25">
        <f>+J147</f>
        <v>39</v>
      </c>
      <c r="F175" s="22">
        <v>0.1</v>
      </c>
      <c r="G175" s="22"/>
      <c r="H175" s="655"/>
      <c r="I175" s="655"/>
      <c r="J175" s="655"/>
      <c r="K175" s="1195"/>
      <c r="L175" s="1195"/>
    </row>
    <row r="176" spans="2:12" x14ac:dyDescent="0.25">
      <c r="B176" s="20"/>
      <c r="C176" s="20"/>
      <c r="D176" s="700"/>
      <c r="E176" s="25"/>
      <c r="F176" s="22"/>
      <c r="G176" s="22"/>
      <c r="H176" s="655"/>
      <c r="I176" s="655"/>
      <c r="J176" s="655"/>
      <c r="K176" s="1195"/>
      <c r="L176" s="1195"/>
    </row>
    <row r="177" spans="2:12" x14ac:dyDescent="0.25">
      <c r="B177" s="20"/>
      <c r="C177" s="20"/>
      <c r="D177" s="700"/>
      <c r="E177" s="25"/>
      <c r="F177" s="22"/>
      <c r="G177" s="22"/>
      <c r="H177" s="655"/>
      <c r="I177" s="655"/>
      <c r="J177" s="655"/>
      <c r="K177" s="1195"/>
      <c r="L177" s="1195"/>
    </row>
    <row r="178" spans="2:12" x14ac:dyDescent="0.25">
      <c r="B178" s="20"/>
      <c r="C178" s="20"/>
      <c r="D178" s="700"/>
      <c r="E178" s="25"/>
      <c r="F178" s="22"/>
      <c r="G178" s="22"/>
      <c r="H178" s="655"/>
      <c r="I178" s="655"/>
      <c r="J178" s="655"/>
      <c r="K178" s="1195"/>
      <c r="L178" s="1195"/>
    </row>
    <row r="179" spans="2:12" x14ac:dyDescent="0.25">
      <c r="B179" s="20"/>
      <c r="C179" s="20"/>
      <c r="D179" s="700"/>
      <c r="E179" s="25"/>
      <c r="F179" s="22"/>
      <c r="G179" s="22"/>
      <c r="H179" s="655"/>
      <c r="I179" s="655"/>
      <c r="J179" s="655"/>
      <c r="K179" s="1195"/>
      <c r="L179" s="1195"/>
    </row>
    <row r="180" spans="2:12" x14ac:dyDescent="0.25">
      <c r="B180" s="20"/>
      <c r="C180" s="20"/>
      <c r="D180" s="700"/>
      <c r="E180" s="25"/>
      <c r="F180" s="22"/>
      <c r="G180" s="22"/>
      <c r="H180" s="655"/>
      <c r="I180" s="655"/>
      <c r="J180" s="655"/>
      <c r="K180" s="1195"/>
      <c r="L180" s="1195"/>
    </row>
    <row r="181" spans="2:12" x14ac:dyDescent="0.25">
      <c r="B181" s="20"/>
      <c r="C181" s="20"/>
      <c r="D181" s="700"/>
      <c r="E181" s="25"/>
      <c r="F181" s="22"/>
      <c r="G181" s="22"/>
      <c r="H181" s="655"/>
      <c r="I181" s="655"/>
      <c r="J181" s="655"/>
      <c r="K181" s="1195"/>
      <c r="L181" s="1195"/>
    </row>
    <row r="182" spans="2:12" x14ac:dyDescent="0.25">
      <c r="B182" s="20"/>
      <c r="C182" s="20"/>
      <c r="D182" s="700"/>
      <c r="E182" s="25"/>
      <c r="F182" s="22"/>
      <c r="G182" s="22"/>
      <c r="H182" s="655"/>
      <c r="I182" s="655"/>
      <c r="J182" s="655"/>
      <c r="K182" s="1195"/>
      <c r="L182" s="1195"/>
    </row>
    <row r="183" spans="2:12" x14ac:dyDescent="0.25">
      <c r="B183" s="20"/>
      <c r="C183" s="20"/>
      <c r="D183" s="700"/>
      <c r="E183" s="25"/>
      <c r="F183" s="22"/>
      <c r="G183" s="22"/>
      <c r="H183" s="655"/>
      <c r="I183" s="655"/>
      <c r="J183" s="655"/>
      <c r="K183" s="1195"/>
      <c r="L183" s="1195"/>
    </row>
    <row r="184" spans="2:12" x14ac:dyDescent="0.25">
      <c r="B184" s="20"/>
      <c r="C184" s="20"/>
      <c r="D184" s="32"/>
      <c r="E184" s="22"/>
      <c r="F184" s="22"/>
      <c r="G184" s="22"/>
      <c r="H184" s="655"/>
      <c r="I184" s="655"/>
      <c r="J184" s="655"/>
      <c r="K184" s="1195"/>
      <c r="L184" s="1195"/>
    </row>
    <row r="185" spans="2:12" x14ac:dyDescent="0.25">
      <c r="B185" s="1196" t="s">
        <v>972</v>
      </c>
      <c r="C185" s="1197"/>
      <c r="D185" s="1197"/>
      <c r="E185" s="1197"/>
      <c r="F185" s="1198"/>
      <c r="G185" s="22"/>
      <c r="H185" s="655"/>
      <c r="I185" s="655"/>
      <c r="J185" s="655"/>
      <c r="K185" s="1195"/>
      <c r="L185" s="1195"/>
    </row>
    <row r="186" spans="2:12" x14ac:dyDescent="0.25">
      <c r="B186" s="1199"/>
      <c r="C186" s="1200"/>
      <c r="D186" s="1200"/>
      <c r="E186" s="1200"/>
      <c r="F186" s="1201"/>
      <c r="G186" s="22"/>
      <c r="H186" s="655"/>
      <c r="I186" s="655"/>
      <c r="J186" s="655"/>
      <c r="K186" s="1195"/>
      <c r="L186" s="1195"/>
    </row>
    <row r="187" spans="2:12" s="15" customFormat="1" x14ac:dyDescent="0.25">
      <c r="B187" s="1202"/>
      <c r="C187" s="1203"/>
      <c r="D187" s="1203"/>
      <c r="E187" s="1203"/>
      <c r="F187" s="1204"/>
      <c r="G187" s="783" t="s">
        <v>80</v>
      </c>
      <c r="H187" s="783"/>
      <c r="I187" s="783"/>
      <c r="J187" s="784">
        <f>ROUND(SUM(J174:J186),0)</f>
        <v>4</v>
      </c>
      <c r="K187" s="1195"/>
      <c r="L187" s="1195"/>
    </row>
    <row r="188" spans="2:12" s="15" customFormat="1" x14ac:dyDescent="0.25">
      <c r="B188" s="632"/>
      <c r="C188" s="632"/>
      <c r="D188" s="27"/>
      <c r="E188" s="1219"/>
      <c r="F188" s="1219"/>
      <c r="G188" s="1219"/>
      <c r="H188" s="704"/>
      <c r="I188" s="704"/>
      <c r="J188" s="29"/>
    </row>
    <row r="189" spans="2:12" s="15" customFormat="1" ht="15.75" x14ac:dyDescent="0.25">
      <c r="B189" s="632"/>
      <c r="C189" s="632"/>
      <c r="D189" s="27"/>
      <c r="E189" s="631"/>
      <c r="F189" s="631"/>
      <c r="H189" s="24"/>
      <c r="I189" s="24"/>
    </row>
    <row r="190" spans="2:12" ht="15.75" x14ac:dyDescent="0.25">
      <c r="D190" s="626"/>
      <c r="E190" s="1209" t="s">
        <v>78</v>
      </c>
      <c r="F190" s="1210"/>
      <c r="G190" s="1210"/>
      <c r="H190" s="1211"/>
      <c r="I190" s="782" t="s">
        <v>79</v>
      </c>
      <c r="J190" s="54" t="str">
        <f>+P.Detall!F20</f>
        <v>M3</v>
      </c>
      <c r="K190" s="1205" t="s">
        <v>971</v>
      </c>
      <c r="L190" s="1206"/>
    </row>
    <row r="191" spans="2:12" x14ac:dyDescent="0.25">
      <c r="B191" s="629" t="s">
        <v>2</v>
      </c>
      <c r="C191" s="629" t="s">
        <v>2</v>
      </c>
      <c r="D191" s="629" t="s">
        <v>4</v>
      </c>
      <c r="E191" s="1061" t="s">
        <v>75</v>
      </c>
      <c r="F191" s="1061" t="s">
        <v>76</v>
      </c>
      <c r="G191" s="1061" t="s">
        <v>1120</v>
      </c>
      <c r="H191" s="1060" t="s">
        <v>1119</v>
      </c>
      <c r="I191" s="1060" t="s">
        <v>1121</v>
      </c>
      <c r="J191" s="652" t="s">
        <v>88</v>
      </c>
      <c r="K191" s="1207"/>
      <c r="L191" s="1208"/>
    </row>
    <row r="192" spans="2:12" x14ac:dyDescent="0.25">
      <c r="B192" s="47">
        <v>220.1</v>
      </c>
      <c r="C192" s="20" t="s">
        <v>9</v>
      </c>
      <c r="D192" s="742" t="str">
        <f>+P.Detall!E20</f>
        <v>TERRAPLEN</v>
      </c>
      <c r="E192" s="25"/>
      <c r="F192" s="22"/>
      <c r="G192" s="22"/>
      <c r="H192" s="655"/>
      <c r="I192" s="655"/>
      <c r="J192" s="655"/>
      <c r="K192" s="1195"/>
      <c r="L192" s="1195"/>
    </row>
    <row r="193" spans="2:14" x14ac:dyDescent="0.25">
      <c r="B193" s="20"/>
      <c r="C193" s="20"/>
      <c r="D193" s="32" t="s">
        <v>1234</v>
      </c>
      <c r="E193" s="25">
        <v>220</v>
      </c>
      <c r="F193" s="22">
        <f>0.9*5</f>
        <v>4.5</v>
      </c>
      <c r="G193" s="22">
        <v>3.4000000000000002E-2</v>
      </c>
      <c r="H193" s="655">
        <f>+F193*G193</f>
        <v>0.15300000000000002</v>
      </c>
      <c r="I193" s="655">
        <f>+H193*E193</f>
        <v>33.660000000000004</v>
      </c>
      <c r="J193" s="654">
        <f>+I193</f>
        <v>33.660000000000004</v>
      </c>
      <c r="K193" s="1195"/>
      <c r="L193" s="1195"/>
    </row>
    <row r="194" spans="2:14" x14ac:dyDescent="0.25">
      <c r="B194" s="20"/>
      <c r="C194" s="20"/>
      <c r="D194" s="700"/>
      <c r="E194" s="25"/>
      <c r="F194" s="22"/>
      <c r="G194" s="22"/>
      <c r="H194" s="655"/>
      <c r="I194" s="655"/>
      <c r="J194" s="654"/>
      <c r="K194" s="1195"/>
      <c r="L194" s="1195"/>
    </row>
    <row r="195" spans="2:14" x14ac:dyDescent="0.25">
      <c r="B195" s="20"/>
      <c r="C195" s="20"/>
      <c r="D195" s="700"/>
      <c r="E195" s="25"/>
      <c r="F195" s="22"/>
      <c r="G195" s="22"/>
      <c r="H195" s="655"/>
      <c r="I195" s="655"/>
      <c r="J195" s="654"/>
      <c r="K195" s="1195"/>
      <c r="L195" s="1195"/>
    </row>
    <row r="196" spans="2:14" x14ac:dyDescent="0.25">
      <c r="B196" s="20"/>
      <c r="C196" s="20"/>
      <c r="D196" s="700"/>
      <c r="E196" s="25"/>
      <c r="F196" s="22"/>
      <c r="G196" s="22"/>
      <c r="H196" s="655"/>
      <c r="I196" s="655"/>
      <c r="J196" s="654"/>
      <c r="K196" s="1195"/>
      <c r="L196" s="1195"/>
    </row>
    <row r="197" spans="2:14" x14ac:dyDescent="0.25">
      <c r="B197" s="20"/>
      <c r="C197" s="20"/>
      <c r="D197" s="700"/>
      <c r="E197" s="25"/>
      <c r="F197" s="22"/>
      <c r="G197" s="22"/>
      <c r="H197" s="655"/>
      <c r="I197" s="655"/>
      <c r="J197" s="654"/>
      <c r="K197" s="1195"/>
      <c r="L197" s="1195"/>
    </row>
    <row r="198" spans="2:14" x14ac:dyDescent="0.25">
      <c r="B198" s="20"/>
      <c r="C198" s="20"/>
      <c r="D198" s="700"/>
      <c r="E198" s="25"/>
      <c r="F198" s="22"/>
      <c r="G198" s="22"/>
      <c r="H198" s="655"/>
      <c r="I198" s="655"/>
      <c r="J198" s="654"/>
      <c r="K198" s="1195"/>
      <c r="L198" s="1195"/>
    </row>
    <row r="199" spans="2:14" x14ac:dyDescent="0.25">
      <c r="B199" s="20"/>
      <c r="C199" s="20"/>
      <c r="D199" s="32"/>
      <c r="E199" s="22"/>
      <c r="F199" s="22"/>
      <c r="G199" s="22"/>
      <c r="H199" s="655"/>
      <c r="I199" s="655"/>
      <c r="J199" s="655"/>
      <c r="K199" s="1195"/>
      <c r="L199" s="1195"/>
    </row>
    <row r="200" spans="2:14" x14ac:dyDescent="0.25">
      <c r="B200" s="1196" t="s">
        <v>973</v>
      </c>
      <c r="C200" s="1197"/>
      <c r="D200" s="1197"/>
      <c r="E200" s="1197"/>
      <c r="F200" s="1198"/>
      <c r="G200" s="22"/>
      <c r="H200" s="655"/>
      <c r="I200" s="655"/>
      <c r="J200" s="655"/>
      <c r="K200" s="1195"/>
      <c r="L200" s="1195"/>
    </row>
    <row r="201" spans="2:14" x14ac:dyDescent="0.25">
      <c r="B201" s="1199"/>
      <c r="C201" s="1200"/>
      <c r="D201" s="1200"/>
      <c r="E201" s="1200"/>
      <c r="F201" s="1201"/>
      <c r="G201" s="22"/>
      <c r="H201" s="655"/>
      <c r="I201" s="655"/>
      <c r="J201" s="655"/>
      <c r="K201" s="1195"/>
      <c r="L201" s="1195"/>
    </row>
    <row r="202" spans="2:14" s="15" customFormat="1" x14ac:dyDescent="0.25">
      <c r="B202" s="1202"/>
      <c r="C202" s="1203"/>
      <c r="D202" s="1203"/>
      <c r="E202" s="1203"/>
      <c r="F202" s="1204"/>
      <c r="G202" s="783" t="s">
        <v>80</v>
      </c>
      <c r="H202" s="783"/>
      <c r="I202" s="783"/>
      <c r="J202" s="784">
        <f>ROUND(SUM(J192:J201),0)</f>
        <v>34</v>
      </c>
      <c r="K202" s="1195"/>
      <c r="L202" s="1195"/>
    </row>
    <row r="203" spans="2:14" s="15" customFormat="1" x14ac:dyDescent="0.25">
      <c r="B203" s="632"/>
      <c r="C203" s="632"/>
      <c r="D203" s="27"/>
      <c r="E203" s="27"/>
      <c r="F203" s="27"/>
      <c r="G203" s="27"/>
      <c r="H203" s="27"/>
      <c r="I203" s="27"/>
      <c r="J203" s="27"/>
    </row>
    <row r="204" spans="2:14" s="15" customFormat="1" ht="15.75" x14ac:dyDescent="0.25">
      <c r="B204" s="632"/>
      <c r="C204" s="632"/>
      <c r="D204" s="27"/>
      <c r="E204" s="27"/>
      <c r="F204" s="27"/>
      <c r="H204" s="24"/>
      <c r="I204" s="24"/>
    </row>
    <row r="205" spans="2:14" ht="15.75" x14ac:dyDescent="0.25">
      <c r="D205" s="626"/>
      <c r="E205" s="1209" t="s">
        <v>78</v>
      </c>
      <c r="F205" s="1210"/>
      <c r="G205" s="1210"/>
      <c r="H205" s="1211"/>
      <c r="I205" s="782" t="s">
        <v>79</v>
      </c>
      <c r="J205" s="54" t="str">
        <f>+P.Detall!F21</f>
        <v>M3</v>
      </c>
      <c r="K205" s="1205" t="s">
        <v>971</v>
      </c>
      <c r="L205" s="1206"/>
    </row>
    <row r="206" spans="2:14" ht="28.5" x14ac:dyDescent="0.25">
      <c r="B206" s="629" t="s">
        <v>2</v>
      </c>
      <c r="C206" s="629" t="s">
        <v>2</v>
      </c>
      <c r="D206" s="629" t="s">
        <v>4</v>
      </c>
      <c r="E206" s="737" t="s">
        <v>75</v>
      </c>
      <c r="F206" s="737" t="s">
        <v>953</v>
      </c>
      <c r="G206" s="737" t="s">
        <v>952</v>
      </c>
      <c r="H206" s="737" t="s">
        <v>891</v>
      </c>
      <c r="I206" s="737"/>
      <c r="J206" s="790" t="s">
        <v>88</v>
      </c>
      <c r="K206" s="1207"/>
      <c r="L206" s="1208"/>
    </row>
    <row r="207" spans="2:14" ht="29.25" customHeight="1" x14ac:dyDescent="0.25">
      <c r="B207" s="47">
        <v>230.1</v>
      </c>
      <c r="C207" s="20" t="s">
        <v>9</v>
      </c>
      <c r="D207" s="742" t="str">
        <f>+P.Detall!E21</f>
        <v xml:space="preserve">MEJORAMIENTO DE LA SUBRASANTE EMPLEANDO UNICAMENTE MATERIAL ADICIONADO </v>
      </c>
      <c r="E207" s="25"/>
      <c r="F207" s="22"/>
      <c r="G207" s="22"/>
      <c r="H207" s="22"/>
      <c r="I207" s="22"/>
      <c r="J207" s="655">
        <f>+H208</f>
        <v>66</v>
      </c>
      <c r="K207" s="1195"/>
      <c r="L207" s="1195"/>
      <c r="N207">
        <v>339</v>
      </c>
    </row>
    <row r="208" spans="2:14" x14ac:dyDescent="0.25">
      <c r="B208" s="20"/>
      <c r="C208" s="20"/>
      <c r="D208" s="32" t="s">
        <v>895</v>
      </c>
      <c r="E208" s="25">
        <f>+E193</f>
        <v>220</v>
      </c>
      <c r="F208" s="20">
        <v>0.2</v>
      </c>
      <c r="G208" s="22"/>
      <c r="H208" s="22">
        <f>+E208*F208*G211</f>
        <v>66</v>
      </c>
      <c r="I208" s="22"/>
      <c r="J208" s="655"/>
      <c r="K208" s="1195"/>
      <c r="L208" s="1195"/>
    </row>
    <row r="209" spans="2:12" x14ac:dyDescent="0.25">
      <c r="B209" s="20"/>
      <c r="C209" s="20"/>
      <c r="D209" s="32" t="s">
        <v>893</v>
      </c>
      <c r="E209" s="25"/>
      <c r="F209" s="22"/>
      <c r="G209" s="21">
        <v>0.75</v>
      </c>
      <c r="H209" s="21"/>
      <c r="I209" s="21"/>
      <c r="J209" s="655"/>
      <c r="K209" s="1195"/>
      <c r="L209" s="1195"/>
    </row>
    <row r="210" spans="2:12" x14ac:dyDescent="0.25">
      <c r="B210" s="20"/>
      <c r="C210" s="20"/>
      <c r="D210" s="32" t="s">
        <v>894</v>
      </c>
      <c r="E210" s="22"/>
      <c r="F210" s="22"/>
      <c r="G210" s="21">
        <f>+G209</f>
        <v>0.75</v>
      </c>
      <c r="H210" s="21"/>
      <c r="I210" s="21"/>
      <c r="J210" s="655"/>
      <c r="K210" s="1195"/>
      <c r="L210" s="1195"/>
    </row>
    <row r="211" spans="2:12" x14ac:dyDescent="0.25">
      <c r="B211" s="20"/>
      <c r="C211" s="20"/>
      <c r="D211" s="21"/>
      <c r="E211" s="25"/>
      <c r="F211" s="20"/>
      <c r="G211" s="20">
        <f>SUM(G209:G210)</f>
        <v>1.5</v>
      </c>
      <c r="H211" s="20"/>
      <c r="I211" s="20"/>
      <c r="J211" s="655"/>
      <c r="K211" s="1195"/>
      <c r="L211" s="1195"/>
    </row>
    <row r="212" spans="2:12" x14ac:dyDescent="0.25">
      <c r="B212" s="20"/>
      <c r="C212" s="20"/>
      <c r="D212" s="742"/>
      <c r="E212" s="25"/>
      <c r="F212" s="20"/>
      <c r="G212" s="20"/>
      <c r="H212" s="785"/>
      <c r="I212" s="785"/>
      <c r="J212" s="655"/>
      <c r="K212" s="1195"/>
      <c r="L212" s="1195"/>
    </row>
    <row r="213" spans="2:12" x14ac:dyDescent="0.25">
      <c r="B213" s="20"/>
      <c r="C213" s="20"/>
      <c r="D213" s="742"/>
      <c r="E213" s="25"/>
      <c r="F213" s="20"/>
      <c r="G213" s="20"/>
      <c r="H213" s="785"/>
      <c r="I213" s="785"/>
      <c r="J213" s="655"/>
      <c r="K213" s="1195"/>
      <c r="L213" s="1195"/>
    </row>
    <row r="214" spans="2:12" x14ac:dyDescent="0.25">
      <c r="B214" s="20"/>
      <c r="C214" s="20"/>
      <c r="D214" s="742"/>
      <c r="E214" s="25"/>
      <c r="F214" s="20"/>
      <c r="G214" s="20"/>
      <c r="H214" s="785"/>
      <c r="I214" s="785"/>
      <c r="J214" s="655"/>
      <c r="K214" s="1195"/>
      <c r="L214" s="1195"/>
    </row>
    <row r="215" spans="2:12" ht="15" customHeight="1" x14ac:dyDescent="0.25">
      <c r="B215" s="1196" t="s">
        <v>972</v>
      </c>
      <c r="C215" s="1197"/>
      <c r="D215" s="1197"/>
      <c r="E215" s="1197"/>
      <c r="F215" s="1198"/>
      <c r="G215" s="20"/>
      <c r="H215" s="785"/>
      <c r="I215" s="785"/>
      <c r="J215" s="655"/>
      <c r="K215" s="1195"/>
      <c r="L215" s="1195"/>
    </row>
    <row r="216" spans="2:12" x14ac:dyDescent="0.25">
      <c r="B216" s="1199"/>
      <c r="C216" s="1200"/>
      <c r="D216" s="1200"/>
      <c r="E216" s="1200"/>
      <c r="F216" s="1201"/>
      <c r="G216" s="20"/>
      <c r="H216" s="785"/>
      <c r="I216" s="785"/>
      <c r="J216" s="655"/>
      <c r="K216" s="1195"/>
      <c r="L216" s="1195"/>
    </row>
    <row r="217" spans="2:12" s="15" customFormat="1" x14ac:dyDescent="0.25">
      <c r="B217" s="1202"/>
      <c r="C217" s="1203"/>
      <c r="D217" s="1203"/>
      <c r="E217" s="1203"/>
      <c r="F217" s="1204"/>
      <c r="G217" s="783" t="s">
        <v>80</v>
      </c>
      <c r="H217" s="783"/>
      <c r="I217" s="783"/>
      <c r="J217" s="792">
        <f>ROUND(SUM(J207:J211),0)</f>
        <v>66</v>
      </c>
      <c r="K217" s="1195"/>
      <c r="L217" s="1195"/>
    </row>
    <row r="218" spans="2:12" s="15" customFormat="1" x14ac:dyDescent="0.25">
      <c r="B218" s="632"/>
      <c r="C218" s="632"/>
      <c r="D218" s="27"/>
      <c r="E218" s="27"/>
      <c r="F218" s="27"/>
      <c r="G218" s="27"/>
      <c r="H218" s="27"/>
      <c r="I218" s="27"/>
      <c r="J218" s="27"/>
    </row>
    <row r="219" spans="2:12" s="15" customFormat="1" ht="15.75" x14ac:dyDescent="0.25">
      <c r="B219" s="632"/>
      <c r="C219" s="632"/>
      <c r="D219" s="27"/>
      <c r="E219" s="27"/>
      <c r="F219" s="27"/>
      <c r="H219" s="24"/>
      <c r="I219" s="24"/>
    </row>
    <row r="220" spans="2:12" ht="15.75" x14ac:dyDescent="0.25">
      <c r="D220" s="626"/>
      <c r="E220" s="1209" t="s">
        <v>78</v>
      </c>
      <c r="F220" s="1210"/>
      <c r="G220" s="1210"/>
      <c r="H220" s="1211"/>
      <c r="I220" s="782" t="s">
        <v>79</v>
      </c>
      <c r="J220" s="54" t="str">
        <f>+P.Detall!F22</f>
        <v>M2</v>
      </c>
      <c r="K220" s="1205" t="s">
        <v>971</v>
      </c>
      <c r="L220" s="1206"/>
    </row>
    <row r="221" spans="2:12" ht="28.5" x14ac:dyDescent="0.25">
      <c r="B221" s="629" t="s">
        <v>2</v>
      </c>
      <c r="C221" s="629" t="s">
        <v>2</v>
      </c>
      <c r="D221" s="629" t="s">
        <v>4</v>
      </c>
      <c r="E221" s="629" t="s">
        <v>75</v>
      </c>
      <c r="F221" s="703" t="s">
        <v>896</v>
      </c>
      <c r="G221" s="629" t="s">
        <v>77</v>
      </c>
      <c r="H221" s="705"/>
      <c r="I221" s="705"/>
      <c r="J221" s="652" t="s">
        <v>88</v>
      </c>
      <c r="K221" s="1207"/>
      <c r="L221" s="1208"/>
    </row>
    <row r="222" spans="2:12" ht="25.5" x14ac:dyDescent="0.25">
      <c r="B222" s="47">
        <v>310.10000000000002</v>
      </c>
      <c r="C222" s="20" t="s">
        <v>9</v>
      </c>
      <c r="D222" s="742" t="str">
        <f>+P.Detall!E22</f>
        <v>CONFORMACIÓN DE LA CALZADA EXISTENTE CON ADICIÓN DE MATERIAL</v>
      </c>
      <c r="E222" s="25">
        <f>+E36</f>
        <v>200</v>
      </c>
      <c r="F222" s="22">
        <f>+F193</f>
        <v>4.5</v>
      </c>
      <c r="G222" s="22"/>
      <c r="H222" s="655"/>
      <c r="I222" s="655"/>
      <c r="J222" s="654">
        <f>ROUND(F222*E222,0)</f>
        <v>900</v>
      </c>
      <c r="K222" s="1218" t="s">
        <v>1247</v>
      </c>
      <c r="L222" s="1218"/>
    </row>
    <row r="223" spans="2:12" ht="25.5" x14ac:dyDescent="0.25">
      <c r="B223" s="20"/>
      <c r="C223" s="20"/>
      <c r="D223" s="32" t="s">
        <v>1235</v>
      </c>
      <c r="E223" s="25"/>
      <c r="F223" s="22"/>
      <c r="G223" s="22"/>
      <c r="H223" s="655"/>
      <c r="I223" s="655"/>
      <c r="J223" s="654"/>
      <c r="K223" s="1218"/>
      <c r="L223" s="1218"/>
    </row>
    <row r="224" spans="2:12" x14ac:dyDescent="0.25">
      <c r="B224" s="20"/>
      <c r="C224" s="20"/>
      <c r="D224" s="700"/>
      <c r="E224" s="25"/>
      <c r="F224" s="22"/>
      <c r="G224" s="22"/>
      <c r="H224" s="655"/>
      <c r="I224" s="655"/>
      <c r="J224" s="654"/>
      <c r="K224" s="1218"/>
      <c r="L224" s="1218"/>
    </row>
    <row r="225" spans="2:12" x14ac:dyDescent="0.25">
      <c r="B225" s="20"/>
      <c r="C225" s="20"/>
      <c r="D225" s="700"/>
      <c r="E225" s="25"/>
      <c r="F225" s="22"/>
      <c r="G225" s="22"/>
      <c r="H225" s="655"/>
      <c r="I225" s="655"/>
      <c r="J225" s="654"/>
      <c r="K225" s="1218"/>
      <c r="L225" s="1218"/>
    </row>
    <row r="226" spans="2:12" x14ac:dyDescent="0.25">
      <c r="B226" s="20"/>
      <c r="C226" s="20"/>
      <c r="D226" s="700"/>
      <c r="E226" s="25"/>
      <c r="F226" s="22"/>
      <c r="G226" s="22"/>
      <c r="H226" s="655"/>
      <c r="I226" s="655"/>
      <c r="J226" s="654"/>
      <c r="K226" s="1218"/>
      <c r="L226" s="1218"/>
    </row>
    <row r="227" spans="2:12" x14ac:dyDescent="0.25">
      <c r="B227" s="20"/>
      <c r="C227" s="20"/>
      <c r="D227" s="700"/>
      <c r="E227" s="25"/>
      <c r="F227" s="22"/>
      <c r="G227" s="22"/>
      <c r="H227" s="655"/>
      <c r="I227" s="655"/>
      <c r="J227" s="654"/>
      <c r="K227" s="1218"/>
      <c r="L227" s="1218"/>
    </row>
    <row r="228" spans="2:12" x14ac:dyDescent="0.25">
      <c r="B228" s="20"/>
      <c r="C228" s="20"/>
      <c r="D228" s="700"/>
      <c r="E228" s="25"/>
      <c r="F228" s="22"/>
      <c r="G228" s="22"/>
      <c r="H228" s="655"/>
      <c r="I228" s="655"/>
      <c r="J228" s="654"/>
      <c r="K228" s="1218"/>
      <c r="L228" s="1218"/>
    </row>
    <row r="229" spans="2:12" x14ac:dyDescent="0.25">
      <c r="B229" s="20"/>
      <c r="C229" s="20"/>
      <c r="D229" s="700"/>
      <c r="E229" s="25"/>
      <c r="F229" s="22"/>
      <c r="G229" s="22"/>
      <c r="H229" s="655"/>
      <c r="I229" s="655"/>
      <c r="J229" s="654"/>
      <c r="K229" s="1218"/>
      <c r="L229" s="1218"/>
    </row>
    <row r="230" spans="2:12" x14ac:dyDescent="0.25">
      <c r="B230" s="20"/>
      <c r="C230" s="20"/>
      <c r="D230" s="700"/>
      <c r="E230" s="25"/>
      <c r="F230" s="22"/>
      <c r="G230" s="22"/>
      <c r="H230" s="655"/>
      <c r="I230" s="655"/>
      <c r="J230" s="654"/>
      <c r="K230" s="1218"/>
      <c r="L230" s="1218"/>
    </row>
    <row r="231" spans="2:12" x14ac:dyDescent="0.25">
      <c r="B231" s="20"/>
      <c r="C231" s="20"/>
      <c r="D231" s="700"/>
      <c r="E231" s="25"/>
      <c r="F231" s="22"/>
      <c r="G231" s="22"/>
      <c r="H231" s="655"/>
      <c r="I231" s="655"/>
      <c r="J231" s="654"/>
      <c r="K231" s="1218"/>
      <c r="L231" s="1218"/>
    </row>
    <row r="232" spans="2:12" x14ac:dyDescent="0.25">
      <c r="B232" s="20"/>
      <c r="C232" s="20"/>
      <c r="D232" s="700"/>
      <c r="E232" s="25"/>
      <c r="F232" s="22"/>
      <c r="G232" s="22"/>
      <c r="H232" s="655"/>
      <c r="I232" s="655"/>
      <c r="J232" s="654"/>
      <c r="K232" s="1218"/>
      <c r="L232" s="1218"/>
    </row>
    <row r="233" spans="2:12" x14ac:dyDescent="0.25">
      <c r="B233" s="20"/>
      <c r="C233" s="20"/>
      <c r="D233" s="700"/>
      <c r="E233" s="25"/>
      <c r="F233" s="22"/>
      <c r="G233" s="22"/>
      <c r="H233" s="655"/>
      <c r="I233" s="655"/>
      <c r="J233" s="654"/>
      <c r="K233" s="1218"/>
      <c r="L233" s="1218"/>
    </row>
    <row r="234" spans="2:12" x14ac:dyDescent="0.25">
      <c r="B234" s="20"/>
      <c r="C234" s="20"/>
      <c r="D234" s="700"/>
      <c r="E234" s="25"/>
      <c r="F234" s="22"/>
      <c r="G234" s="22"/>
      <c r="H234" s="655"/>
      <c r="I234" s="655"/>
      <c r="J234" s="654"/>
      <c r="K234" s="1218"/>
      <c r="L234" s="1218"/>
    </row>
    <row r="235" spans="2:12" x14ac:dyDescent="0.25">
      <c r="B235" s="20"/>
      <c r="C235" s="20"/>
      <c r="D235" s="700"/>
      <c r="E235" s="25"/>
      <c r="F235" s="22"/>
      <c r="G235" s="22"/>
      <c r="H235" s="655"/>
      <c r="I235" s="655"/>
      <c r="J235" s="654"/>
      <c r="K235" s="1218"/>
      <c r="L235" s="1218"/>
    </row>
    <row r="236" spans="2:12" x14ac:dyDescent="0.25">
      <c r="B236" s="20"/>
      <c r="C236" s="20"/>
      <c r="D236" s="700"/>
      <c r="E236" s="25"/>
      <c r="F236" s="22"/>
      <c r="G236" s="22"/>
      <c r="H236" s="655"/>
      <c r="I236" s="655"/>
      <c r="J236" s="654"/>
      <c r="K236" s="1218"/>
      <c r="L236" s="1218"/>
    </row>
    <row r="237" spans="2:12" x14ac:dyDescent="0.25">
      <c r="B237" s="1196" t="s">
        <v>972</v>
      </c>
      <c r="C237" s="1197"/>
      <c r="D237" s="1197"/>
      <c r="E237" s="1197"/>
      <c r="F237" s="1198"/>
      <c r="G237" s="22"/>
      <c r="H237" s="655"/>
      <c r="I237" s="655"/>
      <c r="J237" s="654"/>
      <c r="K237" s="1218"/>
      <c r="L237" s="1218"/>
    </row>
    <row r="238" spans="2:12" x14ac:dyDescent="0.25">
      <c r="B238" s="1199"/>
      <c r="C238" s="1200"/>
      <c r="D238" s="1200"/>
      <c r="E238" s="1200"/>
      <c r="F238" s="1201"/>
      <c r="G238" s="22"/>
      <c r="H238" s="655"/>
      <c r="I238" s="655"/>
      <c r="J238" s="654"/>
      <c r="K238" s="1218"/>
      <c r="L238" s="1218"/>
    </row>
    <row r="239" spans="2:12" s="15" customFormat="1" x14ac:dyDescent="0.25">
      <c r="B239" s="1202"/>
      <c r="C239" s="1203"/>
      <c r="D239" s="1203"/>
      <c r="E239" s="1203"/>
      <c r="F239" s="1204"/>
      <c r="G239" s="783" t="s">
        <v>80</v>
      </c>
      <c r="H239" s="783"/>
      <c r="I239" s="783"/>
      <c r="J239" s="792">
        <f>ROUND(SUM(J222:J238),0)</f>
        <v>900</v>
      </c>
      <c r="K239" s="1218"/>
      <c r="L239" s="1218"/>
    </row>
    <row r="240" spans="2:12" s="15" customFormat="1" x14ac:dyDescent="0.25">
      <c r="B240" s="16"/>
      <c r="C240" s="16"/>
      <c r="D240" s="19"/>
      <c r="E240" s="26"/>
      <c r="F240" s="18"/>
      <c r="G240" s="55"/>
      <c r="H240" s="55"/>
      <c r="I240" s="55"/>
      <c r="J240" s="549"/>
    </row>
    <row r="241" spans="2:12" s="15" customFormat="1" x14ac:dyDescent="0.25">
      <c r="B241" s="16"/>
      <c r="C241" s="16"/>
      <c r="D241" s="19"/>
      <c r="E241" s="26"/>
      <c r="F241" s="18"/>
      <c r="G241" s="55"/>
      <c r="H241" s="55"/>
      <c r="I241" s="55"/>
      <c r="J241" s="549"/>
    </row>
    <row r="242" spans="2:12" ht="15.75" x14ac:dyDescent="0.25">
      <c r="D242" s="31" t="s">
        <v>96</v>
      </c>
    </row>
    <row r="243" spans="2:12" s="15" customFormat="1" ht="15.75" x14ac:dyDescent="0.25">
      <c r="B243" s="632"/>
      <c r="C243" s="632"/>
      <c r="D243" s="27"/>
      <c r="E243" s="27"/>
      <c r="F243" s="27"/>
      <c r="H243" s="24"/>
      <c r="I243" s="24"/>
    </row>
    <row r="244" spans="2:12" ht="15.75" x14ac:dyDescent="0.25">
      <c r="D244" s="626"/>
      <c r="E244" s="1209" t="s">
        <v>78</v>
      </c>
      <c r="F244" s="1210"/>
      <c r="G244" s="1210"/>
      <c r="H244" s="1211"/>
      <c r="I244" s="782" t="s">
        <v>79</v>
      </c>
      <c r="J244" s="54" t="str">
        <f>+P.Detall!F27</f>
        <v>M3</v>
      </c>
      <c r="K244" s="1205" t="s">
        <v>971</v>
      </c>
      <c r="L244" s="1206"/>
    </row>
    <row r="245" spans="2:12" ht="28.5" x14ac:dyDescent="0.25">
      <c r="B245" s="629" t="s">
        <v>2</v>
      </c>
      <c r="C245" s="629" t="s">
        <v>2</v>
      </c>
      <c r="D245" s="629" t="s">
        <v>4</v>
      </c>
      <c r="E245" s="629" t="s">
        <v>75</v>
      </c>
      <c r="F245" s="1055" t="s">
        <v>76</v>
      </c>
      <c r="G245" s="1055" t="s">
        <v>1112</v>
      </c>
      <c r="H245" s="1054" t="s">
        <v>947</v>
      </c>
      <c r="I245" s="1054" t="s">
        <v>1111</v>
      </c>
      <c r="J245" s="652" t="s">
        <v>88</v>
      </c>
      <c r="K245" s="1207"/>
      <c r="L245" s="1208"/>
    </row>
    <row r="246" spans="2:12" x14ac:dyDescent="0.25">
      <c r="B246" s="47">
        <v>311.10000000000002</v>
      </c>
      <c r="C246" s="20" t="s">
        <v>9</v>
      </c>
      <c r="D246" s="742" t="s">
        <v>1236</v>
      </c>
      <c r="E246" s="25">
        <f>+E222</f>
        <v>200</v>
      </c>
      <c r="F246" s="22">
        <f>+F222</f>
        <v>4.5</v>
      </c>
      <c r="G246" s="1058">
        <v>0.15</v>
      </c>
      <c r="H246" s="1059">
        <f>+F246*G246</f>
        <v>0.67499999999999993</v>
      </c>
      <c r="I246" s="655">
        <f>+H246*E246</f>
        <v>135</v>
      </c>
      <c r="J246" s="654">
        <f>+I246</f>
        <v>135</v>
      </c>
      <c r="K246" s="1195"/>
      <c r="L246" s="1195"/>
    </row>
    <row r="247" spans="2:12" x14ac:dyDescent="0.25">
      <c r="B247" s="20"/>
      <c r="C247" s="20"/>
      <c r="D247" s="700" t="s">
        <v>1113</v>
      </c>
      <c r="E247" s="25"/>
      <c r="F247" s="22"/>
      <c r="G247" s="22"/>
      <c r="H247" s="655"/>
      <c r="I247" s="655"/>
      <c r="J247" s="654"/>
      <c r="K247" s="1195"/>
      <c r="L247" s="1195"/>
    </row>
    <row r="248" spans="2:12" x14ac:dyDescent="0.25">
      <c r="B248" s="20"/>
      <c r="C248" s="20"/>
      <c r="D248" s="700"/>
      <c r="E248" s="25"/>
      <c r="F248" s="22"/>
      <c r="G248" s="22"/>
      <c r="H248" s="655"/>
      <c r="I248" s="655"/>
      <c r="J248" s="654"/>
      <c r="K248" s="1195"/>
      <c r="L248" s="1195"/>
    </row>
    <row r="249" spans="2:12" x14ac:dyDescent="0.25">
      <c r="B249" s="20"/>
      <c r="C249" s="20"/>
      <c r="D249" s="700"/>
      <c r="E249" s="25"/>
      <c r="F249" s="22"/>
      <c r="G249" s="22"/>
      <c r="H249" s="655"/>
      <c r="I249" s="655"/>
      <c r="J249" s="654"/>
      <c r="K249" s="1195"/>
      <c r="L249" s="1195"/>
    </row>
    <row r="250" spans="2:12" x14ac:dyDescent="0.25">
      <c r="B250" s="20"/>
      <c r="C250" s="20"/>
      <c r="D250" s="700"/>
      <c r="E250" s="25"/>
      <c r="F250" s="22"/>
      <c r="G250" s="22"/>
      <c r="H250" s="655"/>
      <c r="I250" s="655"/>
      <c r="J250" s="654"/>
      <c r="K250" s="1195"/>
      <c r="L250" s="1195"/>
    </row>
    <row r="251" spans="2:12" x14ac:dyDescent="0.25">
      <c r="B251" s="20"/>
      <c r="C251" s="20"/>
      <c r="D251" s="700"/>
      <c r="E251" s="25"/>
      <c r="F251" s="22"/>
      <c r="G251" s="22"/>
      <c r="H251" s="655"/>
      <c r="I251" s="655"/>
      <c r="J251" s="654"/>
      <c r="K251" s="1195"/>
      <c r="L251" s="1195"/>
    </row>
    <row r="252" spans="2:12" x14ac:dyDescent="0.25">
      <c r="B252" s="20"/>
      <c r="C252" s="20"/>
      <c r="D252" s="700"/>
      <c r="E252" s="25"/>
      <c r="F252" s="22"/>
      <c r="G252" s="22"/>
      <c r="H252" s="655"/>
      <c r="I252" s="655"/>
      <c r="J252" s="654"/>
      <c r="K252" s="1195"/>
      <c r="L252" s="1195"/>
    </row>
    <row r="253" spans="2:12" x14ac:dyDescent="0.25">
      <c r="B253" s="20"/>
      <c r="C253" s="20"/>
      <c r="D253" s="32"/>
      <c r="E253" s="22"/>
      <c r="F253" s="22"/>
      <c r="G253" s="22"/>
      <c r="H253" s="655"/>
      <c r="I253" s="655"/>
      <c r="J253" s="654"/>
      <c r="K253" s="1195"/>
      <c r="L253" s="1195"/>
    </row>
    <row r="254" spans="2:12" x14ac:dyDescent="0.25">
      <c r="B254" s="1196" t="s">
        <v>972</v>
      </c>
      <c r="C254" s="1197"/>
      <c r="D254" s="1197"/>
      <c r="E254" s="1197"/>
      <c r="F254" s="1198"/>
      <c r="G254" s="22"/>
      <c r="H254" s="655"/>
      <c r="I254" s="655"/>
      <c r="J254" s="654"/>
      <c r="K254" s="1195"/>
      <c r="L254" s="1195"/>
    </row>
    <row r="255" spans="2:12" x14ac:dyDescent="0.25">
      <c r="B255" s="1199"/>
      <c r="C255" s="1200"/>
      <c r="D255" s="1200"/>
      <c r="E255" s="1200"/>
      <c r="F255" s="1201"/>
      <c r="G255" s="22"/>
      <c r="H255" s="655"/>
      <c r="I255" s="655"/>
      <c r="J255" s="654"/>
      <c r="K255" s="1195"/>
      <c r="L255" s="1195"/>
    </row>
    <row r="256" spans="2:12" s="15" customFormat="1" x14ac:dyDescent="0.25">
      <c r="B256" s="1202"/>
      <c r="C256" s="1203"/>
      <c r="D256" s="1203"/>
      <c r="E256" s="1203"/>
      <c r="F256" s="1204"/>
      <c r="G256" s="783" t="s">
        <v>80</v>
      </c>
      <c r="H256" s="783"/>
      <c r="I256" s="783"/>
      <c r="J256" s="792">
        <f>ROUND(SUM(J246:J255),0)</f>
        <v>135</v>
      </c>
      <c r="K256" s="1195"/>
      <c r="L256" s="1195"/>
    </row>
    <row r="258" spans="2:12" s="15" customFormat="1" ht="15.75" x14ac:dyDescent="0.25">
      <c r="B258" s="632"/>
      <c r="C258" s="632"/>
      <c r="D258" s="27"/>
      <c r="E258" s="27"/>
      <c r="F258" s="27"/>
      <c r="H258" s="24"/>
      <c r="I258" s="24"/>
    </row>
    <row r="259" spans="2:12" ht="15.75" x14ac:dyDescent="0.25">
      <c r="D259" s="626"/>
      <c r="E259" s="1209" t="s">
        <v>78</v>
      </c>
      <c r="F259" s="1210"/>
      <c r="G259" s="1210"/>
      <c r="H259" s="1211"/>
      <c r="I259" s="782" t="s">
        <v>79</v>
      </c>
      <c r="J259" s="54" t="str">
        <f>+P.Detall!F28</f>
        <v>M3</v>
      </c>
      <c r="K259" s="1205" t="s">
        <v>971</v>
      </c>
      <c r="L259" s="1206"/>
    </row>
    <row r="260" spans="2:12" ht="28.5" x14ac:dyDescent="0.25">
      <c r="B260" s="629" t="s">
        <v>2</v>
      </c>
      <c r="C260" s="629" t="s">
        <v>2</v>
      </c>
      <c r="D260" s="629" t="s">
        <v>4</v>
      </c>
      <c r="E260" s="629" t="s">
        <v>75</v>
      </c>
      <c r="F260" s="1055" t="s">
        <v>76</v>
      </c>
      <c r="G260" s="1055" t="s">
        <v>1112</v>
      </c>
      <c r="H260" s="1054" t="s">
        <v>947</v>
      </c>
      <c r="I260" s="1054" t="s">
        <v>1111</v>
      </c>
      <c r="J260" s="652" t="s">
        <v>88</v>
      </c>
      <c r="K260" s="1207"/>
      <c r="L260" s="1208"/>
    </row>
    <row r="261" spans="2:12" x14ac:dyDescent="0.25">
      <c r="B261" s="47">
        <v>320.10000000000002</v>
      </c>
      <c r="C261" s="20" t="s">
        <v>9</v>
      </c>
      <c r="D261" s="742" t="s">
        <v>26</v>
      </c>
      <c r="E261" s="25">
        <f>+E246</f>
        <v>200</v>
      </c>
      <c r="F261" s="22">
        <f>+F246</f>
        <v>4.5</v>
      </c>
      <c r="G261" s="656">
        <v>0.2</v>
      </c>
      <c r="H261" s="1059">
        <f>+F261*G261</f>
        <v>0.9</v>
      </c>
      <c r="I261" s="655">
        <f>+H261*E261</f>
        <v>180</v>
      </c>
      <c r="J261" s="655">
        <f>+I261</f>
        <v>180</v>
      </c>
      <c r="K261" s="1195"/>
      <c r="L261" s="1195"/>
    </row>
    <row r="262" spans="2:12" x14ac:dyDescent="0.25">
      <c r="B262" s="20"/>
      <c r="C262" s="20"/>
      <c r="D262" s="700" t="s">
        <v>1114</v>
      </c>
      <c r="E262" s="25"/>
      <c r="F262" s="22"/>
      <c r="G262" s="22"/>
      <c r="H262" s="655"/>
      <c r="I262" s="655"/>
      <c r="J262" s="654"/>
      <c r="K262" s="1195"/>
      <c r="L262" s="1195"/>
    </row>
    <row r="263" spans="2:12" x14ac:dyDescent="0.25">
      <c r="B263" s="20"/>
      <c r="C263" s="20"/>
      <c r="D263" s="700"/>
      <c r="E263" s="25"/>
      <c r="F263" s="22"/>
      <c r="G263" s="22"/>
      <c r="H263" s="655"/>
      <c r="I263" s="655"/>
      <c r="J263" s="654"/>
      <c r="K263" s="1195"/>
      <c r="L263" s="1195"/>
    </row>
    <row r="264" spans="2:12" x14ac:dyDescent="0.25">
      <c r="B264" s="20"/>
      <c r="C264" s="20"/>
      <c r="D264" s="700"/>
      <c r="E264" s="25"/>
      <c r="F264" s="22"/>
      <c r="G264" s="22"/>
      <c r="H264" s="655"/>
      <c r="I264" s="655"/>
      <c r="J264" s="654"/>
      <c r="K264" s="1195"/>
      <c r="L264" s="1195"/>
    </row>
    <row r="265" spans="2:12" x14ac:dyDescent="0.25">
      <c r="B265" s="20"/>
      <c r="C265" s="20"/>
      <c r="D265" s="700"/>
      <c r="E265" s="25"/>
      <c r="F265" s="22"/>
      <c r="G265" s="22"/>
      <c r="H265" s="655"/>
      <c r="I265" s="655"/>
      <c r="J265" s="654"/>
      <c r="K265" s="1195"/>
      <c r="L265" s="1195"/>
    </row>
    <row r="266" spans="2:12" x14ac:dyDescent="0.25">
      <c r="B266" s="20"/>
      <c r="C266" s="20"/>
      <c r="D266" s="700"/>
      <c r="E266" s="25"/>
      <c r="F266" s="22"/>
      <c r="G266" s="22"/>
      <c r="H266" s="655"/>
      <c r="I266" s="655"/>
      <c r="J266" s="654"/>
      <c r="K266" s="1195"/>
      <c r="L266" s="1195"/>
    </row>
    <row r="267" spans="2:12" x14ac:dyDescent="0.25">
      <c r="B267" s="20"/>
      <c r="C267" s="20"/>
      <c r="D267" s="32"/>
      <c r="E267" s="22"/>
      <c r="F267" s="22"/>
      <c r="G267" s="22"/>
      <c r="H267" s="655"/>
      <c r="I267" s="655"/>
      <c r="J267" s="654"/>
      <c r="K267" s="1195"/>
      <c r="L267" s="1195"/>
    </row>
    <row r="268" spans="2:12" x14ac:dyDescent="0.25">
      <c r="B268" s="1196" t="s">
        <v>972</v>
      </c>
      <c r="C268" s="1197"/>
      <c r="D268" s="1197"/>
      <c r="E268" s="1197"/>
      <c r="F268" s="1198"/>
      <c r="G268" s="22"/>
      <c r="H268" s="655"/>
      <c r="I268" s="655"/>
      <c r="J268" s="654"/>
      <c r="K268" s="1195"/>
      <c r="L268" s="1195"/>
    </row>
    <row r="269" spans="2:12" x14ac:dyDescent="0.25">
      <c r="B269" s="1199"/>
      <c r="C269" s="1200"/>
      <c r="D269" s="1200"/>
      <c r="E269" s="1200"/>
      <c r="F269" s="1201"/>
      <c r="G269" s="22"/>
      <c r="H269" s="655"/>
      <c r="I269" s="655"/>
      <c r="J269" s="654"/>
      <c r="K269" s="1195"/>
      <c r="L269" s="1195"/>
    </row>
    <row r="270" spans="2:12" s="15" customFormat="1" x14ac:dyDescent="0.25">
      <c r="B270" s="1202"/>
      <c r="C270" s="1203"/>
      <c r="D270" s="1203"/>
      <c r="E270" s="1203"/>
      <c r="F270" s="1204"/>
      <c r="G270" s="783" t="s">
        <v>80</v>
      </c>
      <c r="H270" s="783"/>
      <c r="I270" s="783"/>
      <c r="J270" s="792">
        <f>ROUND(SUM(J261:J269),0)</f>
        <v>180</v>
      </c>
      <c r="K270" s="1195"/>
      <c r="L270" s="1195"/>
    </row>
    <row r="272" spans="2:12" ht="15.75" x14ac:dyDescent="0.25">
      <c r="D272" s="31" t="s">
        <v>100</v>
      </c>
    </row>
    <row r="273" spans="2:12" s="15" customFormat="1" ht="15.75" x14ac:dyDescent="0.25">
      <c r="B273" s="632"/>
      <c r="C273" s="632"/>
      <c r="D273" s="27"/>
      <c r="E273" s="27"/>
      <c r="F273" s="27"/>
      <c r="H273" s="24"/>
      <c r="I273" s="24"/>
    </row>
    <row r="274" spans="2:12" ht="15.75" x14ac:dyDescent="0.25">
      <c r="D274" s="626"/>
      <c r="E274" s="1209" t="s">
        <v>78</v>
      </c>
      <c r="F274" s="1210"/>
      <c r="G274" s="1210"/>
      <c r="H274" s="1211"/>
      <c r="I274" s="782" t="s">
        <v>79</v>
      </c>
      <c r="J274" s="54" t="str">
        <f>+P.Detall!F33</f>
        <v>M3</v>
      </c>
      <c r="K274" s="1205" t="s">
        <v>971</v>
      </c>
      <c r="L274" s="1206"/>
    </row>
    <row r="275" spans="2:12" ht="28.5" x14ac:dyDescent="0.25">
      <c r="B275" s="629" t="s">
        <v>2</v>
      </c>
      <c r="C275" s="629" t="s">
        <v>2</v>
      </c>
      <c r="D275" s="629" t="s">
        <v>4</v>
      </c>
      <c r="E275" s="629" t="s">
        <v>75</v>
      </c>
      <c r="F275" s="629" t="s">
        <v>76</v>
      </c>
      <c r="G275" s="629" t="s">
        <v>1112</v>
      </c>
      <c r="H275" s="705" t="s">
        <v>947</v>
      </c>
      <c r="I275" s="1054" t="s">
        <v>1111</v>
      </c>
      <c r="J275" s="652" t="s">
        <v>88</v>
      </c>
      <c r="K275" s="1207"/>
      <c r="L275" s="1208"/>
    </row>
    <row r="276" spans="2:12" ht="25.5" x14ac:dyDescent="0.25">
      <c r="B276" s="47">
        <v>500.1</v>
      </c>
      <c r="C276" s="20" t="s">
        <v>9</v>
      </c>
      <c r="D276" s="742" t="str">
        <f>+P.Detall!E33</f>
        <v>CONCRETO HIDRAULICO DE 210 KG/CM² (3.000 PSI) CLASE D, ESPESOR 0,15 M - PLACAS Y DENTELLONES</v>
      </c>
      <c r="E276" s="25">
        <f>+E261</f>
        <v>200</v>
      </c>
      <c r="F276" s="22">
        <f>0.9*2</f>
        <v>1.8</v>
      </c>
      <c r="G276" s="1058">
        <v>0.15</v>
      </c>
      <c r="H276" s="655">
        <f>+F276*G276</f>
        <v>0.27</v>
      </c>
      <c r="I276" s="655">
        <f>+H276*E276</f>
        <v>54</v>
      </c>
      <c r="J276" s="654">
        <f>+I276</f>
        <v>54</v>
      </c>
      <c r="K276" s="1195"/>
      <c r="L276" s="1195"/>
    </row>
    <row r="277" spans="2:12" x14ac:dyDescent="0.25">
      <c r="B277" s="20"/>
      <c r="C277" s="20"/>
      <c r="D277" s="1149" t="s">
        <v>1115</v>
      </c>
      <c r="E277" s="25"/>
      <c r="F277" s="22"/>
      <c r="G277" s="22"/>
      <c r="H277" s="655"/>
      <c r="I277" s="655"/>
      <c r="J277" s="654"/>
      <c r="K277" s="1195"/>
      <c r="L277" s="1195"/>
    </row>
    <row r="278" spans="2:12" x14ac:dyDescent="0.25">
      <c r="B278" s="20"/>
      <c r="C278" s="20"/>
      <c r="D278" s="700"/>
      <c r="E278" s="25"/>
      <c r="F278" s="22"/>
      <c r="G278" s="22"/>
      <c r="H278" s="655"/>
      <c r="I278" s="655"/>
      <c r="J278" s="654"/>
      <c r="K278" s="1195"/>
      <c r="L278" s="1195"/>
    </row>
    <row r="279" spans="2:12" x14ac:dyDescent="0.25">
      <c r="B279" s="20"/>
      <c r="C279" s="20"/>
      <c r="D279" s="700"/>
      <c r="E279" s="25"/>
      <c r="F279" s="22"/>
      <c r="G279" s="22"/>
      <c r="H279" s="655"/>
      <c r="I279" s="655"/>
      <c r="J279" s="654"/>
      <c r="K279" s="1195"/>
      <c r="L279" s="1195"/>
    </row>
    <row r="280" spans="2:12" x14ac:dyDescent="0.25">
      <c r="B280" s="20"/>
      <c r="C280" s="20"/>
      <c r="D280" s="700"/>
      <c r="E280" s="25"/>
      <c r="F280" s="22"/>
      <c r="G280" s="22"/>
      <c r="H280" s="655"/>
      <c r="I280" s="655"/>
      <c r="J280" s="654"/>
      <c r="K280" s="1195"/>
      <c r="L280" s="1195"/>
    </row>
    <row r="281" spans="2:12" x14ac:dyDescent="0.25">
      <c r="B281" s="20"/>
      <c r="C281" s="20"/>
      <c r="D281" s="700"/>
      <c r="E281" s="25"/>
      <c r="F281" s="22"/>
      <c r="G281" s="22"/>
      <c r="H281" s="655"/>
      <c r="I281" s="655"/>
      <c r="J281" s="654"/>
      <c r="K281" s="1195"/>
      <c r="L281" s="1195"/>
    </row>
    <row r="282" spans="2:12" x14ac:dyDescent="0.25">
      <c r="B282" s="1196" t="s">
        <v>972</v>
      </c>
      <c r="C282" s="1197"/>
      <c r="D282" s="1197"/>
      <c r="E282" s="1197"/>
      <c r="F282" s="1198"/>
      <c r="G282" s="22"/>
      <c r="H282" s="655"/>
      <c r="I282" s="655"/>
      <c r="J282" s="654"/>
      <c r="K282" s="1195"/>
      <c r="L282" s="1195"/>
    </row>
    <row r="283" spans="2:12" x14ac:dyDescent="0.25">
      <c r="B283" s="1199"/>
      <c r="C283" s="1200"/>
      <c r="D283" s="1200"/>
      <c r="E283" s="1200"/>
      <c r="F283" s="1201"/>
      <c r="G283" s="22"/>
      <c r="H283" s="655"/>
      <c r="I283" s="655"/>
      <c r="J283" s="654"/>
      <c r="K283" s="1195"/>
      <c r="L283" s="1195"/>
    </row>
    <row r="284" spans="2:12" s="15" customFormat="1" x14ac:dyDescent="0.25">
      <c r="B284" s="1202"/>
      <c r="C284" s="1203"/>
      <c r="D284" s="1203"/>
      <c r="E284" s="1203"/>
      <c r="F284" s="1204"/>
      <c r="G284" s="783" t="s">
        <v>80</v>
      </c>
      <c r="H284" s="783"/>
      <c r="I284" s="783"/>
      <c r="J284" s="792">
        <f>ROUND(SUM(J276:J283),0)</f>
        <v>54</v>
      </c>
      <c r="K284" s="1195"/>
      <c r="L284" s="1195"/>
    </row>
    <row r="285" spans="2:12" s="797" customFormat="1" x14ac:dyDescent="0.25">
      <c r="B285" s="795"/>
      <c r="C285" s="795"/>
      <c r="D285" s="795"/>
      <c r="E285" s="795"/>
      <c r="F285" s="795"/>
      <c r="G285" s="55"/>
      <c r="H285" s="55"/>
      <c r="I285" s="55"/>
      <c r="J285" s="645"/>
      <c r="K285" s="796"/>
      <c r="L285" s="796"/>
    </row>
    <row r="286" spans="2:12" ht="15.75" x14ac:dyDescent="0.25">
      <c r="D286" s="31" t="s">
        <v>101</v>
      </c>
    </row>
    <row r="288" spans="2:12" x14ac:dyDescent="0.25">
      <c r="D288" s="67" t="s">
        <v>102</v>
      </c>
    </row>
    <row r="289" spans="2:15" s="15" customFormat="1" ht="15" customHeight="1" x14ac:dyDescent="0.25">
      <c r="B289" s="632"/>
      <c r="C289" s="632"/>
      <c r="D289" s="27"/>
      <c r="E289" s="27"/>
      <c r="F289" s="27"/>
      <c r="H289" s="24"/>
      <c r="I289" s="24"/>
    </row>
    <row r="290" spans="2:15" ht="15.75" x14ac:dyDescent="0.25">
      <c r="D290" s="626"/>
      <c r="E290" s="1209" t="s">
        <v>78</v>
      </c>
      <c r="F290" s="1210"/>
      <c r="G290" s="1210"/>
      <c r="H290" s="1211"/>
      <c r="I290" s="782" t="s">
        <v>79</v>
      </c>
      <c r="J290" s="54" t="str">
        <f>+P.Detall!F39</f>
        <v>M3</v>
      </c>
      <c r="K290" s="1205" t="s">
        <v>971</v>
      </c>
      <c r="L290" s="1206"/>
    </row>
    <row r="291" spans="2:15" x14ac:dyDescent="0.25">
      <c r="B291" s="629" t="s">
        <v>2</v>
      </c>
      <c r="C291" s="629" t="s">
        <v>2</v>
      </c>
      <c r="D291" s="629" t="s">
        <v>4</v>
      </c>
      <c r="E291" s="629" t="s">
        <v>75</v>
      </c>
      <c r="F291" s="629" t="s">
        <v>76</v>
      </c>
      <c r="G291" s="629" t="s">
        <v>77</v>
      </c>
      <c r="H291" s="705"/>
      <c r="I291" s="705"/>
      <c r="J291" s="652" t="s">
        <v>88</v>
      </c>
      <c r="K291" s="1207"/>
      <c r="L291" s="1208"/>
    </row>
    <row r="292" spans="2:15" x14ac:dyDescent="0.25">
      <c r="B292" s="47" t="s">
        <v>103</v>
      </c>
      <c r="C292" s="20" t="s">
        <v>9</v>
      </c>
      <c r="D292" s="742" t="str">
        <f>+P.Detall!E39</f>
        <v>EXCAVACIONES VARIAS SIN CLASIFICAR</v>
      </c>
      <c r="E292" s="25"/>
      <c r="F292" s="22"/>
      <c r="G292" s="22"/>
      <c r="H292" s="655"/>
      <c r="I292" s="655"/>
      <c r="J292" s="655"/>
      <c r="K292" s="1212"/>
      <c r="L292" s="1213"/>
    </row>
    <row r="293" spans="2:15" x14ac:dyDescent="0.25">
      <c r="B293" s="20"/>
      <c r="C293" s="20"/>
      <c r="D293" s="714" t="s">
        <v>104</v>
      </c>
      <c r="E293" s="711" t="s">
        <v>897</v>
      </c>
      <c r="F293" s="712" t="s">
        <v>898</v>
      </c>
      <c r="G293" s="712" t="s">
        <v>899</v>
      </c>
      <c r="H293" s="712" t="s">
        <v>900</v>
      </c>
      <c r="I293" s="713" t="s">
        <v>901</v>
      </c>
      <c r="J293" s="655">
        <f>+(4640*0)+(1020*0)+I344</f>
        <v>449.6</v>
      </c>
      <c r="K293" s="1214"/>
      <c r="L293" s="1215"/>
    </row>
    <row r="294" spans="2:15" x14ac:dyDescent="0.25">
      <c r="B294" s="20">
        <v>2</v>
      </c>
      <c r="C294" s="20"/>
      <c r="D294" s="988" t="s">
        <v>1219</v>
      </c>
      <c r="E294" s="708">
        <v>1</v>
      </c>
      <c r="F294" s="708">
        <v>10</v>
      </c>
      <c r="G294" s="708">
        <v>1.25</v>
      </c>
      <c r="H294" s="1063">
        <v>4</v>
      </c>
      <c r="I294" s="717">
        <f>+E294*F294*G294*H294</f>
        <v>50</v>
      </c>
      <c r="J294" s="655"/>
      <c r="K294" s="1214"/>
      <c r="L294" s="1215"/>
    </row>
    <row r="295" spans="2:15" x14ac:dyDescent="0.25">
      <c r="B295" s="20">
        <v>3</v>
      </c>
      <c r="C295" s="20"/>
      <c r="D295" s="988" t="s">
        <v>1220</v>
      </c>
      <c r="E295" s="708">
        <f>+E294</f>
        <v>1</v>
      </c>
      <c r="F295" s="708">
        <v>9</v>
      </c>
      <c r="G295" s="708">
        <v>1.85</v>
      </c>
      <c r="H295" s="1063">
        <v>8</v>
      </c>
      <c r="I295" s="717">
        <f t="shared" ref="I295:I342" si="2">+E295*F295*G295*H295</f>
        <v>133.20000000000002</v>
      </c>
      <c r="J295" s="655"/>
      <c r="K295" s="1214"/>
      <c r="L295" s="1215"/>
      <c r="N295">
        <v>3.5</v>
      </c>
      <c r="O295">
        <v>2.2999999999999998</v>
      </c>
    </row>
    <row r="296" spans="2:15" x14ac:dyDescent="0.25">
      <c r="B296" s="20">
        <v>3</v>
      </c>
      <c r="C296" s="20"/>
      <c r="D296" s="988" t="s">
        <v>1221</v>
      </c>
      <c r="E296" s="708">
        <f t="shared" ref="E296:E298" si="3">+E295</f>
        <v>1</v>
      </c>
      <c r="F296" s="708">
        <v>18</v>
      </c>
      <c r="G296" s="708">
        <f>+G295</f>
        <v>1.85</v>
      </c>
      <c r="H296" s="1063">
        <v>3</v>
      </c>
      <c r="I296" s="717">
        <f t="shared" si="2"/>
        <v>99.9</v>
      </c>
      <c r="J296" s="655"/>
      <c r="K296" s="1214"/>
      <c r="L296" s="1215"/>
      <c r="N296">
        <v>2</v>
      </c>
      <c r="O296">
        <v>1.6</v>
      </c>
    </row>
    <row r="297" spans="2:15" x14ac:dyDescent="0.25">
      <c r="B297" s="20">
        <v>3</v>
      </c>
      <c r="C297" s="20"/>
      <c r="D297" s="988" t="s">
        <v>1222</v>
      </c>
      <c r="E297" s="708">
        <f t="shared" si="3"/>
        <v>1</v>
      </c>
      <c r="F297" s="708">
        <v>12</v>
      </c>
      <c r="G297" s="708">
        <f>+G296</f>
        <v>1.85</v>
      </c>
      <c r="H297" s="1063">
        <v>3</v>
      </c>
      <c r="I297" s="717">
        <f t="shared" ref="I297:I298" si="4">+E297*F297*G297*H297</f>
        <v>66.600000000000009</v>
      </c>
      <c r="J297" s="655"/>
      <c r="K297" s="1214"/>
      <c r="L297" s="1215"/>
      <c r="N297">
        <v>3</v>
      </c>
      <c r="O297">
        <v>1.9</v>
      </c>
    </row>
    <row r="298" spans="2:15" x14ac:dyDescent="0.25">
      <c r="B298" s="20">
        <v>2</v>
      </c>
      <c r="C298" s="20"/>
      <c r="D298" s="988" t="s">
        <v>1223</v>
      </c>
      <c r="E298" s="708">
        <f t="shared" si="3"/>
        <v>1</v>
      </c>
      <c r="F298" s="708">
        <v>18</v>
      </c>
      <c r="G298" s="708">
        <f>+G297</f>
        <v>1.85</v>
      </c>
      <c r="H298" s="1063">
        <v>3</v>
      </c>
      <c r="I298" s="717">
        <f t="shared" si="4"/>
        <v>99.9</v>
      </c>
      <c r="J298" s="655"/>
      <c r="K298" s="1214"/>
      <c r="L298" s="1215"/>
      <c r="N298">
        <v>4</v>
      </c>
      <c r="O298">
        <v>2.5</v>
      </c>
    </row>
    <row r="299" spans="2:15" x14ac:dyDescent="0.25">
      <c r="B299" s="20">
        <v>1.5</v>
      </c>
      <c r="C299" s="20"/>
      <c r="D299" s="988"/>
      <c r="E299" s="708"/>
      <c r="F299" s="708"/>
      <c r="G299" s="708"/>
      <c r="H299" s="1063"/>
      <c r="I299" s="1157">
        <f t="shared" si="2"/>
        <v>0</v>
      </c>
      <c r="J299" s="655"/>
      <c r="K299" s="1214"/>
      <c r="L299" s="1215"/>
      <c r="N299">
        <v>5</v>
      </c>
      <c r="O299">
        <v>3.8</v>
      </c>
    </row>
    <row r="300" spans="2:15" x14ac:dyDescent="0.25">
      <c r="B300" s="20">
        <v>2</v>
      </c>
      <c r="C300" s="20"/>
      <c r="D300" s="988"/>
      <c r="E300" s="708"/>
      <c r="F300" s="708"/>
      <c r="G300" s="708"/>
      <c r="H300" s="1063"/>
      <c r="I300" s="1157">
        <f t="shared" si="2"/>
        <v>0</v>
      </c>
      <c r="J300" s="655"/>
      <c r="K300" s="1214"/>
      <c r="L300" s="1215"/>
    </row>
    <row r="301" spans="2:15" x14ac:dyDescent="0.25">
      <c r="B301" s="20">
        <v>6</v>
      </c>
      <c r="C301" s="20"/>
      <c r="D301" s="988"/>
      <c r="E301" s="708"/>
      <c r="F301" s="708"/>
      <c r="G301" s="708"/>
      <c r="H301" s="1063"/>
      <c r="I301" s="1157">
        <f t="shared" si="2"/>
        <v>0</v>
      </c>
      <c r="J301" s="655"/>
      <c r="K301" s="1214"/>
      <c r="L301" s="1215"/>
    </row>
    <row r="302" spans="2:15" x14ac:dyDescent="0.25">
      <c r="B302" s="20">
        <v>2</v>
      </c>
      <c r="C302" s="20"/>
      <c r="D302" s="988"/>
      <c r="E302" s="708"/>
      <c r="F302" s="708"/>
      <c r="G302" s="708"/>
      <c r="H302" s="1063"/>
      <c r="I302" s="1157">
        <f t="shared" si="2"/>
        <v>0</v>
      </c>
      <c r="J302" s="655"/>
      <c r="K302" s="1214"/>
      <c r="L302" s="1215"/>
    </row>
    <row r="303" spans="2:15" x14ac:dyDescent="0.25">
      <c r="B303" s="20">
        <v>3.5</v>
      </c>
      <c r="C303" s="20"/>
      <c r="D303" s="988"/>
      <c r="E303" s="708"/>
      <c r="F303" s="708"/>
      <c r="G303" s="708"/>
      <c r="H303" s="1063"/>
      <c r="I303" s="1157">
        <f t="shared" si="2"/>
        <v>0</v>
      </c>
      <c r="J303" s="655"/>
      <c r="K303" s="1214"/>
      <c r="L303" s="1215"/>
    </row>
    <row r="304" spans="2:15" x14ac:dyDescent="0.25">
      <c r="B304" s="20">
        <v>2</v>
      </c>
      <c r="C304" s="20"/>
      <c r="D304" s="988"/>
      <c r="E304" s="708"/>
      <c r="F304" s="708"/>
      <c r="G304" s="708"/>
      <c r="H304" s="1063"/>
      <c r="I304" s="1157">
        <f t="shared" si="2"/>
        <v>0</v>
      </c>
      <c r="J304" s="655"/>
      <c r="K304" s="1214"/>
      <c r="L304" s="1215"/>
    </row>
    <row r="305" spans="2:12" x14ac:dyDescent="0.25">
      <c r="B305" s="20">
        <v>3.5</v>
      </c>
      <c r="C305" s="20"/>
      <c r="D305" s="988"/>
      <c r="E305" s="708"/>
      <c r="F305" s="708"/>
      <c r="G305" s="708"/>
      <c r="H305" s="1063"/>
      <c r="I305" s="1157">
        <f t="shared" si="2"/>
        <v>0</v>
      </c>
      <c r="J305" s="655"/>
      <c r="K305" s="1214"/>
      <c r="L305" s="1215"/>
    </row>
    <row r="306" spans="2:12" x14ac:dyDescent="0.25">
      <c r="B306" s="20">
        <v>1.5</v>
      </c>
      <c r="C306" s="20"/>
      <c r="D306" s="988"/>
      <c r="E306" s="708"/>
      <c r="F306" s="708"/>
      <c r="G306" s="708"/>
      <c r="H306" s="1063"/>
      <c r="I306" s="1157">
        <f t="shared" si="2"/>
        <v>0</v>
      </c>
      <c r="J306" s="655"/>
      <c r="K306" s="1214"/>
      <c r="L306" s="1215"/>
    </row>
    <row r="307" spans="2:12" x14ac:dyDescent="0.25">
      <c r="B307" s="20">
        <v>3</v>
      </c>
      <c r="C307" s="20"/>
      <c r="D307" s="988"/>
      <c r="E307" s="708"/>
      <c r="F307" s="708"/>
      <c r="G307" s="708"/>
      <c r="H307" s="1063"/>
      <c r="I307" s="1157">
        <f t="shared" si="2"/>
        <v>0</v>
      </c>
      <c r="J307" s="655"/>
      <c r="K307" s="1214"/>
      <c r="L307" s="1215"/>
    </row>
    <row r="308" spans="2:12" x14ac:dyDescent="0.25">
      <c r="B308" s="20">
        <v>3</v>
      </c>
      <c r="C308" s="20"/>
      <c r="D308" s="988"/>
      <c r="E308" s="708"/>
      <c r="F308" s="708"/>
      <c r="G308" s="708"/>
      <c r="H308" s="1063"/>
      <c r="I308" s="1157">
        <f t="shared" si="2"/>
        <v>0</v>
      </c>
      <c r="J308" s="655"/>
      <c r="K308" s="1214"/>
      <c r="L308" s="1215"/>
    </row>
    <row r="309" spans="2:12" x14ac:dyDescent="0.25">
      <c r="B309" s="20">
        <v>1.5</v>
      </c>
      <c r="C309" s="20"/>
      <c r="D309" s="988"/>
      <c r="E309" s="708"/>
      <c r="F309" s="708"/>
      <c r="G309" s="708"/>
      <c r="H309" s="1063"/>
      <c r="I309" s="1157">
        <f t="shared" si="2"/>
        <v>0</v>
      </c>
      <c r="J309" s="655"/>
      <c r="K309" s="1214"/>
      <c r="L309" s="1215"/>
    </row>
    <row r="310" spans="2:12" x14ac:dyDescent="0.25">
      <c r="B310" s="20">
        <v>1.5</v>
      </c>
      <c r="C310" s="20"/>
      <c r="D310" s="988"/>
      <c r="E310" s="708"/>
      <c r="F310" s="708"/>
      <c r="G310" s="708"/>
      <c r="H310" s="1063"/>
      <c r="I310" s="1157">
        <f t="shared" si="2"/>
        <v>0</v>
      </c>
      <c r="J310" s="655"/>
      <c r="K310" s="1214"/>
      <c r="L310" s="1215"/>
    </row>
    <row r="311" spans="2:12" x14ac:dyDescent="0.25">
      <c r="B311" s="20">
        <v>4</v>
      </c>
      <c r="C311" s="20"/>
      <c r="D311" s="988"/>
      <c r="E311" s="708"/>
      <c r="F311" s="708"/>
      <c r="G311" s="708"/>
      <c r="H311" s="1063"/>
      <c r="I311" s="1157">
        <f t="shared" si="2"/>
        <v>0</v>
      </c>
      <c r="J311" s="655"/>
      <c r="K311" s="1214"/>
      <c r="L311" s="1215"/>
    </row>
    <row r="312" spans="2:12" x14ac:dyDescent="0.25">
      <c r="B312" s="20">
        <v>3.5</v>
      </c>
      <c r="C312" s="20"/>
      <c r="D312" s="988"/>
      <c r="E312" s="708"/>
      <c r="F312" s="708"/>
      <c r="G312" s="708"/>
      <c r="H312" s="1063"/>
      <c r="I312" s="1157">
        <f t="shared" si="2"/>
        <v>0</v>
      </c>
      <c r="J312" s="655"/>
      <c r="K312" s="1214"/>
      <c r="L312" s="1215"/>
    </row>
    <row r="313" spans="2:12" x14ac:dyDescent="0.25">
      <c r="B313" s="20">
        <v>2</v>
      </c>
      <c r="C313" s="20"/>
      <c r="D313" s="988"/>
      <c r="E313" s="708"/>
      <c r="F313" s="708"/>
      <c r="G313" s="708"/>
      <c r="H313" s="1063"/>
      <c r="I313" s="1157">
        <f t="shared" si="2"/>
        <v>0</v>
      </c>
      <c r="J313" s="655"/>
      <c r="K313" s="1214"/>
      <c r="L313" s="1215"/>
    </row>
    <row r="314" spans="2:12" x14ac:dyDescent="0.25">
      <c r="B314" s="20">
        <v>3</v>
      </c>
      <c r="C314" s="20"/>
      <c r="D314" s="988"/>
      <c r="E314" s="708"/>
      <c r="F314" s="708"/>
      <c r="G314" s="708"/>
      <c r="H314" s="1063"/>
      <c r="I314" s="1157">
        <f t="shared" si="2"/>
        <v>0</v>
      </c>
      <c r="J314" s="655"/>
      <c r="K314" s="1214"/>
      <c r="L314" s="1215"/>
    </row>
    <row r="315" spans="2:12" x14ac:dyDescent="0.25">
      <c r="B315" s="20">
        <v>4</v>
      </c>
      <c r="C315" s="20"/>
      <c r="D315" s="988"/>
      <c r="E315" s="708"/>
      <c r="F315" s="708"/>
      <c r="G315" s="708"/>
      <c r="H315" s="1063"/>
      <c r="I315" s="1157">
        <f t="shared" si="2"/>
        <v>0</v>
      </c>
      <c r="J315" s="655"/>
      <c r="K315" s="1214"/>
      <c r="L315" s="1215"/>
    </row>
    <row r="316" spans="2:12" x14ac:dyDescent="0.25">
      <c r="B316" s="20">
        <v>3.5</v>
      </c>
      <c r="C316" s="20"/>
      <c r="D316" s="988"/>
      <c r="E316" s="708"/>
      <c r="F316" s="708"/>
      <c r="G316" s="708"/>
      <c r="H316" s="1063"/>
      <c r="I316" s="1157">
        <f t="shared" si="2"/>
        <v>0</v>
      </c>
      <c r="J316" s="655"/>
      <c r="K316" s="1214"/>
      <c r="L316" s="1215"/>
    </row>
    <row r="317" spans="2:12" x14ac:dyDescent="0.25">
      <c r="B317" s="20">
        <v>3</v>
      </c>
      <c r="C317" s="20"/>
      <c r="D317" s="988"/>
      <c r="E317" s="708"/>
      <c r="F317" s="708"/>
      <c r="G317" s="708"/>
      <c r="H317" s="1063"/>
      <c r="I317" s="1157">
        <f t="shared" si="2"/>
        <v>0</v>
      </c>
      <c r="J317" s="655"/>
      <c r="K317" s="1214"/>
      <c r="L317" s="1215"/>
    </row>
    <row r="318" spans="2:12" x14ac:dyDescent="0.25">
      <c r="B318" s="20">
        <v>4</v>
      </c>
      <c r="C318" s="20"/>
      <c r="D318" s="988"/>
      <c r="E318" s="708"/>
      <c r="F318" s="708"/>
      <c r="G318" s="708"/>
      <c r="H318" s="1063"/>
      <c r="I318" s="1157">
        <f t="shared" si="2"/>
        <v>0</v>
      </c>
      <c r="J318" s="655"/>
      <c r="K318" s="1214"/>
      <c r="L318" s="1215"/>
    </row>
    <row r="319" spans="2:12" x14ac:dyDescent="0.25">
      <c r="B319" s="20">
        <v>3.5</v>
      </c>
      <c r="C319" s="20"/>
      <c r="D319" s="988"/>
      <c r="E319" s="708"/>
      <c r="F319" s="708"/>
      <c r="G319" s="708"/>
      <c r="H319" s="1063"/>
      <c r="I319" s="1157">
        <f t="shared" si="2"/>
        <v>0</v>
      </c>
      <c r="J319" s="655"/>
      <c r="K319" s="1214"/>
      <c r="L319" s="1215"/>
    </row>
    <row r="320" spans="2:12" x14ac:dyDescent="0.25">
      <c r="B320" s="20">
        <v>1.5</v>
      </c>
      <c r="C320" s="20"/>
      <c r="D320" s="988"/>
      <c r="E320" s="708"/>
      <c r="F320" s="708"/>
      <c r="G320" s="708"/>
      <c r="H320" s="1063"/>
      <c r="I320" s="1157">
        <f t="shared" si="2"/>
        <v>0</v>
      </c>
      <c r="J320" s="655"/>
      <c r="K320" s="1214"/>
      <c r="L320" s="1215"/>
    </row>
    <row r="321" spans="2:12" x14ac:dyDescent="0.25">
      <c r="B321" s="20">
        <v>3</v>
      </c>
      <c r="C321" s="20"/>
      <c r="D321" s="988"/>
      <c r="E321" s="708"/>
      <c r="F321" s="708"/>
      <c r="G321" s="708"/>
      <c r="H321" s="1063"/>
      <c r="I321" s="1157">
        <f t="shared" si="2"/>
        <v>0</v>
      </c>
      <c r="J321" s="655"/>
      <c r="K321" s="1214"/>
      <c r="L321" s="1215"/>
    </row>
    <row r="322" spans="2:12" x14ac:dyDescent="0.25">
      <c r="B322" s="20">
        <v>1.5</v>
      </c>
      <c r="C322" s="20"/>
      <c r="D322" s="988"/>
      <c r="E322" s="708"/>
      <c r="F322" s="708"/>
      <c r="G322" s="708"/>
      <c r="H322" s="1063"/>
      <c r="I322" s="1157">
        <f t="shared" si="2"/>
        <v>0</v>
      </c>
      <c r="J322" s="655"/>
      <c r="K322" s="1214"/>
      <c r="L322" s="1215"/>
    </row>
    <row r="323" spans="2:12" x14ac:dyDescent="0.25">
      <c r="B323" s="20">
        <v>3</v>
      </c>
      <c r="C323" s="20"/>
      <c r="D323" s="988"/>
      <c r="E323" s="708"/>
      <c r="F323" s="708"/>
      <c r="G323" s="708"/>
      <c r="H323" s="1063"/>
      <c r="I323" s="1157">
        <f t="shared" si="2"/>
        <v>0</v>
      </c>
      <c r="J323" s="655"/>
      <c r="K323" s="1214"/>
      <c r="L323" s="1215"/>
    </row>
    <row r="324" spans="2:12" x14ac:dyDescent="0.25">
      <c r="B324" s="20">
        <v>3.5</v>
      </c>
      <c r="C324" s="20"/>
      <c r="D324" s="988"/>
      <c r="E324" s="708"/>
      <c r="F324" s="708"/>
      <c r="G324" s="708"/>
      <c r="H324" s="1063"/>
      <c r="I324" s="1157">
        <f t="shared" si="2"/>
        <v>0</v>
      </c>
      <c r="J324" s="655"/>
      <c r="K324" s="1214"/>
      <c r="L324" s="1215"/>
    </row>
    <row r="325" spans="2:12" x14ac:dyDescent="0.25">
      <c r="B325" s="20">
        <v>1.5</v>
      </c>
      <c r="C325" s="20"/>
      <c r="D325" s="988"/>
      <c r="E325" s="708"/>
      <c r="F325" s="708"/>
      <c r="G325" s="708"/>
      <c r="H325" s="1063"/>
      <c r="I325" s="1157">
        <f t="shared" si="2"/>
        <v>0</v>
      </c>
      <c r="J325" s="655"/>
      <c r="K325" s="1214"/>
      <c r="L325" s="1215"/>
    </row>
    <row r="326" spans="2:12" x14ac:dyDescent="0.25">
      <c r="B326" s="20">
        <v>3.5</v>
      </c>
      <c r="C326" s="20"/>
      <c r="D326" s="988"/>
      <c r="E326" s="708"/>
      <c r="F326" s="708"/>
      <c r="G326" s="708"/>
      <c r="H326" s="1063"/>
      <c r="I326" s="1157">
        <f t="shared" si="2"/>
        <v>0</v>
      </c>
      <c r="J326" s="655"/>
      <c r="K326" s="1214"/>
      <c r="L326" s="1215"/>
    </row>
    <row r="327" spans="2:12" x14ac:dyDescent="0.25">
      <c r="B327" s="20">
        <v>1.5</v>
      </c>
      <c r="C327" s="20"/>
      <c r="D327" s="988"/>
      <c r="E327" s="708"/>
      <c r="F327" s="708"/>
      <c r="G327" s="708"/>
      <c r="H327" s="1063"/>
      <c r="I327" s="1157">
        <f t="shared" si="2"/>
        <v>0</v>
      </c>
      <c r="J327" s="655"/>
      <c r="K327" s="1214"/>
      <c r="L327" s="1215"/>
    </row>
    <row r="328" spans="2:12" x14ac:dyDescent="0.25">
      <c r="B328" s="20">
        <v>3.5</v>
      </c>
      <c r="C328" s="20"/>
      <c r="D328" s="988"/>
      <c r="E328" s="708"/>
      <c r="F328" s="708"/>
      <c r="G328" s="708"/>
      <c r="H328" s="1063"/>
      <c r="I328" s="1157">
        <f t="shared" si="2"/>
        <v>0</v>
      </c>
      <c r="J328" s="655"/>
      <c r="K328" s="1214"/>
      <c r="L328" s="1215"/>
    </row>
    <row r="329" spans="2:12" x14ac:dyDescent="0.25">
      <c r="B329" s="20">
        <v>1.5</v>
      </c>
      <c r="C329" s="20"/>
      <c r="D329" s="988"/>
      <c r="E329" s="708"/>
      <c r="F329" s="708"/>
      <c r="G329" s="708"/>
      <c r="H329" s="1063"/>
      <c r="I329" s="1157">
        <f t="shared" si="2"/>
        <v>0</v>
      </c>
      <c r="J329" s="655"/>
      <c r="K329" s="1214"/>
      <c r="L329" s="1215"/>
    </row>
    <row r="330" spans="2:12" x14ac:dyDescent="0.25">
      <c r="B330" s="20">
        <v>1.5</v>
      </c>
      <c r="C330" s="20"/>
      <c r="D330" s="988"/>
      <c r="E330" s="708"/>
      <c r="F330" s="708"/>
      <c r="G330" s="708"/>
      <c r="H330" s="1063"/>
      <c r="I330" s="1157">
        <f t="shared" si="2"/>
        <v>0</v>
      </c>
      <c r="J330" s="655"/>
      <c r="K330" s="1214"/>
      <c r="L330" s="1215"/>
    </row>
    <row r="331" spans="2:12" x14ac:dyDescent="0.25">
      <c r="B331" s="20">
        <v>4.5</v>
      </c>
      <c r="C331" s="20"/>
      <c r="D331" s="988"/>
      <c r="E331" s="708"/>
      <c r="F331" s="708"/>
      <c r="G331" s="708"/>
      <c r="H331" s="1063"/>
      <c r="I331" s="1157">
        <f t="shared" si="2"/>
        <v>0</v>
      </c>
      <c r="J331" s="655"/>
      <c r="K331" s="1214"/>
      <c r="L331" s="1215"/>
    </row>
    <row r="332" spans="2:12" x14ac:dyDescent="0.25">
      <c r="B332" s="20">
        <v>4.5</v>
      </c>
      <c r="C332" s="20"/>
      <c r="D332" s="988"/>
      <c r="E332" s="708"/>
      <c r="F332" s="708"/>
      <c r="G332" s="708"/>
      <c r="H332" s="1063"/>
      <c r="I332" s="1157">
        <f t="shared" si="2"/>
        <v>0</v>
      </c>
      <c r="J332" s="655"/>
      <c r="K332" s="1214"/>
      <c r="L332" s="1215"/>
    </row>
    <row r="333" spans="2:12" x14ac:dyDescent="0.25">
      <c r="B333" s="20">
        <v>3.5</v>
      </c>
      <c r="C333" s="20"/>
      <c r="D333" s="988"/>
      <c r="E333" s="708"/>
      <c r="F333" s="708"/>
      <c r="G333" s="708"/>
      <c r="H333" s="1063"/>
      <c r="I333" s="1157">
        <f t="shared" si="2"/>
        <v>0</v>
      </c>
      <c r="J333" s="655"/>
      <c r="K333" s="1214"/>
      <c r="L333" s="1215"/>
    </row>
    <row r="334" spans="2:12" x14ac:dyDescent="0.25">
      <c r="B334" s="20">
        <v>3</v>
      </c>
      <c r="C334" s="20"/>
      <c r="D334" s="988"/>
      <c r="E334" s="708"/>
      <c r="F334" s="708"/>
      <c r="G334" s="708"/>
      <c r="H334" s="1063"/>
      <c r="I334" s="1157">
        <f t="shared" si="2"/>
        <v>0</v>
      </c>
      <c r="J334" s="655"/>
      <c r="K334" s="1214"/>
      <c r="L334" s="1215"/>
    </row>
    <row r="335" spans="2:12" x14ac:dyDescent="0.25">
      <c r="B335" s="20">
        <v>3</v>
      </c>
      <c r="C335" s="20"/>
      <c r="D335" s="988"/>
      <c r="E335" s="708"/>
      <c r="F335" s="708"/>
      <c r="G335" s="708"/>
      <c r="H335" s="1063"/>
      <c r="I335" s="1157">
        <f t="shared" si="2"/>
        <v>0</v>
      </c>
      <c r="J335" s="655"/>
      <c r="K335" s="1214"/>
      <c r="L335" s="1215"/>
    </row>
    <row r="336" spans="2:12" x14ac:dyDescent="0.25">
      <c r="B336" s="20">
        <v>1.5</v>
      </c>
      <c r="C336" s="20"/>
      <c r="D336" s="988"/>
      <c r="E336" s="708"/>
      <c r="F336" s="708"/>
      <c r="G336" s="708"/>
      <c r="H336" s="1063"/>
      <c r="I336" s="1157">
        <f t="shared" si="2"/>
        <v>0</v>
      </c>
      <c r="J336" s="655"/>
      <c r="K336" s="1214"/>
      <c r="L336" s="1215"/>
    </row>
    <row r="337" spans="2:12" x14ac:dyDescent="0.25">
      <c r="B337" s="20">
        <v>2</v>
      </c>
      <c r="C337" s="20"/>
      <c r="D337" s="988"/>
      <c r="E337" s="708"/>
      <c r="F337" s="708"/>
      <c r="G337" s="708"/>
      <c r="H337" s="1063"/>
      <c r="I337" s="1157">
        <f t="shared" si="2"/>
        <v>0</v>
      </c>
      <c r="J337" s="655"/>
      <c r="K337" s="1214"/>
      <c r="L337" s="1215"/>
    </row>
    <row r="338" spans="2:12" x14ac:dyDescent="0.25">
      <c r="B338" s="20">
        <v>4</v>
      </c>
      <c r="C338" s="20"/>
      <c r="D338" s="988"/>
      <c r="E338" s="708"/>
      <c r="F338" s="708"/>
      <c r="G338" s="708"/>
      <c r="H338" s="1063"/>
      <c r="I338" s="1157">
        <f t="shared" si="2"/>
        <v>0</v>
      </c>
      <c r="J338" s="655"/>
      <c r="K338" s="1214"/>
      <c r="L338" s="1215"/>
    </row>
    <row r="339" spans="2:12" x14ac:dyDescent="0.25">
      <c r="B339" s="20">
        <v>3</v>
      </c>
      <c r="C339" s="20"/>
      <c r="D339" s="988"/>
      <c r="E339" s="708"/>
      <c r="F339" s="708"/>
      <c r="G339" s="708"/>
      <c r="H339" s="1063"/>
      <c r="I339" s="1157">
        <f t="shared" si="2"/>
        <v>0</v>
      </c>
      <c r="J339" s="655"/>
      <c r="K339" s="1214"/>
      <c r="L339" s="1215"/>
    </row>
    <row r="340" spans="2:12" x14ac:dyDescent="0.25">
      <c r="B340" s="20">
        <v>2.5</v>
      </c>
      <c r="C340" s="20"/>
      <c r="D340" s="988"/>
      <c r="E340" s="708"/>
      <c r="F340" s="708"/>
      <c r="G340" s="708"/>
      <c r="H340" s="1063"/>
      <c r="I340" s="1157">
        <f t="shared" si="2"/>
        <v>0</v>
      </c>
      <c r="J340" s="655"/>
      <c r="K340" s="1214"/>
      <c r="L340" s="1215"/>
    </row>
    <row r="341" spans="2:12" x14ac:dyDescent="0.25">
      <c r="B341" s="20">
        <v>3.5</v>
      </c>
      <c r="C341" s="20"/>
      <c r="D341" s="988"/>
      <c r="E341" s="708"/>
      <c r="F341" s="708"/>
      <c r="G341" s="708"/>
      <c r="H341" s="1063"/>
      <c r="I341" s="1157">
        <f t="shared" si="2"/>
        <v>0</v>
      </c>
      <c r="J341" s="655"/>
      <c r="K341" s="1214"/>
      <c r="L341" s="1215"/>
    </row>
    <row r="342" spans="2:12" x14ac:dyDescent="0.25">
      <c r="B342" s="20">
        <v>3</v>
      </c>
      <c r="C342" s="20"/>
      <c r="D342" s="988"/>
      <c r="E342" s="708"/>
      <c r="F342" s="708"/>
      <c r="G342" s="708"/>
      <c r="H342" s="1063"/>
      <c r="I342" s="1157">
        <f t="shared" si="2"/>
        <v>0</v>
      </c>
      <c r="J342" s="655"/>
      <c r="K342" s="1214"/>
      <c r="L342" s="1215"/>
    </row>
    <row r="343" spans="2:12" x14ac:dyDescent="0.25">
      <c r="B343" s="20"/>
      <c r="C343" s="20"/>
      <c r="D343" s="988"/>
      <c r="E343" s="708"/>
      <c r="F343" s="708"/>
      <c r="G343" s="708"/>
      <c r="H343" s="989"/>
      <c r="I343" s="717"/>
      <c r="J343" s="655"/>
      <c r="K343" s="1214"/>
      <c r="L343" s="1215"/>
    </row>
    <row r="344" spans="2:12" x14ac:dyDescent="0.25">
      <c r="B344" s="20"/>
      <c r="C344" s="20"/>
      <c r="D344" s="32"/>
      <c r="E344" s="708">
        <f>SUM(E294:E343)</f>
        <v>5</v>
      </c>
      <c r="F344" s="708"/>
      <c r="G344" s="708"/>
      <c r="H344" s="709" t="s">
        <v>902</v>
      </c>
      <c r="I344" s="727">
        <f>SUM(I294:I343)</f>
        <v>449.6</v>
      </c>
      <c r="J344" s="655"/>
      <c r="K344" s="1214"/>
      <c r="L344" s="1215"/>
    </row>
    <row r="345" spans="2:12" x14ac:dyDescent="0.25">
      <c r="B345" s="20"/>
      <c r="C345" s="20"/>
      <c r="D345" s="32"/>
      <c r="E345" s="708"/>
      <c r="F345" s="708"/>
      <c r="G345" s="708"/>
      <c r="H345" s="709"/>
      <c r="I345" s="727"/>
      <c r="J345" s="655"/>
      <c r="K345" s="1214"/>
      <c r="L345" s="1215"/>
    </row>
    <row r="346" spans="2:12" x14ac:dyDescent="0.25">
      <c r="B346" s="20"/>
      <c r="C346" s="20"/>
      <c r="D346" s="714" t="s">
        <v>105</v>
      </c>
      <c r="E346" s="711" t="s">
        <v>897</v>
      </c>
      <c r="F346" s="712" t="s">
        <v>898</v>
      </c>
      <c r="G346" s="712" t="s">
        <v>905</v>
      </c>
      <c r="H346" s="712" t="s">
        <v>913</v>
      </c>
      <c r="I346" s="713" t="s">
        <v>901</v>
      </c>
      <c r="J346" s="655">
        <f>+I347+I348</f>
        <v>388.23750000000007</v>
      </c>
      <c r="K346" s="1214"/>
      <c r="L346" s="1215"/>
    </row>
    <row r="347" spans="2:12" x14ac:dyDescent="0.25">
      <c r="B347" s="20"/>
      <c r="C347" s="20"/>
      <c r="D347" s="1147" t="s">
        <v>1079</v>
      </c>
      <c r="E347" s="69">
        <f>+E117</f>
        <v>5</v>
      </c>
      <c r="F347" s="22">
        <v>7.5</v>
      </c>
      <c r="G347" s="22"/>
      <c r="H347" s="22"/>
      <c r="I347" s="22">
        <f>+E347*F347*G377*H383</f>
        <v>129.41250000000002</v>
      </c>
      <c r="J347" s="655"/>
      <c r="K347" s="1214"/>
      <c r="L347" s="1215"/>
    </row>
    <row r="348" spans="2:12" x14ac:dyDescent="0.25">
      <c r="B348" s="20"/>
      <c r="C348" s="20"/>
      <c r="D348" s="1147" t="s">
        <v>1080</v>
      </c>
      <c r="E348" s="69">
        <f>+SUM(E349:E374)</f>
        <v>10</v>
      </c>
      <c r="F348" s="22">
        <f>+F347</f>
        <v>7.5</v>
      </c>
      <c r="G348" s="22"/>
      <c r="H348" s="22"/>
      <c r="I348" s="22">
        <f>+E348*F348*G377*H383</f>
        <v>258.82500000000005</v>
      </c>
      <c r="J348" s="655"/>
      <c r="K348" s="1214"/>
      <c r="L348" s="1215"/>
    </row>
    <row r="349" spans="2:12" x14ac:dyDescent="0.25">
      <c r="B349" s="20"/>
      <c r="C349" s="20"/>
      <c r="D349" s="988">
        <v>1</v>
      </c>
      <c r="E349" s="22">
        <v>1</v>
      </c>
      <c r="F349" s="22"/>
      <c r="G349" s="22"/>
      <c r="H349" s="22"/>
      <c r="I349" s="22"/>
      <c r="J349" s="655"/>
      <c r="K349" s="1214"/>
      <c r="L349" s="1215"/>
    </row>
    <row r="350" spans="2:12" x14ac:dyDescent="0.25">
      <c r="B350" s="20"/>
      <c r="C350" s="20"/>
      <c r="D350" s="988">
        <v>2</v>
      </c>
      <c r="E350" s="22">
        <v>1</v>
      </c>
      <c r="F350" s="22"/>
      <c r="G350" s="22"/>
      <c r="H350" s="22"/>
      <c r="I350" s="22"/>
      <c r="J350" s="655"/>
      <c r="K350" s="1214"/>
      <c r="L350" s="1215"/>
    </row>
    <row r="351" spans="2:12" x14ac:dyDescent="0.25">
      <c r="B351" s="20"/>
      <c r="C351" s="20"/>
      <c r="D351" s="988">
        <v>3</v>
      </c>
      <c r="E351" s="22">
        <f>+E350</f>
        <v>1</v>
      </c>
      <c r="F351" s="22"/>
      <c r="G351" s="22"/>
      <c r="H351" s="22"/>
      <c r="I351" s="22"/>
      <c r="J351" s="655"/>
      <c r="K351" s="1214"/>
      <c r="L351" s="1215"/>
    </row>
    <row r="352" spans="2:12" x14ac:dyDescent="0.25">
      <c r="B352" s="20"/>
      <c r="C352" s="20"/>
      <c r="D352" s="988">
        <v>4</v>
      </c>
      <c r="E352" s="22">
        <f t="shared" ref="E352:E357" si="5">+E351</f>
        <v>1</v>
      </c>
      <c r="F352" s="22"/>
      <c r="G352" s="22"/>
      <c r="H352" s="22"/>
      <c r="I352" s="22"/>
      <c r="J352" s="655"/>
      <c r="K352" s="1214"/>
      <c r="L352" s="1215"/>
    </row>
    <row r="353" spans="2:12" x14ac:dyDescent="0.25">
      <c r="B353" s="20"/>
      <c r="C353" s="20"/>
      <c r="D353" s="988">
        <v>5</v>
      </c>
      <c r="E353" s="22">
        <f t="shared" si="5"/>
        <v>1</v>
      </c>
      <c r="F353" s="22"/>
      <c r="G353" s="22"/>
      <c r="H353" s="22"/>
      <c r="I353" s="22"/>
      <c r="J353" s="655"/>
      <c r="K353" s="1214"/>
      <c r="L353" s="1215"/>
    </row>
    <row r="354" spans="2:12" x14ac:dyDescent="0.25">
      <c r="B354" s="20"/>
      <c r="C354" s="20"/>
      <c r="D354" s="988">
        <v>6</v>
      </c>
      <c r="E354" s="22">
        <f t="shared" si="5"/>
        <v>1</v>
      </c>
      <c r="F354" s="22"/>
      <c r="G354" s="22"/>
      <c r="H354" s="22"/>
      <c r="I354" s="22"/>
      <c r="J354" s="655"/>
      <c r="K354" s="1214"/>
      <c r="L354" s="1215"/>
    </row>
    <row r="355" spans="2:12" x14ac:dyDescent="0.25">
      <c r="B355" s="20"/>
      <c r="C355" s="20"/>
      <c r="D355" s="988">
        <v>7</v>
      </c>
      <c r="E355" s="22">
        <f t="shared" si="5"/>
        <v>1</v>
      </c>
      <c r="F355" s="22"/>
      <c r="G355" s="22"/>
      <c r="H355" s="22"/>
      <c r="I355" s="22"/>
      <c r="J355" s="655"/>
      <c r="K355" s="1214"/>
      <c r="L355" s="1215"/>
    </row>
    <row r="356" spans="2:12" x14ac:dyDescent="0.25">
      <c r="B356" s="20"/>
      <c r="C356" s="20"/>
      <c r="D356" s="988">
        <v>8</v>
      </c>
      <c r="E356" s="22">
        <f t="shared" si="5"/>
        <v>1</v>
      </c>
      <c r="F356" s="22"/>
      <c r="G356" s="22"/>
      <c r="H356" s="22"/>
      <c r="I356" s="22"/>
      <c r="J356" s="655"/>
      <c r="K356" s="1214"/>
      <c r="L356" s="1215"/>
    </row>
    <row r="357" spans="2:12" x14ac:dyDescent="0.25">
      <c r="B357" s="20"/>
      <c r="C357" s="20"/>
      <c r="D357" s="988">
        <v>9</v>
      </c>
      <c r="E357" s="22">
        <f t="shared" si="5"/>
        <v>1</v>
      </c>
      <c r="F357" s="22"/>
      <c r="G357" s="22"/>
      <c r="H357" s="22"/>
      <c r="I357" s="22"/>
      <c r="J357" s="655"/>
      <c r="K357" s="1214"/>
      <c r="L357" s="1215"/>
    </row>
    <row r="358" spans="2:12" x14ac:dyDescent="0.25">
      <c r="B358" s="20"/>
      <c r="C358" s="20"/>
      <c r="D358" s="988">
        <v>10</v>
      </c>
      <c r="E358" s="22">
        <v>1</v>
      </c>
      <c r="F358" s="22"/>
      <c r="G358" s="22"/>
      <c r="H358" s="22"/>
      <c r="I358" s="22"/>
      <c r="J358" s="655"/>
      <c r="K358" s="1214"/>
      <c r="L358" s="1215"/>
    </row>
    <row r="359" spans="2:12" x14ac:dyDescent="0.25">
      <c r="B359" s="20"/>
      <c r="C359" s="20"/>
      <c r="D359" s="988"/>
      <c r="E359" s="22"/>
      <c r="F359" s="22"/>
      <c r="G359" s="22"/>
      <c r="H359" s="22"/>
      <c r="I359" s="22"/>
      <c r="J359" s="655"/>
      <c r="K359" s="1214"/>
      <c r="L359" s="1215"/>
    </row>
    <row r="360" spans="2:12" x14ac:dyDescent="0.25">
      <c r="B360" s="20"/>
      <c r="C360" s="20"/>
      <c r="D360" s="1153">
        <v>2320</v>
      </c>
      <c r="E360" s="22"/>
      <c r="F360" s="22"/>
      <c r="G360" s="22"/>
      <c r="H360" s="22"/>
      <c r="I360" s="22"/>
      <c r="J360" s="655"/>
      <c r="K360" s="1214"/>
      <c r="L360" s="1215"/>
    </row>
    <row r="361" spans="2:12" x14ac:dyDescent="0.25">
      <c r="B361" s="20"/>
      <c r="C361" s="20"/>
      <c r="D361" s="1153">
        <v>2550</v>
      </c>
      <c r="E361" s="22"/>
      <c r="F361" s="22"/>
      <c r="G361" s="22"/>
      <c r="H361" s="22"/>
      <c r="I361" s="22"/>
      <c r="J361" s="655"/>
      <c r="K361" s="1214"/>
      <c r="L361" s="1215"/>
    </row>
    <row r="362" spans="2:12" x14ac:dyDescent="0.25">
      <c r="B362" s="20"/>
      <c r="C362" s="20"/>
      <c r="D362" s="1153">
        <v>2650</v>
      </c>
      <c r="E362" s="22"/>
      <c r="F362" s="22"/>
      <c r="G362" s="22"/>
      <c r="H362" s="22"/>
      <c r="I362" s="22"/>
      <c r="J362" s="655"/>
      <c r="K362" s="1214"/>
      <c r="L362" s="1215"/>
    </row>
    <row r="363" spans="2:12" x14ac:dyDescent="0.25">
      <c r="B363" s="20"/>
      <c r="C363" s="20"/>
      <c r="D363" s="1153">
        <v>2750</v>
      </c>
      <c r="E363" s="22"/>
      <c r="F363" s="22"/>
      <c r="G363" s="22"/>
      <c r="H363" s="22"/>
      <c r="I363" s="22"/>
      <c r="J363" s="655"/>
      <c r="K363" s="1214"/>
      <c r="L363" s="1215"/>
    </row>
    <row r="364" spans="2:12" x14ac:dyDescent="0.25">
      <c r="B364" s="20"/>
      <c r="C364" s="20"/>
      <c r="D364" s="1153">
        <v>2940</v>
      </c>
      <c r="E364" s="22"/>
      <c r="F364" s="22"/>
      <c r="G364" s="22"/>
      <c r="H364" s="22"/>
      <c r="I364" s="22"/>
      <c r="J364" s="655"/>
      <c r="K364" s="1214"/>
      <c r="L364" s="1215"/>
    </row>
    <row r="365" spans="2:12" x14ac:dyDescent="0.25">
      <c r="B365" s="20"/>
      <c r="C365" s="20"/>
      <c r="D365" s="1153">
        <v>3040</v>
      </c>
      <c r="E365" s="22"/>
      <c r="F365" s="22"/>
      <c r="G365" s="22"/>
      <c r="H365" s="22"/>
      <c r="I365" s="22"/>
      <c r="J365" s="655"/>
      <c r="K365" s="1214"/>
      <c r="L365" s="1215"/>
    </row>
    <row r="366" spans="2:12" x14ac:dyDescent="0.25">
      <c r="B366" s="20"/>
      <c r="C366" s="20"/>
      <c r="D366" s="1153">
        <v>3150</v>
      </c>
      <c r="E366" s="22"/>
      <c r="F366" s="22"/>
      <c r="G366" s="22"/>
      <c r="H366" s="22"/>
      <c r="I366" s="22"/>
      <c r="J366" s="655"/>
      <c r="K366" s="1214"/>
      <c r="L366" s="1215"/>
    </row>
    <row r="367" spans="2:12" x14ac:dyDescent="0.25">
      <c r="B367" s="20"/>
      <c r="C367" s="20"/>
      <c r="D367" s="1153">
        <v>3240</v>
      </c>
      <c r="E367" s="22"/>
      <c r="F367" s="22"/>
      <c r="G367" s="22"/>
      <c r="H367" s="22"/>
      <c r="I367" s="22"/>
      <c r="J367" s="655"/>
      <c r="K367" s="1214"/>
      <c r="L367" s="1215"/>
    </row>
    <row r="368" spans="2:12" x14ac:dyDescent="0.25">
      <c r="B368" s="20"/>
      <c r="C368" s="20"/>
      <c r="D368" s="1153">
        <v>3340</v>
      </c>
      <c r="E368" s="22"/>
      <c r="F368" s="22"/>
      <c r="G368" s="22"/>
      <c r="H368" s="22"/>
      <c r="I368" s="22"/>
      <c r="J368" s="655"/>
      <c r="K368" s="1214"/>
      <c r="L368" s="1215"/>
    </row>
    <row r="369" spans="2:12" x14ac:dyDescent="0.25">
      <c r="B369" s="20"/>
      <c r="C369" s="20"/>
      <c r="D369" s="1153">
        <v>3440</v>
      </c>
      <c r="E369" s="22"/>
      <c r="F369" s="22"/>
      <c r="G369" s="22"/>
      <c r="H369" s="22"/>
      <c r="I369" s="22"/>
      <c r="J369" s="655"/>
      <c r="K369" s="1214"/>
      <c r="L369" s="1215"/>
    </row>
    <row r="370" spans="2:12" x14ac:dyDescent="0.25">
      <c r="B370" s="20"/>
      <c r="C370" s="20"/>
      <c r="D370" s="1153">
        <v>3540</v>
      </c>
      <c r="E370" s="22"/>
      <c r="F370" s="22"/>
      <c r="G370" s="22"/>
      <c r="H370" s="22"/>
      <c r="I370" s="22"/>
      <c r="J370" s="655"/>
      <c r="K370" s="1214"/>
      <c r="L370" s="1215"/>
    </row>
    <row r="371" spans="2:12" x14ac:dyDescent="0.25">
      <c r="B371" s="20"/>
      <c r="C371" s="20"/>
      <c r="D371" s="1153">
        <v>3640</v>
      </c>
      <c r="E371" s="22"/>
      <c r="F371" s="22"/>
      <c r="G371" s="22"/>
      <c r="H371" s="22"/>
      <c r="I371" s="22"/>
      <c r="J371" s="655"/>
      <c r="K371" s="1214"/>
      <c r="L371" s="1215"/>
    </row>
    <row r="372" spans="2:12" x14ac:dyDescent="0.25">
      <c r="B372" s="20"/>
      <c r="C372" s="20"/>
      <c r="D372" s="1153">
        <v>3740</v>
      </c>
      <c r="E372" s="22"/>
      <c r="F372" s="22"/>
      <c r="G372" s="22"/>
      <c r="H372" s="22"/>
      <c r="I372" s="22"/>
      <c r="J372" s="655"/>
      <c r="K372" s="1214"/>
      <c r="L372" s="1215"/>
    </row>
    <row r="373" spans="2:12" x14ac:dyDescent="0.25">
      <c r="B373" s="20"/>
      <c r="C373" s="20"/>
      <c r="D373" s="1153">
        <v>3840</v>
      </c>
      <c r="E373" s="22"/>
      <c r="F373" s="22"/>
      <c r="G373" s="22"/>
      <c r="H373" s="22"/>
      <c r="I373" s="22"/>
      <c r="J373" s="655"/>
      <c r="K373" s="1214"/>
      <c r="L373" s="1215"/>
    </row>
    <row r="374" spans="2:12" x14ac:dyDescent="0.25">
      <c r="B374" s="20"/>
      <c r="C374" s="20"/>
      <c r="D374" s="988"/>
      <c r="E374" s="22"/>
      <c r="F374" s="22"/>
      <c r="G374" s="22"/>
      <c r="H374" s="22"/>
      <c r="I374" s="22"/>
      <c r="J374" s="655"/>
      <c r="K374" s="1214"/>
      <c r="L374" s="1215"/>
    </row>
    <row r="375" spans="2:12" x14ac:dyDescent="0.25">
      <c r="B375" s="20"/>
      <c r="C375" s="20"/>
      <c r="D375" s="1147" t="s">
        <v>906</v>
      </c>
      <c r="E375" s="22"/>
      <c r="F375" s="22"/>
      <c r="G375" s="708">
        <f>0.9+0.1+0.1</f>
        <v>1.1000000000000001</v>
      </c>
      <c r="H375" s="22"/>
      <c r="I375" s="22"/>
      <c r="J375" s="655"/>
      <c r="K375" s="1214"/>
      <c r="L375" s="1215"/>
    </row>
    <row r="376" spans="2:12" x14ac:dyDescent="0.25">
      <c r="B376" s="20"/>
      <c r="C376" s="20"/>
      <c r="D376" s="1147" t="s">
        <v>907</v>
      </c>
      <c r="E376" s="22"/>
      <c r="F376" s="22"/>
      <c r="G376" s="708">
        <v>0.6</v>
      </c>
      <c r="H376" s="22"/>
      <c r="I376" s="22"/>
      <c r="J376" s="655"/>
      <c r="K376" s="1214"/>
      <c r="L376" s="1215"/>
    </row>
    <row r="377" spans="2:12" x14ac:dyDescent="0.25">
      <c r="B377" s="20"/>
      <c r="C377" s="20"/>
      <c r="D377" s="32"/>
      <c r="E377" s="22"/>
      <c r="F377" s="22"/>
      <c r="G377" s="20">
        <f>SUM(G375:G376)</f>
        <v>1.7000000000000002</v>
      </c>
      <c r="H377" s="22"/>
      <c r="I377" s="22"/>
      <c r="J377" s="655"/>
      <c r="K377" s="1214"/>
      <c r="L377" s="1215"/>
    </row>
    <row r="378" spans="2:12" x14ac:dyDescent="0.25">
      <c r="B378" s="20"/>
      <c r="C378" s="20"/>
      <c r="D378" s="1147" t="s">
        <v>908</v>
      </c>
      <c r="E378" s="22"/>
      <c r="F378" s="22"/>
      <c r="G378" s="20"/>
      <c r="H378" s="708">
        <v>0.1</v>
      </c>
      <c r="I378" s="22"/>
      <c r="J378" s="655"/>
      <c r="K378" s="1214"/>
      <c r="L378" s="1215"/>
    </row>
    <row r="379" spans="2:12" x14ac:dyDescent="0.25">
      <c r="B379" s="20"/>
      <c r="C379" s="20"/>
      <c r="D379" s="1147" t="s">
        <v>909</v>
      </c>
      <c r="E379" s="22"/>
      <c r="F379" s="22"/>
      <c r="G379" s="20"/>
      <c r="H379" s="708">
        <f>0.9+0.1+0.1</f>
        <v>1.1000000000000001</v>
      </c>
      <c r="I379" s="22"/>
      <c r="J379" s="655"/>
      <c r="K379" s="1214"/>
      <c r="L379" s="1215"/>
    </row>
    <row r="380" spans="2:12" x14ac:dyDescent="0.25">
      <c r="B380" s="20"/>
      <c r="C380" s="20"/>
      <c r="D380" s="1147" t="s">
        <v>910</v>
      </c>
      <c r="E380" s="22"/>
      <c r="F380" s="22"/>
      <c r="G380" s="20"/>
      <c r="H380" s="708">
        <v>0.5</v>
      </c>
      <c r="I380" s="22"/>
      <c r="J380" s="655"/>
      <c r="K380" s="1214"/>
      <c r="L380" s="1215"/>
    </row>
    <row r="381" spans="2:12" x14ac:dyDescent="0.25">
      <c r="B381" s="20"/>
      <c r="C381" s="20"/>
      <c r="D381" s="1147" t="s">
        <v>911</v>
      </c>
      <c r="E381" s="22"/>
      <c r="F381" s="22"/>
      <c r="G381" s="20"/>
      <c r="H381" s="708">
        <v>0.18</v>
      </c>
      <c r="I381" s="22"/>
      <c r="J381" s="655"/>
      <c r="K381" s="1214"/>
      <c r="L381" s="1215"/>
    </row>
    <row r="382" spans="2:12" x14ac:dyDescent="0.25">
      <c r="B382" s="20"/>
      <c r="C382" s="20"/>
      <c r="D382" s="1147" t="s">
        <v>912</v>
      </c>
      <c r="E382" s="22"/>
      <c r="F382" s="22"/>
      <c r="G382" s="20"/>
      <c r="H382" s="708">
        <v>0.15</v>
      </c>
      <c r="I382" s="22"/>
      <c r="J382" s="655"/>
      <c r="K382" s="1214"/>
      <c r="L382" s="1215"/>
    </row>
    <row r="383" spans="2:12" x14ac:dyDescent="0.25">
      <c r="B383" s="20"/>
      <c r="C383" s="20"/>
      <c r="D383" s="32"/>
      <c r="E383" s="22"/>
      <c r="F383" s="22"/>
      <c r="G383" s="22"/>
      <c r="H383" s="20">
        <f>SUM(H378:H382)</f>
        <v>2.0300000000000002</v>
      </c>
      <c r="I383" s="22"/>
      <c r="J383" s="655"/>
      <c r="K383" s="1214"/>
      <c r="L383" s="1215"/>
    </row>
    <row r="384" spans="2:12" x14ac:dyDescent="0.25">
      <c r="B384" s="20"/>
      <c r="C384" s="20"/>
      <c r="D384" s="32" t="s">
        <v>1224</v>
      </c>
      <c r="E384" s="22">
        <v>1</v>
      </c>
      <c r="F384" s="22">
        <v>6</v>
      </c>
      <c r="G384" s="22">
        <v>2</v>
      </c>
      <c r="H384" s="20">
        <v>2</v>
      </c>
      <c r="I384" s="22">
        <f>+F384*G384*H384*E384</f>
        <v>24</v>
      </c>
      <c r="J384" s="655">
        <f>+I384/2</f>
        <v>12</v>
      </c>
      <c r="K384" s="1214"/>
      <c r="L384" s="1215"/>
    </row>
    <row r="385" spans="2:12" x14ac:dyDescent="0.25">
      <c r="B385" s="20"/>
      <c r="C385" s="20"/>
      <c r="D385" s="32" t="s">
        <v>1226</v>
      </c>
      <c r="E385" s="22">
        <v>1</v>
      </c>
      <c r="F385" s="22">
        <v>2.5</v>
      </c>
      <c r="G385" s="22">
        <v>1</v>
      </c>
      <c r="H385" s="20">
        <v>1</v>
      </c>
      <c r="I385" s="22">
        <f>+F385*G385*H385*E385</f>
        <v>2.5</v>
      </c>
      <c r="J385" s="655">
        <f>+I385</f>
        <v>2.5</v>
      </c>
      <c r="K385" s="1214"/>
      <c r="L385" s="1215"/>
    </row>
    <row r="386" spans="2:12" x14ac:dyDescent="0.25">
      <c r="B386" s="20"/>
      <c r="C386" s="20"/>
      <c r="D386" s="32"/>
      <c r="E386" s="706" t="s">
        <v>75</v>
      </c>
      <c r="F386" s="706" t="s">
        <v>76</v>
      </c>
      <c r="G386" s="798" t="s">
        <v>77</v>
      </c>
      <c r="H386" s="22"/>
      <c r="I386" s="22"/>
      <c r="J386" s="654"/>
      <c r="K386" s="1214"/>
      <c r="L386" s="1215"/>
    </row>
    <row r="387" spans="2:12" x14ac:dyDescent="0.25">
      <c r="B387" s="20"/>
      <c r="C387" s="20"/>
      <c r="D387" s="714" t="s">
        <v>903</v>
      </c>
      <c r="E387" s="25">
        <f>+E276</f>
        <v>200</v>
      </c>
      <c r="F387" s="22">
        <v>0.5</v>
      </c>
      <c r="G387" s="22">
        <v>0.5</v>
      </c>
      <c r="H387" s="22"/>
      <c r="I387" s="22"/>
      <c r="J387" s="655">
        <f>ROUND(G387*F387*E387,0)</f>
        <v>50</v>
      </c>
      <c r="K387" s="1214"/>
      <c r="L387" s="1215"/>
    </row>
    <row r="388" spans="2:12" x14ac:dyDescent="0.25">
      <c r="B388" s="20"/>
      <c r="C388" s="20"/>
      <c r="D388" s="714" t="s">
        <v>904</v>
      </c>
      <c r="E388" s="25">
        <f>+E387</f>
        <v>200</v>
      </c>
      <c r="F388" s="22">
        <v>0.5</v>
      </c>
      <c r="G388" s="22">
        <v>0.5</v>
      </c>
      <c r="H388" s="22"/>
      <c r="I388" s="22"/>
      <c r="J388" s="655">
        <f>ROUND(G388*F388*E388,0)</f>
        <v>50</v>
      </c>
      <c r="K388" s="1214"/>
      <c r="L388" s="1215"/>
    </row>
    <row r="389" spans="2:12" x14ac:dyDescent="0.25">
      <c r="B389" s="20"/>
      <c r="C389" s="20"/>
      <c r="D389" s="714"/>
      <c r="E389" s="25"/>
      <c r="F389" s="22"/>
      <c r="G389" s="22"/>
      <c r="H389" s="655"/>
      <c r="I389" s="655"/>
      <c r="J389" s="655"/>
      <c r="K389" s="1214"/>
      <c r="L389" s="1215"/>
    </row>
    <row r="390" spans="2:12" ht="18" customHeight="1" x14ac:dyDescent="0.25">
      <c r="B390" s="1196" t="s">
        <v>973</v>
      </c>
      <c r="C390" s="1197"/>
      <c r="D390" s="1197"/>
      <c r="E390" s="1197"/>
      <c r="F390" s="1198"/>
      <c r="G390" s="22"/>
      <c r="H390" s="655"/>
      <c r="I390" s="655"/>
      <c r="J390" s="655"/>
      <c r="K390" s="1214"/>
      <c r="L390" s="1215"/>
    </row>
    <row r="391" spans="2:12" x14ac:dyDescent="0.25">
      <c r="B391" s="1199"/>
      <c r="C391" s="1200"/>
      <c r="D391" s="1200"/>
      <c r="E391" s="1200"/>
      <c r="F391" s="1201"/>
      <c r="G391" s="22"/>
      <c r="H391" s="655"/>
      <c r="I391" s="655"/>
      <c r="J391" s="655"/>
      <c r="K391" s="1214"/>
      <c r="L391" s="1215"/>
    </row>
    <row r="392" spans="2:12" s="15" customFormat="1" ht="52.5" customHeight="1" x14ac:dyDescent="0.25">
      <c r="B392" s="1202"/>
      <c r="C392" s="1203"/>
      <c r="D392" s="1203"/>
      <c r="E392" s="1203"/>
      <c r="F392" s="1204"/>
      <c r="G392" s="783" t="s">
        <v>80</v>
      </c>
      <c r="H392" s="783"/>
      <c r="I392" s="783"/>
      <c r="J392" s="792">
        <f>ROUND(SUM(J292:J388),0)</f>
        <v>952</v>
      </c>
      <c r="K392" s="1216"/>
      <c r="L392" s="1217"/>
    </row>
    <row r="394" spans="2:12" s="15" customFormat="1" ht="15.75" x14ac:dyDescent="0.25">
      <c r="B394" s="632"/>
      <c r="C394" s="632"/>
      <c r="D394" s="27"/>
      <c r="E394" s="27"/>
      <c r="F394" s="27"/>
      <c r="H394" s="24"/>
      <c r="I394" s="24"/>
    </row>
    <row r="395" spans="2:12" ht="15.75" x14ac:dyDescent="0.25">
      <c r="D395" s="626"/>
      <c r="E395" s="1209" t="s">
        <v>78</v>
      </c>
      <c r="F395" s="1210"/>
      <c r="G395" s="1210"/>
      <c r="H395" s="1211"/>
      <c r="I395" s="782" t="s">
        <v>79</v>
      </c>
      <c r="J395" s="54" t="str">
        <f>+P.Detall!F40</f>
        <v>M3</v>
      </c>
      <c r="K395" s="1205" t="s">
        <v>971</v>
      </c>
      <c r="L395" s="1206"/>
    </row>
    <row r="396" spans="2:12" x14ac:dyDescent="0.25">
      <c r="B396" s="629" t="s">
        <v>2</v>
      </c>
      <c r="C396" s="629" t="s">
        <v>2</v>
      </c>
      <c r="D396" s="629" t="s">
        <v>4</v>
      </c>
      <c r="E396" s="706" t="s">
        <v>75</v>
      </c>
      <c r="F396" s="706" t="s">
        <v>76</v>
      </c>
      <c r="G396" s="706" t="s">
        <v>77</v>
      </c>
      <c r="H396" s="706" t="s">
        <v>874</v>
      </c>
      <c r="I396" s="706" t="s">
        <v>892</v>
      </c>
      <c r="J396" s="790" t="s">
        <v>88</v>
      </c>
      <c r="K396" s="1207"/>
      <c r="L396" s="1208"/>
    </row>
    <row r="397" spans="2:12" x14ac:dyDescent="0.25">
      <c r="B397" s="47" t="s">
        <v>106</v>
      </c>
      <c r="C397" s="20" t="s">
        <v>9</v>
      </c>
      <c r="D397" s="742" t="str">
        <f>+P.Detall!E40</f>
        <v>EXCAVACIONES VARIAS EN ROCA EN SECO</v>
      </c>
      <c r="E397" s="25"/>
      <c r="F397" s="22"/>
      <c r="G397" s="22"/>
      <c r="H397" s="22"/>
      <c r="I397" s="22"/>
      <c r="J397" s="655"/>
      <c r="K397" s="1195"/>
      <c r="L397" s="1195"/>
    </row>
    <row r="398" spans="2:12" x14ac:dyDescent="0.25">
      <c r="B398" s="20"/>
      <c r="C398" s="20"/>
      <c r="D398" s="32" t="s">
        <v>104</v>
      </c>
      <c r="E398" s="25"/>
      <c r="F398" s="22"/>
      <c r="G398" s="22"/>
      <c r="H398" s="22">
        <f>+J293</f>
        <v>449.6</v>
      </c>
      <c r="I398" s="22">
        <v>0.25</v>
      </c>
      <c r="J398" s="655">
        <f>+H398*I398</f>
        <v>112.4</v>
      </c>
      <c r="K398" s="1195"/>
      <c r="L398" s="1195"/>
    </row>
    <row r="399" spans="2:12" x14ac:dyDescent="0.25">
      <c r="B399" s="20"/>
      <c r="C399" s="20"/>
      <c r="D399" s="32" t="s">
        <v>105</v>
      </c>
      <c r="E399" s="22"/>
      <c r="F399" s="22"/>
      <c r="G399" s="22"/>
      <c r="H399" s="22">
        <f>+J346</f>
        <v>388.23750000000007</v>
      </c>
      <c r="I399" s="22">
        <v>0.25</v>
      </c>
      <c r="J399" s="655">
        <f>+H399*I399</f>
        <v>97.059375000000017</v>
      </c>
      <c r="K399" s="1195"/>
      <c r="L399" s="1195"/>
    </row>
    <row r="400" spans="2:12" x14ac:dyDescent="0.25">
      <c r="B400" s="20"/>
      <c r="C400" s="20"/>
      <c r="D400" s="32" t="s">
        <v>903</v>
      </c>
      <c r="E400" s="25"/>
      <c r="F400" s="22"/>
      <c r="G400" s="22"/>
      <c r="H400" s="22">
        <f>+J387</f>
        <v>50</v>
      </c>
      <c r="I400" s="22">
        <f>+I399</f>
        <v>0.25</v>
      </c>
      <c r="J400" s="655">
        <f>+H400*I400</f>
        <v>12.5</v>
      </c>
      <c r="K400" s="1195"/>
      <c r="L400" s="1195"/>
    </row>
    <row r="401" spans="2:12" x14ac:dyDescent="0.25">
      <c r="B401" s="20"/>
      <c r="C401" s="20"/>
      <c r="D401" s="32" t="s">
        <v>904</v>
      </c>
      <c r="E401" s="25"/>
      <c r="F401" s="22"/>
      <c r="G401" s="22"/>
      <c r="H401" s="22">
        <f>+J388</f>
        <v>50</v>
      </c>
      <c r="I401" s="22">
        <f>+I400</f>
        <v>0.25</v>
      </c>
      <c r="J401" s="655">
        <f>+H401*I401</f>
        <v>12.5</v>
      </c>
      <c r="K401" s="1195"/>
      <c r="L401" s="1195"/>
    </row>
    <row r="402" spans="2:12" x14ac:dyDescent="0.25">
      <c r="B402" s="20"/>
      <c r="C402" s="20"/>
      <c r="D402" s="25" t="str">
        <f>+D384</f>
        <v>BOX COULVER</v>
      </c>
      <c r="E402" s="1067"/>
      <c r="F402" s="1068"/>
      <c r="G402" s="1068"/>
      <c r="H402" s="22">
        <f>+J384+J385</f>
        <v>14.5</v>
      </c>
      <c r="I402" s="22">
        <f>+I401</f>
        <v>0.25</v>
      </c>
      <c r="J402" s="655">
        <f>+H402*I402</f>
        <v>3.625</v>
      </c>
      <c r="K402" s="1195"/>
      <c r="L402" s="1195"/>
    </row>
    <row r="403" spans="2:12" ht="15" customHeight="1" x14ac:dyDescent="0.25">
      <c r="B403" s="1196" t="s">
        <v>972</v>
      </c>
      <c r="C403" s="1197"/>
      <c r="D403" s="1197"/>
      <c r="E403" s="1197"/>
      <c r="F403" s="1198"/>
      <c r="G403" s="22"/>
      <c r="H403" s="22"/>
      <c r="I403" s="22"/>
      <c r="J403" s="654"/>
      <c r="K403" s="1195"/>
      <c r="L403" s="1195"/>
    </row>
    <row r="404" spans="2:12" x14ac:dyDescent="0.25">
      <c r="B404" s="1199"/>
      <c r="C404" s="1200"/>
      <c r="D404" s="1200"/>
      <c r="E404" s="1200"/>
      <c r="F404" s="1201"/>
      <c r="G404" s="22"/>
      <c r="H404" s="22"/>
      <c r="I404" s="22"/>
      <c r="J404" s="654"/>
      <c r="K404" s="1195"/>
      <c r="L404" s="1195"/>
    </row>
    <row r="405" spans="2:12" s="15" customFormat="1" x14ac:dyDescent="0.25">
      <c r="B405" s="1202"/>
      <c r="C405" s="1203"/>
      <c r="D405" s="1203"/>
      <c r="E405" s="1203"/>
      <c r="F405" s="1204"/>
      <c r="G405" s="783" t="s">
        <v>80</v>
      </c>
      <c r="H405" s="783"/>
      <c r="I405" s="783"/>
      <c r="J405" s="792">
        <f>ROUND(SUM(J397:J402),0)</f>
        <v>238</v>
      </c>
      <c r="K405" s="1195"/>
      <c r="L405" s="1195"/>
    </row>
    <row r="409" spans="2:12" ht="15.75" x14ac:dyDescent="0.25">
      <c r="D409" s="626"/>
      <c r="E409" s="1209" t="s">
        <v>78</v>
      </c>
      <c r="F409" s="1210"/>
      <c r="G409" s="1210"/>
      <c r="H409" s="1211"/>
      <c r="I409" s="782" t="s">
        <v>79</v>
      </c>
      <c r="J409" s="54" t="str">
        <f>+P.Detall!F41</f>
        <v>M3</v>
      </c>
      <c r="K409" s="1205" t="s">
        <v>971</v>
      </c>
      <c r="L409" s="1206"/>
    </row>
    <row r="410" spans="2:12" x14ac:dyDescent="0.25">
      <c r="B410" s="629" t="s">
        <v>2</v>
      </c>
      <c r="C410" s="629" t="s">
        <v>2</v>
      </c>
      <c r="D410" s="629" t="s">
        <v>4</v>
      </c>
      <c r="E410" s="629" t="s">
        <v>75</v>
      </c>
      <c r="F410" s="629" t="s">
        <v>76</v>
      </c>
      <c r="G410" s="629" t="s">
        <v>77</v>
      </c>
      <c r="H410" s="706" t="s">
        <v>874</v>
      </c>
      <c r="I410" s="706" t="s">
        <v>892</v>
      </c>
      <c r="J410" s="652" t="s">
        <v>88</v>
      </c>
      <c r="K410" s="1207"/>
      <c r="L410" s="1208"/>
    </row>
    <row r="411" spans="2:12" x14ac:dyDescent="0.25">
      <c r="B411" s="47" t="s">
        <v>109</v>
      </c>
      <c r="C411" s="20" t="s">
        <v>9</v>
      </c>
      <c r="D411" s="742" t="str">
        <f>+P.Detall!E41</f>
        <v>EXCAVACIONES VARIAS EN ROCA BAJO AGUA</v>
      </c>
      <c r="E411" s="25"/>
      <c r="F411" s="22"/>
      <c r="G411" s="22"/>
      <c r="H411" s="655"/>
      <c r="I411" s="655"/>
      <c r="J411" s="655"/>
      <c r="K411" s="1195"/>
      <c r="L411" s="1195"/>
    </row>
    <row r="412" spans="2:12" x14ac:dyDescent="0.25">
      <c r="B412" s="20"/>
      <c r="C412" s="20"/>
      <c r="D412" s="32" t="s">
        <v>104</v>
      </c>
      <c r="E412" s="25"/>
      <c r="F412" s="22"/>
      <c r="G412" s="22"/>
      <c r="H412" s="655">
        <f>+H398</f>
        <v>449.6</v>
      </c>
      <c r="I412" s="655">
        <v>0.05</v>
      </c>
      <c r="J412" s="655">
        <f>+H412*I412</f>
        <v>22.480000000000004</v>
      </c>
      <c r="K412" s="1195"/>
      <c r="L412" s="1195"/>
    </row>
    <row r="413" spans="2:12" x14ac:dyDescent="0.25">
      <c r="B413" s="20"/>
      <c r="C413" s="20"/>
      <c r="D413" s="32" t="s">
        <v>105</v>
      </c>
      <c r="E413" s="22"/>
      <c r="F413" s="22"/>
      <c r="G413" s="22"/>
      <c r="H413" s="655">
        <f>+H399</f>
        <v>388.23750000000007</v>
      </c>
      <c r="I413" s="655">
        <f>+I412</f>
        <v>0.05</v>
      </c>
      <c r="J413" s="655">
        <f t="shared" ref="J413:J416" si="6">+H413*I413</f>
        <v>19.411875000000006</v>
      </c>
      <c r="K413" s="1195"/>
      <c r="L413" s="1195"/>
    </row>
    <row r="414" spans="2:12" x14ac:dyDescent="0.25">
      <c r="B414" s="20"/>
      <c r="C414" s="20"/>
      <c r="D414" s="32" t="s">
        <v>903</v>
      </c>
      <c r="E414" s="25"/>
      <c r="F414" s="22"/>
      <c r="G414" s="22"/>
      <c r="H414" s="655">
        <f>+H400</f>
        <v>50</v>
      </c>
      <c r="I414" s="655">
        <f t="shared" ref="I414:I416" si="7">+I413</f>
        <v>0.05</v>
      </c>
      <c r="J414" s="655">
        <f t="shared" si="6"/>
        <v>2.5</v>
      </c>
      <c r="K414" s="1195"/>
      <c r="L414" s="1195"/>
    </row>
    <row r="415" spans="2:12" x14ac:dyDescent="0.25">
      <c r="B415" s="20"/>
      <c r="C415" s="20"/>
      <c r="D415" s="32" t="s">
        <v>904</v>
      </c>
      <c r="E415" s="25"/>
      <c r="F415" s="22"/>
      <c r="G415" s="22"/>
      <c r="H415" s="655">
        <f>+H401</f>
        <v>50</v>
      </c>
      <c r="I415" s="655">
        <f t="shared" si="7"/>
        <v>0.05</v>
      </c>
      <c r="J415" s="655">
        <f t="shared" si="6"/>
        <v>2.5</v>
      </c>
      <c r="K415" s="1195"/>
      <c r="L415" s="1195"/>
    </row>
    <row r="416" spans="2:12" x14ac:dyDescent="0.25">
      <c r="B416" s="20"/>
      <c r="C416" s="20"/>
      <c r="D416" s="25" t="str">
        <f>+D402</f>
        <v>BOX COULVER</v>
      </c>
      <c r="E416" s="25"/>
      <c r="F416" s="22"/>
      <c r="G416" s="22"/>
      <c r="H416" s="655">
        <f>+H402</f>
        <v>14.5</v>
      </c>
      <c r="I416" s="655">
        <f t="shared" si="7"/>
        <v>0.05</v>
      </c>
      <c r="J416" s="655">
        <f t="shared" si="6"/>
        <v>0.72500000000000009</v>
      </c>
      <c r="K416" s="1195"/>
      <c r="L416" s="1195"/>
    </row>
    <row r="417" spans="2:12" ht="15" customHeight="1" x14ac:dyDescent="0.25">
      <c r="B417" s="1196" t="s">
        <v>972</v>
      </c>
      <c r="C417" s="1197"/>
      <c r="D417" s="1197"/>
      <c r="E417" s="1197"/>
      <c r="F417" s="1198"/>
      <c r="G417" s="22"/>
      <c r="H417" s="655"/>
      <c r="I417" s="655"/>
      <c r="J417" s="655"/>
      <c r="K417" s="1195"/>
      <c r="L417" s="1195"/>
    </row>
    <row r="418" spans="2:12" x14ac:dyDescent="0.25">
      <c r="B418" s="1199"/>
      <c r="C418" s="1200"/>
      <c r="D418" s="1200"/>
      <c r="E418" s="1200"/>
      <c r="F418" s="1201"/>
      <c r="G418" s="22"/>
      <c r="H418" s="655"/>
      <c r="I418" s="655"/>
      <c r="J418" s="655"/>
      <c r="K418" s="1195"/>
      <c r="L418" s="1195"/>
    </row>
    <row r="419" spans="2:12" s="15" customFormat="1" x14ac:dyDescent="0.25">
      <c r="B419" s="1202"/>
      <c r="C419" s="1203"/>
      <c r="D419" s="1203"/>
      <c r="E419" s="1203"/>
      <c r="F419" s="1204"/>
      <c r="G419" s="783" t="s">
        <v>80</v>
      </c>
      <c r="H419" s="783"/>
      <c r="I419" s="783"/>
      <c r="J419" s="792">
        <f>ROUND(SUM(J411:J416),0)</f>
        <v>48</v>
      </c>
      <c r="K419" s="1195"/>
      <c r="L419" s="1195"/>
    </row>
    <row r="420" spans="2:12" s="15" customFormat="1" x14ac:dyDescent="0.25">
      <c r="B420" s="799"/>
      <c r="C420" s="799"/>
      <c r="D420" s="799"/>
      <c r="E420" s="799"/>
      <c r="F420" s="799"/>
      <c r="G420" s="55"/>
      <c r="H420" s="55"/>
      <c r="I420" s="55"/>
      <c r="J420" s="549"/>
      <c r="K420" s="791"/>
      <c r="L420" s="791"/>
    </row>
    <row r="421" spans="2:12" s="15" customFormat="1" x14ac:dyDescent="0.25">
      <c r="B421" s="799"/>
      <c r="C421" s="799"/>
      <c r="D421" s="799"/>
      <c r="E421" s="799"/>
      <c r="F421" s="799"/>
      <c r="G421" s="55"/>
      <c r="H421" s="55"/>
      <c r="I421" s="55"/>
      <c r="J421" s="549"/>
      <c r="K421" s="791"/>
      <c r="L421" s="791"/>
    </row>
    <row r="422" spans="2:12" ht="15.75" x14ac:dyDescent="0.25">
      <c r="D422" s="626"/>
      <c r="E422" s="1209" t="s">
        <v>78</v>
      </c>
      <c r="F422" s="1210"/>
      <c r="G422" s="1210"/>
      <c r="H422" s="1211"/>
      <c r="I422" s="782" t="s">
        <v>79</v>
      </c>
      <c r="J422" s="54" t="str">
        <f>+P.Detall!F42</f>
        <v>M3</v>
      </c>
      <c r="K422" s="1205" t="s">
        <v>971</v>
      </c>
      <c r="L422" s="1206"/>
    </row>
    <row r="423" spans="2:12" x14ac:dyDescent="0.25">
      <c r="B423" s="629" t="s">
        <v>2</v>
      </c>
      <c r="C423" s="629" t="s">
        <v>2</v>
      </c>
      <c r="D423" s="629" t="s">
        <v>4</v>
      </c>
      <c r="E423" s="629" t="s">
        <v>75</v>
      </c>
      <c r="F423" s="629" t="s">
        <v>76</v>
      </c>
      <c r="G423" s="629" t="s">
        <v>77</v>
      </c>
      <c r="H423" s="706" t="s">
        <v>874</v>
      </c>
      <c r="I423" s="706" t="s">
        <v>892</v>
      </c>
      <c r="J423" s="652" t="s">
        <v>88</v>
      </c>
      <c r="K423" s="1207"/>
      <c r="L423" s="1208"/>
    </row>
    <row r="424" spans="2:12" ht="27" customHeight="1" x14ac:dyDescent="0.25">
      <c r="B424" s="47" t="s">
        <v>110</v>
      </c>
      <c r="C424" s="20" t="s">
        <v>9</v>
      </c>
      <c r="D424" s="742" t="str">
        <f>+P.Detall!E42</f>
        <v>EXCAVACIONES VARIAS EN MATERIAL COMÚN BAJO AGUA</v>
      </c>
      <c r="E424" s="25"/>
      <c r="F424" s="22"/>
      <c r="G424" s="22"/>
      <c r="H424" s="655"/>
      <c r="I424" s="655"/>
      <c r="J424" s="655"/>
      <c r="K424" s="1195"/>
      <c r="L424" s="1195"/>
    </row>
    <row r="425" spans="2:12" x14ac:dyDescent="0.25">
      <c r="B425" s="20"/>
      <c r="C425" s="20"/>
      <c r="D425" s="32" t="s">
        <v>104</v>
      </c>
      <c r="E425" s="25"/>
      <c r="F425" s="22"/>
      <c r="G425" s="22"/>
      <c r="H425" s="655">
        <f>+H412</f>
        <v>449.6</v>
      </c>
      <c r="I425" s="655">
        <v>0.01</v>
      </c>
      <c r="J425" s="655">
        <f>+H425*I425</f>
        <v>4.4960000000000004</v>
      </c>
      <c r="K425" s="1195"/>
      <c r="L425" s="1195"/>
    </row>
    <row r="426" spans="2:12" x14ac:dyDescent="0.25">
      <c r="B426" s="20"/>
      <c r="C426" s="20"/>
      <c r="D426" s="32" t="s">
        <v>105</v>
      </c>
      <c r="E426" s="22"/>
      <c r="F426" s="22"/>
      <c r="G426" s="22"/>
      <c r="H426" s="655">
        <f>+H413</f>
        <v>388.23750000000007</v>
      </c>
      <c r="I426" s="655">
        <f>+I425</f>
        <v>0.01</v>
      </c>
      <c r="J426" s="655">
        <f t="shared" ref="J426:J429" si="8">+H426*I426</f>
        <v>3.8823750000000006</v>
      </c>
      <c r="K426" s="1195"/>
      <c r="L426" s="1195"/>
    </row>
    <row r="427" spans="2:12" x14ac:dyDescent="0.25">
      <c r="B427" s="20"/>
      <c r="C427" s="20"/>
      <c r="D427" s="32" t="s">
        <v>903</v>
      </c>
      <c r="E427" s="25"/>
      <c r="F427" s="22"/>
      <c r="G427" s="22"/>
      <c r="H427" s="655">
        <f>+H414</f>
        <v>50</v>
      </c>
      <c r="I427" s="655">
        <f t="shared" ref="I427:I429" si="9">+I426</f>
        <v>0.01</v>
      </c>
      <c r="J427" s="655">
        <f t="shared" si="8"/>
        <v>0.5</v>
      </c>
      <c r="K427" s="1195"/>
      <c r="L427" s="1195"/>
    </row>
    <row r="428" spans="2:12" x14ac:dyDescent="0.25">
      <c r="B428" s="20"/>
      <c r="C428" s="20"/>
      <c r="D428" s="32" t="s">
        <v>904</v>
      </c>
      <c r="E428" s="25"/>
      <c r="F428" s="22"/>
      <c r="G428" s="22"/>
      <c r="H428" s="655">
        <f>+H415</f>
        <v>50</v>
      </c>
      <c r="I428" s="655">
        <f t="shared" si="9"/>
        <v>0.01</v>
      </c>
      <c r="J428" s="655">
        <f t="shared" si="8"/>
        <v>0.5</v>
      </c>
      <c r="K428" s="1195"/>
      <c r="L428" s="1195"/>
    </row>
    <row r="429" spans="2:12" x14ac:dyDescent="0.25">
      <c r="B429" s="20"/>
      <c r="C429" s="20"/>
      <c r="D429" s="25" t="str">
        <f>+D416</f>
        <v>BOX COULVER</v>
      </c>
      <c r="E429" s="25"/>
      <c r="F429" s="22"/>
      <c r="G429" s="22"/>
      <c r="H429" s="655">
        <f>+H416</f>
        <v>14.5</v>
      </c>
      <c r="I429" s="655">
        <f t="shared" si="9"/>
        <v>0.01</v>
      </c>
      <c r="J429" s="655">
        <f t="shared" si="8"/>
        <v>0.14499999999999999</v>
      </c>
      <c r="K429" s="1195"/>
      <c r="L429" s="1195"/>
    </row>
    <row r="430" spans="2:12" ht="15" customHeight="1" x14ac:dyDescent="0.25">
      <c r="B430" s="1196" t="s">
        <v>972</v>
      </c>
      <c r="C430" s="1197"/>
      <c r="D430" s="1197"/>
      <c r="E430" s="1197"/>
      <c r="F430" s="1198"/>
      <c r="G430" s="22"/>
      <c r="H430" s="655"/>
      <c r="I430" s="655"/>
      <c r="J430" s="655"/>
      <c r="K430" s="1195"/>
      <c r="L430" s="1195"/>
    </row>
    <row r="431" spans="2:12" x14ac:dyDescent="0.25">
      <c r="B431" s="1199"/>
      <c r="C431" s="1200"/>
      <c r="D431" s="1200"/>
      <c r="E431" s="1200"/>
      <c r="F431" s="1201"/>
      <c r="G431" s="22"/>
      <c r="H431" s="655"/>
      <c r="I431" s="655"/>
      <c r="J431" s="655"/>
      <c r="K431" s="1195"/>
      <c r="L431" s="1195"/>
    </row>
    <row r="432" spans="2:12" s="15" customFormat="1" x14ac:dyDescent="0.25">
      <c r="B432" s="1202"/>
      <c r="C432" s="1203"/>
      <c r="D432" s="1203"/>
      <c r="E432" s="1203"/>
      <c r="F432" s="1204"/>
      <c r="G432" s="783" t="s">
        <v>80</v>
      </c>
      <c r="H432" s="783"/>
      <c r="I432" s="783"/>
      <c r="J432" s="792">
        <f>ROUNDUP(SUM(J424:J429),0)</f>
        <v>10</v>
      </c>
      <c r="K432" s="1195"/>
      <c r="L432" s="1195"/>
    </row>
    <row r="435" spans="2:12" x14ac:dyDescent="0.25">
      <c r="D435" s="67" t="s">
        <v>36</v>
      </c>
    </row>
    <row r="436" spans="2:12" s="15" customFormat="1" ht="15.75" x14ac:dyDescent="0.25">
      <c r="B436" s="632"/>
      <c r="C436" s="632"/>
      <c r="D436" s="27"/>
      <c r="E436" s="27"/>
      <c r="F436" s="27"/>
      <c r="H436" s="24"/>
      <c r="I436" s="24"/>
    </row>
    <row r="437" spans="2:12" ht="15.75" x14ac:dyDescent="0.25">
      <c r="D437" s="626"/>
      <c r="E437" s="1209" t="s">
        <v>78</v>
      </c>
      <c r="F437" s="1210"/>
      <c r="G437" s="1210"/>
      <c r="H437" s="1211"/>
      <c r="I437" s="782" t="s">
        <v>79</v>
      </c>
      <c r="J437" s="54" t="str">
        <f>+P.Detall!F45</f>
        <v>M3</v>
      </c>
      <c r="K437" s="1205" t="s">
        <v>971</v>
      </c>
      <c r="L437" s="1206"/>
    </row>
    <row r="438" spans="2:12" x14ac:dyDescent="0.25">
      <c r="B438" s="629" t="s">
        <v>2</v>
      </c>
      <c r="C438" s="629" t="s">
        <v>2</v>
      </c>
      <c r="D438" s="629" t="s">
        <v>4</v>
      </c>
      <c r="E438" s="629"/>
      <c r="F438" s="629" t="s">
        <v>76</v>
      </c>
      <c r="G438" s="629" t="s">
        <v>77</v>
      </c>
      <c r="H438" s="703"/>
      <c r="I438" s="703"/>
      <c r="J438" s="790" t="s">
        <v>88</v>
      </c>
      <c r="K438" s="1207"/>
      <c r="L438" s="1208"/>
    </row>
    <row r="439" spans="2:12" x14ac:dyDescent="0.25">
      <c r="B439" s="47">
        <v>630.1</v>
      </c>
      <c r="C439" s="20" t="s">
        <v>9</v>
      </c>
      <c r="D439" s="742" t="str">
        <f>+P.Detall!E45</f>
        <v>CONCRETO CLASE C</v>
      </c>
      <c r="E439" s="25"/>
      <c r="F439" s="22"/>
      <c r="G439" s="22"/>
      <c r="H439" s="22"/>
      <c r="I439" s="22"/>
      <c r="J439" s="655"/>
      <c r="K439" s="1195"/>
      <c r="L439" s="1195"/>
    </row>
    <row r="440" spans="2:12" x14ac:dyDescent="0.25">
      <c r="B440" s="20"/>
      <c r="C440" s="20"/>
      <c r="D440" s="32" t="s">
        <v>104</v>
      </c>
      <c r="E440" s="712" t="s">
        <v>914</v>
      </c>
      <c r="F440" s="712" t="s">
        <v>917</v>
      </c>
      <c r="G440" s="712" t="s">
        <v>918</v>
      </c>
      <c r="H440" s="712" t="s">
        <v>919</v>
      </c>
      <c r="I440" s="20" t="s">
        <v>1081</v>
      </c>
      <c r="J440" s="655">
        <f>+H491</f>
        <v>18.259999999999998</v>
      </c>
      <c r="K440" s="1195"/>
      <c r="L440" s="1195"/>
    </row>
    <row r="441" spans="2:12" x14ac:dyDescent="0.25">
      <c r="B441" s="20"/>
      <c r="C441" s="20"/>
      <c r="D441" s="988" t="str">
        <f t="shared" ref="D441:F442" si="10">+D294</f>
        <v>estructural 1</v>
      </c>
      <c r="E441" s="719">
        <f t="shared" si="10"/>
        <v>1</v>
      </c>
      <c r="F441" s="720">
        <f t="shared" si="10"/>
        <v>10</v>
      </c>
      <c r="G441" s="720">
        <v>0.71</v>
      </c>
      <c r="H441" s="720">
        <f>+E441*F441*G441</f>
        <v>7.1</v>
      </c>
      <c r="I441" s="20">
        <f>+H294</f>
        <v>4</v>
      </c>
      <c r="J441" s="655"/>
      <c r="K441" s="1195"/>
      <c r="L441" s="1195"/>
    </row>
    <row r="442" spans="2:12" x14ac:dyDescent="0.25">
      <c r="B442" s="20"/>
      <c r="C442" s="20"/>
      <c r="D442" s="988" t="str">
        <f t="shared" si="10"/>
        <v>estructural 2</v>
      </c>
      <c r="E442" s="719">
        <f t="shared" si="10"/>
        <v>1</v>
      </c>
      <c r="F442" s="720">
        <f t="shared" si="10"/>
        <v>9</v>
      </c>
      <c r="G442" s="720">
        <v>1.24</v>
      </c>
      <c r="H442" s="720">
        <f t="shared" ref="H442:H489" si="11">+E442*F442*G442</f>
        <v>11.16</v>
      </c>
      <c r="I442" s="20">
        <f>+H295</f>
        <v>8</v>
      </c>
      <c r="J442" s="655"/>
      <c r="K442" s="1195"/>
      <c r="L442" s="1195"/>
    </row>
    <row r="443" spans="2:12" x14ac:dyDescent="0.25">
      <c r="B443" s="20"/>
      <c r="C443" s="20"/>
      <c r="D443" s="988" t="str">
        <f>+D296</f>
        <v>gavion 1</v>
      </c>
      <c r="E443" s="719"/>
      <c r="F443" s="720">
        <f>+F296</f>
        <v>18</v>
      </c>
      <c r="G443" s="720">
        <f>+G442</f>
        <v>1.24</v>
      </c>
      <c r="H443" s="720">
        <f t="shared" si="11"/>
        <v>0</v>
      </c>
      <c r="I443" s="20">
        <f>+H296</f>
        <v>3</v>
      </c>
      <c r="J443" s="655"/>
      <c r="K443" s="1195"/>
      <c r="L443" s="1195"/>
    </row>
    <row r="444" spans="2:12" x14ac:dyDescent="0.25">
      <c r="B444" s="20"/>
      <c r="C444" s="20"/>
      <c r="D444" s="988" t="str">
        <f>+D297</f>
        <v>gavion 2</v>
      </c>
      <c r="E444" s="719"/>
      <c r="F444" s="720">
        <f>+F297</f>
        <v>12</v>
      </c>
      <c r="G444" s="720">
        <f>+G443</f>
        <v>1.24</v>
      </c>
      <c r="H444" s="720">
        <f t="shared" si="11"/>
        <v>0</v>
      </c>
      <c r="I444" s="20">
        <f>+H297</f>
        <v>3</v>
      </c>
      <c r="J444" s="655"/>
      <c r="K444" s="1195"/>
      <c r="L444" s="1195"/>
    </row>
    <row r="445" spans="2:12" x14ac:dyDescent="0.25">
      <c r="B445" s="20"/>
      <c r="C445" s="20"/>
      <c r="D445" s="988" t="str">
        <f>+D298</f>
        <v>gavion 3</v>
      </c>
      <c r="E445" s="719"/>
      <c r="F445" s="720">
        <f>+F298</f>
        <v>18</v>
      </c>
      <c r="G445" s="720">
        <f>+G441</f>
        <v>0.71</v>
      </c>
      <c r="H445" s="720">
        <f t="shared" si="11"/>
        <v>0</v>
      </c>
      <c r="I445" s="20">
        <f>+H298</f>
        <v>3</v>
      </c>
      <c r="J445" s="655"/>
      <c r="K445" s="1195"/>
      <c r="L445" s="1195"/>
    </row>
    <row r="446" spans="2:12" x14ac:dyDescent="0.25">
      <c r="B446" s="20"/>
      <c r="C446" s="20"/>
      <c r="D446" s="988"/>
      <c r="E446" s="719"/>
      <c r="F446" s="720"/>
      <c r="G446" s="720"/>
      <c r="H446" s="720"/>
      <c r="I446" s="20"/>
      <c r="J446" s="655"/>
      <c r="K446" s="1195"/>
      <c r="L446" s="1195"/>
    </row>
    <row r="447" spans="2:12" x14ac:dyDescent="0.25">
      <c r="B447" s="20"/>
      <c r="C447" s="20"/>
      <c r="D447" s="1153">
        <f t="shared" ref="D447:F466" si="12">+D300</f>
        <v>0</v>
      </c>
      <c r="E447" s="1154">
        <f t="shared" si="12"/>
        <v>0</v>
      </c>
      <c r="F447" s="1155">
        <f t="shared" si="12"/>
        <v>0</v>
      </c>
      <c r="G447" s="1155">
        <f>+G445</f>
        <v>0.71</v>
      </c>
      <c r="H447" s="1155">
        <f t="shared" si="11"/>
        <v>0</v>
      </c>
      <c r="I447" s="1072">
        <f t="shared" ref="I447:I489" si="13">+H300</f>
        <v>0</v>
      </c>
      <c r="J447" s="655"/>
      <c r="K447" s="1195"/>
      <c r="L447" s="1195"/>
    </row>
    <row r="448" spans="2:12" x14ac:dyDescent="0.25">
      <c r="B448" s="20"/>
      <c r="C448" s="20"/>
      <c r="D448" s="1153">
        <f t="shared" si="12"/>
        <v>0</v>
      </c>
      <c r="E448" s="1154">
        <f t="shared" si="12"/>
        <v>0</v>
      </c>
      <c r="F448" s="1155">
        <f t="shared" si="12"/>
        <v>0</v>
      </c>
      <c r="G448" s="1155">
        <v>4.47</v>
      </c>
      <c r="H448" s="1155">
        <f t="shared" si="11"/>
        <v>0</v>
      </c>
      <c r="I448" s="1072">
        <f t="shared" si="13"/>
        <v>0</v>
      </c>
      <c r="J448" s="655"/>
      <c r="K448" s="1195"/>
      <c r="L448" s="1195"/>
    </row>
    <row r="449" spans="2:12" x14ac:dyDescent="0.25">
      <c r="B449" s="20"/>
      <c r="C449" s="20"/>
      <c r="D449" s="1153">
        <f t="shared" si="12"/>
        <v>0</v>
      </c>
      <c r="E449" s="1154">
        <f t="shared" si="12"/>
        <v>0</v>
      </c>
      <c r="F449" s="1155">
        <f t="shared" si="12"/>
        <v>0</v>
      </c>
      <c r="G449" s="1155">
        <f>+G447</f>
        <v>0.71</v>
      </c>
      <c r="H449" s="1155">
        <f t="shared" si="11"/>
        <v>0</v>
      </c>
      <c r="I449" s="1072">
        <f t="shared" si="13"/>
        <v>0</v>
      </c>
      <c r="J449" s="655"/>
      <c r="K449" s="1195"/>
      <c r="L449" s="1195"/>
    </row>
    <row r="450" spans="2:12" x14ac:dyDescent="0.25">
      <c r="B450" s="20"/>
      <c r="C450" s="20"/>
      <c r="D450" s="1153">
        <f t="shared" si="12"/>
        <v>0</v>
      </c>
      <c r="E450" s="1154">
        <f t="shared" si="12"/>
        <v>0</v>
      </c>
      <c r="F450" s="1155">
        <f t="shared" si="12"/>
        <v>0</v>
      </c>
      <c r="G450" s="1155">
        <v>1.45</v>
      </c>
      <c r="H450" s="1155">
        <f t="shared" si="11"/>
        <v>0</v>
      </c>
      <c r="I450" s="1072">
        <f t="shared" si="13"/>
        <v>0</v>
      </c>
      <c r="J450" s="655"/>
      <c r="K450" s="1195"/>
      <c r="L450" s="1195"/>
    </row>
    <row r="451" spans="2:12" x14ac:dyDescent="0.25">
      <c r="B451" s="20"/>
      <c r="C451" s="20"/>
      <c r="D451" s="1153">
        <f t="shared" si="12"/>
        <v>0</v>
      </c>
      <c r="E451" s="1154">
        <f t="shared" si="12"/>
        <v>0</v>
      </c>
      <c r="F451" s="1155">
        <f t="shared" si="12"/>
        <v>0</v>
      </c>
      <c r="G451" s="1155">
        <f>+G449</f>
        <v>0.71</v>
      </c>
      <c r="H451" s="1155">
        <f t="shared" si="11"/>
        <v>0</v>
      </c>
      <c r="I451" s="1072">
        <f t="shared" si="13"/>
        <v>0</v>
      </c>
      <c r="J451" s="655"/>
      <c r="K451" s="1195"/>
      <c r="L451" s="1195"/>
    </row>
    <row r="452" spans="2:12" x14ac:dyDescent="0.25">
      <c r="B452" s="20"/>
      <c r="C452" s="20"/>
      <c r="D452" s="1153">
        <f t="shared" si="12"/>
        <v>0</v>
      </c>
      <c r="E452" s="1154">
        <f t="shared" si="12"/>
        <v>0</v>
      </c>
      <c r="F452" s="1155">
        <f t="shared" si="12"/>
        <v>0</v>
      </c>
      <c r="G452" s="1155">
        <f>+G450</f>
        <v>1.45</v>
      </c>
      <c r="H452" s="1155">
        <f t="shared" si="11"/>
        <v>0</v>
      </c>
      <c r="I452" s="1072">
        <f t="shared" si="13"/>
        <v>0</v>
      </c>
      <c r="J452" s="655"/>
      <c r="K452" s="1195"/>
      <c r="L452" s="1195"/>
    </row>
    <row r="453" spans="2:12" x14ac:dyDescent="0.25">
      <c r="B453" s="20"/>
      <c r="C453" s="20"/>
      <c r="D453" s="1153">
        <f t="shared" si="12"/>
        <v>0</v>
      </c>
      <c r="E453" s="1154">
        <f t="shared" si="12"/>
        <v>0</v>
      </c>
      <c r="F453" s="1155">
        <f t="shared" si="12"/>
        <v>0</v>
      </c>
      <c r="G453" s="1155">
        <f>+G446</f>
        <v>0</v>
      </c>
      <c r="H453" s="1155">
        <f t="shared" si="11"/>
        <v>0</v>
      </c>
      <c r="I453" s="1072">
        <f t="shared" si="13"/>
        <v>0</v>
      </c>
      <c r="J453" s="655"/>
      <c r="K453" s="1195"/>
      <c r="L453" s="1195"/>
    </row>
    <row r="454" spans="2:12" x14ac:dyDescent="0.25">
      <c r="B454" s="20"/>
      <c r="C454" s="20"/>
      <c r="D454" s="1153">
        <f t="shared" si="12"/>
        <v>0</v>
      </c>
      <c r="E454" s="1154">
        <f t="shared" si="12"/>
        <v>0</v>
      </c>
      <c r="F454" s="1155">
        <f t="shared" si="12"/>
        <v>0</v>
      </c>
      <c r="G454" s="1155">
        <f>+G444</f>
        <v>1.24</v>
      </c>
      <c r="H454" s="1155">
        <f t="shared" si="11"/>
        <v>0</v>
      </c>
      <c r="I454" s="1072">
        <f t="shared" si="13"/>
        <v>0</v>
      </c>
      <c r="J454" s="655"/>
      <c r="K454" s="1195"/>
      <c r="L454" s="1195"/>
    </row>
    <row r="455" spans="2:12" x14ac:dyDescent="0.25">
      <c r="B455" s="20"/>
      <c r="C455" s="20"/>
      <c r="D455" s="1153">
        <f t="shared" si="12"/>
        <v>0</v>
      </c>
      <c r="E455" s="1154">
        <f t="shared" si="12"/>
        <v>0</v>
      </c>
      <c r="F455" s="1155">
        <f t="shared" si="12"/>
        <v>0</v>
      </c>
      <c r="G455" s="1155">
        <f>+G454</f>
        <v>1.24</v>
      </c>
      <c r="H455" s="1155">
        <f t="shared" si="11"/>
        <v>0</v>
      </c>
      <c r="I455" s="1072">
        <f t="shared" si="13"/>
        <v>0</v>
      </c>
      <c r="J455" s="655"/>
      <c r="K455" s="1195"/>
      <c r="L455" s="1195"/>
    </row>
    <row r="456" spans="2:12" x14ac:dyDescent="0.25">
      <c r="B456" s="20"/>
      <c r="C456" s="20"/>
      <c r="D456" s="1153">
        <f t="shared" si="12"/>
        <v>0</v>
      </c>
      <c r="E456" s="1154">
        <f t="shared" si="12"/>
        <v>0</v>
      </c>
      <c r="F456" s="1155">
        <f t="shared" si="12"/>
        <v>0</v>
      </c>
      <c r="G456" s="1155">
        <f>+G453</f>
        <v>0</v>
      </c>
      <c r="H456" s="1155">
        <f t="shared" si="11"/>
        <v>0</v>
      </c>
      <c r="I456" s="1072">
        <f t="shared" si="13"/>
        <v>0</v>
      </c>
      <c r="J456" s="655"/>
      <c r="K456" s="1195"/>
      <c r="L456" s="1195"/>
    </row>
    <row r="457" spans="2:12" x14ac:dyDescent="0.25">
      <c r="B457" s="20"/>
      <c r="C457" s="20"/>
      <c r="D457" s="1153">
        <f t="shared" si="12"/>
        <v>0</v>
      </c>
      <c r="E457" s="1154">
        <f t="shared" si="12"/>
        <v>0</v>
      </c>
      <c r="F457" s="1155">
        <f t="shared" si="12"/>
        <v>0</v>
      </c>
      <c r="G457" s="1155">
        <f>+G456</f>
        <v>0</v>
      </c>
      <c r="H457" s="1155">
        <f t="shared" si="11"/>
        <v>0</v>
      </c>
      <c r="I457" s="1072">
        <f t="shared" si="13"/>
        <v>0</v>
      </c>
      <c r="J457" s="655"/>
      <c r="K457" s="1195"/>
      <c r="L457" s="1195"/>
    </row>
    <row r="458" spans="2:12" x14ac:dyDescent="0.25">
      <c r="B458" s="20"/>
      <c r="C458" s="20"/>
      <c r="D458" s="1153">
        <f t="shared" si="12"/>
        <v>0</v>
      </c>
      <c r="E458" s="1154">
        <f t="shared" si="12"/>
        <v>0</v>
      </c>
      <c r="F458" s="1155">
        <f t="shared" si="12"/>
        <v>0</v>
      </c>
      <c r="G458" s="1155">
        <v>2.0299999999999998</v>
      </c>
      <c r="H458" s="1155">
        <f t="shared" si="11"/>
        <v>0</v>
      </c>
      <c r="I458" s="1072">
        <f t="shared" si="13"/>
        <v>0</v>
      </c>
      <c r="J458" s="655"/>
      <c r="K458" s="1195"/>
      <c r="L458" s="1195"/>
    </row>
    <row r="459" spans="2:12" x14ac:dyDescent="0.25">
      <c r="B459" s="20"/>
      <c r="C459" s="20"/>
      <c r="D459" s="1153">
        <f t="shared" si="12"/>
        <v>0</v>
      </c>
      <c r="E459" s="1154">
        <f t="shared" si="12"/>
        <v>0</v>
      </c>
      <c r="F459" s="1155">
        <f t="shared" si="12"/>
        <v>0</v>
      </c>
      <c r="G459" s="1155">
        <f>+G452</f>
        <v>1.45</v>
      </c>
      <c r="H459" s="1155">
        <f t="shared" si="11"/>
        <v>0</v>
      </c>
      <c r="I459" s="1072">
        <f t="shared" si="13"/>
        <v>0</v>
      </c>
      <c r="J459" s="655"/>
      <c r="K459" s="1195"/>
      <c r="L459" s="1195"/>
    </row>
    <row r="460" spans="2:12" x14ac:dyDescent="0.25">
      <c r="B460" s="20"/>
      <c r="C460" s="20"/>
      <c r="D460" s="1153">
        <f t="shared" si="12"/>
        <v>0</v>
      </c>
      <c r="E460" s="1154">
        <f t="shared" si="12"/>
        <v>0</v>
      </c>
      <c r="F460" s="1155">
        <f t="shared" si="12"/>
        <v>0</v>
      </c>
      <c r="G460" s="1155">
        <f>+G449</f>
        <v>0.71</v>
      </c>
      <c r="H460" s="1155">
        <f t="shared" si="11"/>
        <v>0</v>
      </c>
      <c r="I460" s="1072">
        <f t="shared" si="13"/>
        <v>0</v>
      </c>
      <c r="J460" s="655"/>
      <c r="K460" s="1195"/>
      <c r="L460" s="1195"/>
    </row>
    <row r="461" spans="2:12" x14ac:dyDescent="0.25">
      <c r="B461" s="20"/>
      <c r="C461" s="20"/>
      <c r="D461" s="1153">
        <f t="shared" si="12"/>
        <v>0</v>
      </c>
      <c r="E461" s="1154">
        <f t="shared" si="12"/>
        <v>0</v>
      </c>
      <c r="F461" s="1155">
        <f t="shared" si="12"/>
        <v>0</v>
      </c>
      <c r="G461" s="1155">
        <f>+G455</f>
        <v>1.24</v>
      </c>
      <c r="H461" s="1155">
        <f t="shared" si="11"/>
        <v>0</v>
      </c>
      <c r="I461" s="1072">
        <f t="shared" si="13"/>
        <v>0</v>
      </c>
      <c r="J461" s="655"/>
      <c r="K461" s="1195"/>
      <c r="L461" s="1195"/>
    </row>
    <row r="462" spans="2:12" x14ac:dyDescent="0.25">
      <c r="B462" s="20"/>
      <c r="C462" s="20"/>
      <c r="D462" s="1153">
        <f t="shared" si="12"/>
        <v>0</v>
      </c>
      <c r="E462" s="1154">
        <f t="shared" si="12"/>
        <v>0</v>
      </c>
      <c r="F462" s="1155">
        <f t="shared" si="12"/>
        <v>0</v>
      </c>
      <c r="G462" s="1155">
        <f>+G458</f>
        <v>2.0299999999999998</v>
      </c>
      <c r="H462" s="1155">
        <f t="shared" si="11"/>
        <v>0</v>
      </c>
      <c r="I462" s="1072">
        <f t="shared" si="13"/>
        <v>0</v>
      </c>
      <c r="J462" s="655"/>
      <c r="K462" s="1195"/>
      <c r="L462" s="1195"/>
    </row>
    <row r="463" spans="2:12" x14ac:dyDescent="0.25">
      <c r="B463" s="20"/>
      <c r="C463" s="20"/>
      <c r="D463" s="1153">
        <f t="shared" si="12"/>
        <v>0</v>
      </c>
      <c r="E463" s="1154">
        <f t="shared" si="12"/>
        <v>0</v>
      </c>
      <c r="F463" s="1155">
        <f t="shared" si="12"/>
        <v>0</v>
      </c>
      <c r="G463" s="1155">
        <f>+G459</f>
        <v>1.45</v>
      </c>
      <c r="H463" s="1155">
        <f t="shared" si="11"/>
        <v>0</v>
      </c>
      <c r="I463" s="1072">
        <f t="shared" si="13"/>
        <v>0</v>
      </c>
      <c r="J463" s="655"/>
      <c r="K463" s="1195"/>
      <c r="L463" s="1195"/>
    </row>
    <row r="464" spans="2:12" x14ac:dyDescent="0.25">
      <c r="B464" s="20"/>
      <c r="C464" s="20"/>
      <c r="D464" s="1153">
        <f t="shared" si="12"/>
        <v>0</v>
      </c>
      <c r="E464" s="1154">
        <f t="shared" si="12"/>
        <v>0</v>
      </c>
      <c r="F464" s="1155">
        <f t="shared" si="12"/>
        <v>0</v>
      </c>
      <c r="G464" s="1155">
        <f>+G461</f>
        <v>1.24</v>
      </c>
      <c r="H464" s="1155">
        <f t="shared" si="11"/>
        <v>0</v>
      </c>
      <c r="I464" s="1072">
        <f t="shared" si="13"/>
        <v>0</v>
      </c>
      <c r="J464" s="655"/>
      <c r="K464" s="1195"/>
      <c r="L464" s="1195"/>
    </row>
    <row r="465" spans="2:12" x14ac:dyDescent="0.25">
      <c r="B465" s="20"/>
      <c r="C465" s="20"/>
      <c r="D465" s="1153">
        <f t="shared" si="12"/>
        <v>0</v>
      </c>
      <c r="E465" s="1154">
        <f t="shared" si="12"/>
        <v>0</v>
      </c>
      <c r="F465" s="1155">
        <f t="shared" si="12"/>
        <v>0</v>
      </c>
      <c r="G465" s="1155">
        <f>+G462</f>
        <v>2.0299999999999998</v>
      </c>
      <c r="H465" s="1155">
        <f t="shared" si="11"/>
        <v>0</v>
      </c>
      <c r="I465" s="1072">
        <f t="shared" si="13"/>
        <v>0</v>
      </c>
      <c r="J465" s="655"/>
      <c r="K465" s="1195"/>
      <c r="L465" s="1195"/>
    </row>
    <row r="466" spans="2:12" x14ac:dyDescent="0.25">
      <c r="B466" s="20"/>
      <c r="C466" s="20"/>
      <c r="D466" s="1153">
        <f t="shared" si="12"/>
        <v>0</v>
      </c>
      <c r="E466" s="1154">
        <f t="shared" si="12"/>
        <v>0</v>
      </c>
      <c r="F466" s="1155">
        <f t="shared" si="12"/>
        <v>0</v>
      </c>
      <c r="G466" s="1155">
        <f>+G463</f>
        <v>1.45</v>
      </c>
      <c r="H466" s="1155">
        <f t="shared" si="11"/>
        <v>0</v>
      </c>
      <c r="I466" s="1072">
        <f t="shared" si="13"/>
        <v>0</v>
      </c>
      <c r="J466" s="655"/>
      <c r="K466" s="1195"/>
      <c r="L466" s="1195"/>
    </row>
    <row r="467" spans="2:12" x14ac:dyDescent="0.25">
      <c r="B467" s="20"/>
      <c r="C467" s="20"/>
      <c r="D467" s="1153">
        <f t="shared" ref="D467:F486" si="14">+D320</f>
        <v>0</v>
      </c>
      <c r="E467" s="1154">
        <f t="shared" si="14"/>
        <v>0</v>
      </c>
      <c r="F467" s="1155">
        <f t="shared" si="14"/>
        <v>0</v>
      </c>
      <c r="G467" s="1155">
        <f>+G457</f>
        <v>0</v>
      </c>
      <c r="H467" s="1155">
        <f t="shared" si="11"/>
        <v>0</v>
      </c>
      <c r="I467" s="1072">
        <f t="shared" si="13"/>
        <v>0</v>
      </c>
      <c r="J467" s="655"/>
      <c r="K467" s="1195"/>
      <c r="L467" s="1195"/>
    </row>
    <row r="468" spans="2:12" x14ac:dyDescent="0.25">
      <c r="B468" s="20"/>
      <c r="C468" s="20"/>
      <c r="D468" s="1153">
        <f t="shared" si="14"/>
        <v>0</v>
      </c>
      <c r="E468" s="1154">
        <f t="shared" si="14"/>
        <v>0</v>
      </c>
      <c r="F468" s="1155">
        <f t="shared" si="14"/>
        <v>0</v>
      </c>
      <c r="G468" s="1155">
        <f>+G464</f>
        <v>1.24</v>
      </c>
      <c r="H468" s="1155">
        <f t="shared" si="11"/>
        <v>0</v>
      </c>
      <c r="I468" s="1072">
        <f t="shared" si="13"/>
        <v>0</v>
      </c>
      <c r="J468" s="655"/>
      <c r="K468" s="1195"/>
      <c r="L468" s="1195"/>
    </row>
    <row r="469" spans="2:12" x14ac:dyDescent="0.25">
      <c r="B469" s="20"/>
      <c r="C469" s="20"/>
      <c r="D469" s="1153">
        <f t="shared" si="14"/>
        <v>0</v>
      </c>
      <c r="E469" s="1154">
        <f t="shared" si="14"/>
        <v>0</v>
      </c>
      <c r="F469" s="1155">
        <f t="shared" si="14"/>
        <v>0</v>
      </c>
      <c r="G469" s="1155">
        <f>+G467</f>
        <v>0</v>
      </c>
      <c r="H469" s="1155">
        <f t="shared" si="11"/>
        <v>0</v>
      </c>
      <c r="I469" s="1072">
        <f t="shared" si="13"/>
        <v>0</v>
      </c>
      <c r="J469" s="655"/>
      <c r="K469" s="1195"/>
      <c r="L469" s="1195"/>
    </row>
    <row r="470" spans="2:12" x14ac:dyDescent="0.25">
      <c r="B470" s="20"/>
      <c r="C470" s="20"/>
      <c r="D470" s="1153">
        <f t="shared" si="14"/>
        <v>0</v>
      </c>
      <c r="E470" s="1154">
        <f t="shared" si="14"/>
        <v>0</v>
      </c>
      <c r="F470" s="1155">
        <f t="shared" si="14"/>
        <v>0</v>
      </c>
      <c r="G470" s="1155">
        <f>+G468</f>
        <v>1.24</v>
      </c>
      <c r="H470" s="1155">
        <f t="shared" si="11"/>
        <v>0</v>
      </c>
      <c r="I470" s="1072">
        <f t="shared" si="13"/>
        <v>0</v>
      </c>
      <c r="J470" s="655"/>
      <c r="K470" s="1195"/>
      <c r="L470" s="1195"/>
    </row>
    <row r="471" spans="2:12" x14ac:dyDescent="0.25">
      <c r="B471" s="20"/>
      <c r="C471" s="20"/>
      <c r="D471" s="1153">
        <f t="shared" si="14"/>
        <v>0</v>
      </c>
      <c r="E471" s="1154">
        <f t="shared" si="14"/>
        <v>0</v>
      </c>
      <c r="F471" s="1155">
        <f t="shared" si="14"/>
        <v>0</v>
      </c>
      <c r="G471" s="1155">
        <f>+G466</f>
        <v>1.45</v>
      </c>
      <c r="H471" s="1155">
        <f t="shared" si="11"/>
        <v>0</v>
      </c>
      <c r="I471" s="1072">
        <f t="shared" si="13"/>
        <v>0</v>
      </c>
      <c r="J471" s="655"/>
      <c r="K471" s="1195"/>
      <c r="L471" s="1195"/>
    </row>
    <row r="472" spans="2:12" x14ac:dyDescent="0.25">
      <c r="B472" s="20"/>
      <c r="C472" s="20"/>
      <c r="D472" s="1153">
        <f t="shared" si="14"/>
        <v>0</v>
      </c>
      <c r="E472" s="1154">
        <f t="shared" si="14"/>
        <v>0</v>
      </c>
      <c r="F472" s="1155">
        <f t="shared" si="14"/>
        <v>0</v>
      </c>
      <c r="G472" s="1155">
        <f>+G469</f>
        <v>0</v>
      </c>
      <c r="H472" s="1155">
        <f t="shared" si="11"/>
        <v>0</v>
      </c>
      <c r="I472" s="1072">
        <f t="shared" si="13"/>
        <v>0</v>
      </c>
      <c r="J472" s="655"/>
      <c r="K472" s="1195"/>
      <c r="L472" s="1195"/>
    </row>
    <row r="473" spans="2:12" x14ac:dyDescent="0.25">
      <c r="B473" s="20"/>
      <c r="C473" s="20"/>
      <c r="D473" s="1153">
        <f t="shared" si="14"/>
        <v>0</v>
      </c>
      <c r="E473" s="1154">
        <f t="shared" si="14"/>
        <v>0</v>
      </c>
      <c r="F473" s="1155">
        <f t="shared" si="14"/>
        <v>0</v>
      </c>
      <c r="G473" s="1155">
        <f>+G471</f>
        <v>1.45</v>
      </c>
      <c r="H473" s="1155">
        <f t="shared" si="11"/>
        <v>0</v>
      </c>
      <c r="I473" s="1072">
        <f t="shared" si="13"/>
        <v>0</v>
      </c>
      <c r="J473" s="655"/>
      <c r="K473" s="1195"/>
      <c r="L473" s="1195"/>
    </row>
    <row r="474" spans="2:12" x14ac:dyDescent="0.25">
      <c r="B474" s="20"/>
      <c r="C474" s="20"/>
      <c r="D474" s="1153">
        <f t="shared" si="14"/>
        <v>0</v>
      </c>
      <c r="E474" s="1154">
        <f t="shared" si="14"/>
        <v>0</v>
      </c>
      <c r="F474" s="1155">
        <f t="shared" si="14"/>
        <v>0</v>
      </c>
      <c r="G474" s="1155">
        <f>+G472</f>
        <v>0</v>
      </c>
      <c r="H474" s="1155">
        <f t="shared" si="11"/>
        <v>0</v>
      </c>
      <c r="I474" s="1072">
        <f t="shared" si="13"/>
        <v>0</v>
      </c>
      <c r="J474" s="655"/>
      <c r="K474" s="1195"/>
      <c r="L474" s="1195"/>
    </row>
    <row r="475" spans="2:12" x14ac:dyDescent="0.25">
      <c r="B475" s="20"/>
      <c r="C475" s="20"/>
      <c r="D475" s="1153">
        <f t="shared" si="14"/>
        <v>0</v>
      </c>
      <c r="E475" s="1154">
        <f t="shared" si="14"/>
        <v>0</v>
      </c>
      <c r="F475" s="1155">
        <f t="shared" si="14"/>
        <v>0</v>
      </c>
      <c r="G475" s="1155">
        <f>+G473</f>
        <v>1.45</v>
      </c>
      <c r="H475" s="1155">
        <f t="shared" si="11"/>
        <v>0</v>
      </c>
      <c r="I475" s="1072">
        <f t="shared" si="13"/>
        <v>0</v>
      </c>
      <c r="J475" s="655"/>
      <c r="K475" s="1195"/>
      <c r="L475" s="1195"/>
    </row>
    <row r="476" spans="2:12" x14ac:dyDescent="0.25">
      <c r="B476" s="20"/>
      <c r="C476" s="20"/>
      <c r="D476" s="1153">
        <f t="shared" si="14"/>
        <v>0</v>
      </c>
      <c r="E476" s="1154">
        <f t="shared" si="14"/>
        <v>0</v>
      </c>
      <c r="F476" s="1155">
        <f t="shared" si="14"/>
        <v>0</v>
      </c>
      <c r="G476" s="1155">
        <f>+G474</f>
        <v>0</v>
      </c>
      <c r="H476" s="1155">
        <f t="shared" si="11"/>
        <v>0</v>
      </c>
      <c r="I476" s="1072">
        <f t="shared" si="13"/>
        <v>0</v>
      </c>
      <c r="J476" s="655"/>
      <c r="K476" s="1195"/>
      <c r="L476" s="1195"/>
    </row>
    <row r="477" spans="2:12" x14ac:dyDescent="0.25">
      <c r="B477" s="20"/>
      <c r="C477" s="20"/>
      <c r="D477" s="1153">
        <f t="shared" si="14"/>
        <v>0</v>
      </c>
      <c r="E477" s="1154">
        <f t="shared" si="14"/>
        <v>0</v>
      </c>
      <c r="F477" s="1155">
        <f t="shared" si="14"/>
        <v>0</v>
      </c>
      <c r="G477" s="1155">
        <f>+G476</f>
        <v>0</v>
      </c>
      <c r="H477" s="1155">
        <f t="shared" si="11"/>
        <v>0</v>
      </c>
      <c r="I477" s="1072">
        <f t="shared" si="13"/>
        <v>0</v>
      </c>
      <c r="J477" s="655"/>
      <c r="K477" s="1195"/>
      <c r="L477" s="1195"/>
    </row>
    <row r="478" spans="2:12" x14ac:dyDescent="0.25">
      <c r="B478" s="20"/>
      <c r="C478" s="20"/>
      <c r="D478" s="1153">
        <f t="shared" si="14"/>
        <v>0</v>
      </c>
      <c r="E478" s="1154">
        <f t="shared" si="14"/>
        <v>0</v>
      </c>
      <c r="F478" s="1155">
        <f t="shared" si="14"/>
        <v>0</v>
      </c>
      <c r="G478" s="1155">
        <v>2.44</v>
      </c>
      <c r="H478" s="1155">
        <f t="shared" si="11"/>
        <v>0</v>
      </c>
      <c r="I478" s="1072">
        <f t="shared" si="13"/>
        <v>0</v>
      </c>
      <c r="J478" s="655"/>
      <c r="K478" s="1195"/>
      <c r="L478" s="1195"/>
    </row>
    <row r="479" spans="2:12" x14ac:dyDescent="0.25">
      <c r="B479" s="20"/>
      <c r="C479" s="20"/>
      <c r="D479" s="1153">
        <f t="shared" si="14"/>
        <v>0</v>
      </c>
      <c r="E479" s="1154">
        <f t="shared" si="14"/>
        <v>0</v>
      </c>
      <c r="F479" s="1155">
        <f t="shared" si="14"/>
        <v>0</v>
      </c>
      <c r="G479" s="1155">
        <f>+G478</f>
        <v>2.44</v>
      </c>
      <c r="H479" s="1155">
        <f t="shared" si="11"/>
        <v>0</v>
      </c>
      <c r="I479" s="1072">
        <f t="shared" si="13"/>
        <v>0</v>
      </c>
      <c r="J479" s="655"/>
      <c r="K479" s="1195"/>
      <c r="L479" s="1195"/>
    </row>
    <row r="480" spans="2:12" x14ac:dyDescent="0.25">
      <c r="B480" s="20"/>
      <c r="C480" s="20"/>
      <c r="D480" s="1153">
        <f t="shared" si="14"/>
        <v>0</v>
      </c>
      <c r="E480" s="1154">
        <f t="shared" si="14"/>
        <v>0</v>
      </c>
      <c r="F480" s="1155">
        <f t="shared" si="14"/>
        <v>0</v>
      </c>
      <c r="G480" s="1155">
        <f>+G475</f>
        <v>1.45</v>
      </c>
      <c r="H480" s="1155">
        <f t="shared" si="11"/>
        <v>0</v>
      </c>
      <c r="I480" s="1072">
        <f t="shared" si="13"/>
        <v>0</v>
      </c>
      <c r="J480" s="655"/>
      <c r="K480" s="1195"/>
      <c r="L480" s="1195"/>
    </row>
    <row r="481" spans="2:12" x14ac:dyDescent="0.25">
      <c r="B481" s="20"/>
      <c r="C481" s="20"/>
      <c r="D481" s="1153">
        <f t="shared" si="14"/>
        <v>0</v>
      </c>
      <c r="E481" s="1154">
        <f t="shared" si="14"/>
        <v>0</v>
      </c>
      <c r="F481" s="1155">
        <f t="shared" si="14"/>
        <v>0</v>
      </c>
      <c r="G481" s="1155">
        <f>+G470</f>
        <v>1.24</v>
      </c>
      <c r="H481" s="1155">
        <f t="shared" si="11"/>
        <v>0</v>
      </c>
      <c r="I481" s="1072">
        <f t="shared" si="13"/>
        <v>0</v>
      </c>
      <c r="J481" s="655"/>
      <c r="K481" s="1195"/>
      <c r="L481" s="1195"/>
    </row>
    <row r="482" spans="2:12" x14ac:dyDescent="0.25">
      <c r="B482" s="20"/>
      <c r="C482" s="20"/>
      <c r="D482" s="1153">
        <f t="shared" si="14"/>
        <v>0</v>
      </c>
      <c r="E482" s="1154">
        <f t="shared" si="14"/>
        <v>0</v>
      </c>
      <c r="F482" s="1155">
        <f t="shared" si="14"/>
        <v>0</v>
      </c>
      <c r="G482" s="1155">
        <f>+G481</f>
        <v>1.24</v>
      </c>
      <c r="H482" s="1155">
        <f t="shared" si="11"/>
        <v>0</v>
      </c>
      <c r="I482" s="1072">
        <f t="shared" si="13"/>
        <v>0</v>
      </c>
      <c r="J482" s="655"/>
      <c r="K482" s="1195"/>
      <c r="L482" s="1195"/>
    </row>
    <row r="483" spans="2:12" x14ac:dyDescent="0.25">
      <c r="B483" s="20"/>
      <c r="C483" s="20"/>
      <c r="D483" s="1153">
        <f t="shared" si="14"/>
        <v>0</v>
      </c>
      <c r="E483" s="1154">
        <f t="shared" si="14"/>
        <v>0</v>
      </c>
      <c r="F483" s="1155">
        <f t="shared" si="14"/>
        <v>0</v>
      </c>
      <c r="G483" s="1155">
        <f>+G477</f>
        <v>0</v>
      </c>
      <c r="H483" s="1155">
        <f t="shared" si="11"/>
        <v>0</v>
      </c>
      <c r="I483" s="1072">
        <f t="shared" si="13"/>
        <v>0</v>
      </c>
      <c r="J483" s="655"/>
      <c r="K483" s="1195"/>
      <c r="L483" s="1195"/>
    </row>
    <row r="484" spans="2:12" x14ac:dyDescent="0.25">
      <c r="B484" s="20"/>
      <c r="C484" s="20"/>
      <c r="D484" s="1153">
        <f t="shared" si="14"/>
        <v>0</v>
      </c>
      <c r="E484" s="1154">
        <f t="shared" si="14"/>
        <v>0</v>
      </c>
      <c r="F484" s="1155">
        <f t="shared" si="14"/>
        <v>0</v>
      </c>
      <c r="G484" s="1155">
        <f>+G460</f>
        <v>0.71</v>
      </c>
      <c r="H484" s="1155">
        <f t="shared" si="11"/>
        <v>0</v>
      </c>
      <c r="I484" s="1072">
        <f t="shared" si="13"/>
        <v>0</v>
      </c>
      <c r="J484" s="655"/>
      <c r="K484" s="1195"/>
      <c r="L484" s="1195"/>
    </row>
    <row r="485" spans="2:12" x14ac:dyDescent="0.25">
      <c r="B485" s="20"/>
      <c r="C485" s="20"/>
      <c r="D485" s="1153">
        <f t="shared" si="14"/>
        <v>0</v>
      </c>
      <c r="E485" s="1154">
        <f t="shared" si="14"/>
        <v>0</v>
      </c>
      <c r="F485" s="1155">
        <f t="shared" si="14"/>
        <v>0</v>
      </c>
      <c r="G485" s="1155">
        <f>+G465</f>
        <v>2.0299999999999998</v>
      </c>
      <c r="H485" s="1155">
        <f t="shared" si="11"/>
        <v>0</v>
      </c>
      <c r="I485" s="1072">
        <f t="shared" si="13"/>
        <v>0</v>
      </c>
      <c r="J485" s="655"/>
      <c r="K485" s="1195"/>
      <c r="L485" s="1195"/>
    </row>
    <row r="486" spans="2:12" x14ac:dyDescent="0.25">
      <c r="B486" s="20"/>
      <c r="C486" s="20"/>
      <c r="D486" s="1153">
        <f t="shared" si="14"/>
        <v>0</v>
      </c>
      <c r="E486" s="1154">
        <f t="shared" si="14"/>
        <v>0</v>
      </c>
      <c r="F486" s="1155">
        <f t="shared" si="14"/>
        <v>0</v>
      </c>
      <c r="G486" s="1155">
        <f>+G482</f>
        <v>1.24</v>
      </c>
      <c r="H486" s="1155">
        <f t="shared" si="11"/>
        <v>0</v>
      </c>
      <c r="I486" s="1072">
        <f t="shared" si="13"/>
        <v>0</v>
      </c>
      <c r="J486" s="655"/>
      <c r="K486" s="1195"/>
      <c r="L486" s="1195"/>
    </row>
    <row r="487" spans="2:12" x14ac:dyDescent="0.25">
      <c r="B487" s="20"/>
      <c r="C487" s="20"/>
      <c r="D487" s="1153">
        <f t="shared" ref="D487:F489" si="15">+D340</f>
        <v>0</v>
      </c>
      <c r="E487" s="1154">
        <f t="shared" si="15"/>
        <v>0</v>
      </c>
      <c r="F487" s="1155">
        <f t="shared" si="15"/>
        <v>0</v>
      </c>
      <c r="G487" s="1155">
        <v>0.86</v>
      </c>
      <c r="H487" s="1155">
        <f t="shared" si="11"/>
        <v>0</v>
      </c>
      <c r="I487" s="1072">
        <f t="shared" si="13"/>
        <v>0</v>
      </c>
      <c r="J487" s="655"/>
      <c r="K487" s="1195"/>
      <c r="L487" s="1195"/>
    </row>
    <row r="488" spans="2:12" x14ac:dyDescent="0.25">
      <c r="B488" s="20"/>
      <c r="C488" s="20"/>
      <c r="D488" s="1153">
        <f t="shared" si="15"/>
        <v>0</v>
      </c>
      <c r="E488" s="1154">
        <f t="shared" si="15"/>
        <v>0</v>
      </c>
      <c r="F488" s="1155">
        <f t="shared" si="15"/>
        <v>0</v>
      </c>
      <c r="G488" s="1155">
        <f>+G480</f>
        <v>1.45</v>
      </c>
      <c r="H488" s="1155">
        <f t="shared" si="11"/>
        <v>0</v>
      </c>
      <c r="I488" s="1072">
        <f t="shared" si="13"/>
        <v>0</v>
      </c>
      <c r="J488" s="655"/>
      <c r="K488" s="1195"/>
      <c r="L488" s="1195"/>
    </row>
    <row r="489" spans="2:12" x14ac:dyDescent="0.25">
      <c r="B489" s="20"/>
      <c r="C489" s="20"/>
      <c r="D489" s="1153">
        <f t="shared" si="15"/>
        <v>0</v>
      </c>
      <c r="E489" s="1154">
        <f t="shared" si="15"/>
        <v>0</v>
      </c>
      <c r="F489" s="1155">
        <f t="shared" si="15"/>
        <v>0</v>
      </c>
      <c r="G489" s="1155">
        <f>+G486</f>
        <v>1.24</v>
      </c>
      <c r="H489" s="1155">
        <f t="shared" si="11"/>
        <v>0</v>
      </c>
      <c r="I489" s="1072">
        <f t="shared" si="13"/>
        <v>0</v>
      </c>
      <c r="J489" s="655"/>
      <c r="K489" s="1195"/>
      <c r="L489" s="1195"/>
    </row>
    <row r="490" spans="2:12" x14ac:dyDescent="0.25">
      <c r="B490" s="20"/>
      <c r="C490" s="20"/>
      <c r="D490" s="988"/>
      <c r="E490" s="719"/>
      <c r="F490" s="720"/>
      <c r="G490" s="720"/>
      <c r="H490" s="720"/>
      <c r="I490" s="20"/>
      <c r="J490" s="655"/>
      <c r="K490" s="1195"/>
      <c r="L490" s="1195"/>
    </row>
    <row r="491" spans="2:12" x14ac:dyDescent="0.25">
      <c r="B491" s="20"/>
      <c r="C491" s="20"/>
      <c r="D491" s="718"/>
      <c r="E491" s="721">
        <f>SUM(E441:E490)</f>
        <v>2</v>
      </c>
      <c r="F491" s="720"/>
      <c r="G491" s="720" t="s">
        <v>902</v>
      </c>
      <c r="H491" s="721">
        <f>SUM(H441:H490)</f>
        <v>18.259999999999998</v>
      </c>
      <c r="I491" s="22"/>
      <c r="J491" s="655"/>
      <c r="K491" s="1195"/>
      <c r="L491" s="1195"/>
    </row>
    <row r="492" spans="2:12" x14ac:dyDescent="0.25">
      <c r="B492" s="20"/>
      <c r="C492" s="20"/>
      <c r="D492" s="32" t="s">
        <v>111</v>
      </c>
      <c r="E492" s="22">
        <v>1</v>
      </c>
      <c r="F492" s="22">
        <v>6</v>
      </c>
      <c r="G492" s="22">
        <f>8*0.2</f>
        <v>1.6</v>
      </c>
      <c r="H492" s="720">
        <f t="shared" ref="H492" si="16">+E492*F492*G492</f>
        <v>9.6000000000000014</v>
      </c>
      <c r="I492" s="22"/>
      <c r="J492" s="655">
        <f>+H492</f>
        <v>9.6000000000000014</v>
      </c>
      <c r="K492" s="1195"/>
      <c r="L492" s="1195"/>
    </row>
    <row r="493" spans="2:12" x14ac:dyDescent="0.25">
      <c r="B493" s="20"/>
      <c r="C493" s="20"/>
      <c r="D493" s="32" t="s">
        <v>1225</v>
      </c>
      <c r="E493" s="22">
        <v>1</v>
      </c>
      <c r="F493" s="22">
        <v>2.5</v>
      </c>
      <c r="G493" s="22">
        <f>4*0.2</f>
        <v>0.8</v>
      </c>
      <c r="H493" s="720">
        <f t="shared" ref="H493" si="17">+E493*F493*G493</f>
        <v>2</v>
      </c>
      <c r="I493" s="22"/>
      <c r="J493" s="655">
        <f>+H493</f>
        <v>2</v>
      </c>
      <c r="K493" s="1195"/>
      <c r="L493" s="1195"/>
    </row>
    <row r="494" spans="2:12" x14ac:dyDescent="0.25">
      <c r="B494" s="20"/>
      <c r="C494" s="20"/>
      <c r="D494" s="32" t="s">
        <v>783</v>
      </c>
      <c r="E494" s="25"/>
      <c r="F494" s="22"/>
      <c r="G494" s="22"/>
      <c r="H494" s="22"/>
      <c r="I494" s="22"/>
      <c r="J494" s="655">
        <f>+H495</f>
        <v>0</v>
      </c>
      <c r="K494" s="1195"/>
      <c r="L494" s="1195"/>
    </row>
    <row r="495" spans="2:12" x14ac:dyDescent="0.25">
      <c r="B495" s="20"/>
      <c r="C495" s="20"/>
      <c r="D495" s="32"/>
      <c r="E495" s="25"/>
      <c r="F495" s="22"/>
      <c r="G495" s="22"/>
      <c r="H495" s="20"/>
      <c r="I495" s="22"/>
      <c r="J495" s="655"/>
      <c r="K495" s="1195"/>
      <c r="L495" s="1195"/>
    </row>
    <row r="496" spans="2:12" ht="15" customHeight="1" x14ac:dyDescent="0.25">
      <c r="B496" s="1196" t="s">
        <v>972</v>
      </c>
      <c r="C496" s="1197"/>
      <c r="D496" s="1197"/>
      <c r="E496" s="1197"/>
      <c r="F496" s="1198"/>
      <c r="G496" s="22"/>
      <c r="H496" s="22"/>
      <c r="I496" s="22"/>
      <c r="J496" s="655"/>
      <c r="K496" s="1195"/>
      <c r="L496" s="1195"/>
    </row>
    <row r="497" spans="2:12" x14ac:dyDescent="0.25">
      <c r="B497" s="1199"/>
      <c r="C497" s="1200"/>
      <c r="D497" s="1200"/>
      <c r="E497" s="1200"/>
      <c r="F497" s="1201"/>
      <c r="G497" s="22"/>
      <c r="H497" s="22"/>
      <c r="I497" s="22"/>
      <c r="J497" s="655"/>
      <c r="K497" s="1195"/>
      <c r="L497" s="1195"/>
    </row>
    <row r="498" spans="2:12" s="15" customFormat="1" x14ac:dyDescent="0.25">
      <c r="B498" s="1202"/>
      <c r="C498" s="1203"/>
      <c r="D498" s="1203"/>
      <c r="E498" s="1203"/>
      <c r="F498" s="1204"/>
      <c r="G498" s="783" t="s">
        <v>80</v>
      </c>
      <c r="H498" s="783"/>
      <c r="I498" s="783"/>
      <c r="J498" s="792">
        <f>ROUNDUP(SUM(J439:J497),0)</f>
        <v>30</v>
      </c>
      <c r="K498" s="1195"/>
      <c r="L498" s="1195"/>
    </row>
    <row r="500" spans="2:12" s="15" customFormat="1" ht="15.75" x14ac:dyDescent="0.25">
      <c r="B500" s="632"/>
      <c r="C500" s="632"/>
      <c r="D500" s="27"/>
      <c r="E500" s="27"/>
      <c r="F500" s="27"/>
      <c r="H500" s="24"/>
      <c r="I500" s="24"/>
    </row>
    <row r="501" spans="2:12" ht="15.75" x14ac:dyDescent="0.25">
      <c r="D501" s="626"/>
      <c r="E501" s="1209" t="s">
        <v>78</v>
      </c>
      <c r="F501" s="1210"/>
      <c r="G501" s="1210"/>
      <c r="H501" s="1211"/>
      <c r="I501" s="782" t="s">
        <v>79</v>
      </c>
      <c r="J501" s="54" t="str">
        <f>+P.Detall!F46</f>
        <v>M3</v>
      </c>
      <c r="K501" s="1205" t="s">
        <v>971</v>
      </c>
      <c r="L501" s="1206"/>
    </row>
    <row r="502" spans="2:12" x14ac:dyDescent="0.25">
      <c r="B502" s="629" t="s">
        <v>2</v>
      </c>
      <c r="C502" s="629" t="s">
        <v>2</v>
      </c>
      <c r="D502" s="629" t="s">
        <v>4</v>
      </c>
      <c r="E502" s="629" t="s">
        <v>75</v>
      </c>
      <c r="F502" s="629" t="s">
        <v>76</v>
      </c>
      <c r="G502" s="629" t="s">
        <v>77</v>
      </c>
      <c r="H502" s="706" t="s">
        <v>891</v>
      </c>
      <c r="I502" s="706" t="s">
        <v>897</v>
      </c>
      <c r="J502" s="790" t="s">
        <v>88</v>
      </c>
      <c r="K502" s="1207"/>
      <c r="L502" s="1208"/>
    </row>
    <row r="503" spans="2:12" x14ac:dyDescent="0.25">
      <c r="B503" s="47">
        <v>630.20000000000005</v>
      </c>
      <c r="C503" s="20" t="s">
        <v>9</v>
      </c>
      <c r="D503" s="742" t="str">
        <f>+P.Detall!E46</f>
        <v>CONCRETO CLASE D</v>
      </c>
      <c r="E503" s="25"/>
      <c r="F503" s="22"/>
      <c r="G503" s="22"/>
      <c r="H503" s="22"/>
      <c r="I503" s="22"/>
      <c r="J503" s="655"/>
      <c r="K503" s="1195"/>
      <c r="L503" s="1195"/>
    </row>
    <row r="504" spans="2:12" x14ac:dyDescent="0.25">
      <c r="B504" s="20"/>
      <c r="C504" s="20"/>
      <c r="D504" s="32" t="s">
        <v>1082</v>
      </c>
      <c r="E504" s="25"/>
      <c r="F504" s="22"/>
      <c r="G504" s="22"/>
      <c r="H504" s="22"/>
      <c r="I504" s="22">
        <f>+E347</f>
        <v>5</v>
      </c>
      <c r="J504" s="655">
        <f>+H510*I504</f>
        <v>24.56</v>
      </c>
      <c r="K504" s="1195"/>
      <c r="L504" s="1195"/>
    </row>
    <row r="505" spans="2:12" x14ac:dyDescent="0.25">
      <c r="B505" s="20"/>
      <c r="C505" s="20"/>
      <c r="D505" s="990" t="s">
        <v>1083</v>
      </c>
      <c r="E505" s="991"/>
      <c r="F505" s="22"/>
      <c r="G505" s="22"/>
      <c r="H505" s="63"/>
      <c r="I505" s="22">
        <f>+E348</f>
        <v>10</v>
      </c>
      <c r="J505" s="655">
        <f>+H510*I505</f>
        <v>49.12</v>
      </c>
      <c r="K505" s="1195"/>
      <c r="L505" s="1195"/>
    </row>
    <row r="506" spans="2:12" x14ac:dyDescent="0.25">
      <c r="B506" s="20"/>
      <c r="C506" s="20"/>
      <c r="D506" s="1150" t="s">
        <v>920</v>
      </c>
      <c r="E506" s="722"/>
      <c r="F506" s="22"/>
      <c r="G506" s="22"/>
      <c r="H506" s="725">
        <f>((1.5*0.6)+((1.5*1)/2))*0.2*4</f>
        <v>1.32</v>
      </c>
      <c r="I506" s="22"/>
      <c r="J506" s="655"/>
      <c r="K506" s="1195"/>
      <c r="L506" s="1195"/>
    </row>
    <row r="507" spans="2:12" x14ac:dyDescent="0.25">
      <c r="B507" s="20"/>
      <c r="C507" s="20"/>
      <c r="D507" s="1151" t="s">
        <v>921</v>
      </c>
      <c r="E507" s="723"/>
      <c r="F507" s="22"/>
      <c r="G507" s="22"/>
      <c r="H507" s="726">
        <f>((1.7*1.6)-(0.82))*0.2*2</f>
        <v>0.76000000000000023</v>
      </c>
      <c r="I507" s="22"/>
      <c r="J507" s="655"/>
      <c r="K507" s="1195"/>
      <c r="L507" s="1195"/>
    </row>
    <row r="508" spans="2:12" x14ac:dyDescent="0.25">
      <c r="B508" s="20"/>
      <c r="C508" s="20"/>
      <c r="D508" s="1151" t="s">
        <v>922</v>
      </c>
      <c r="E508" s="723"/>
      <c r="F508" s="22"/>
      <c r="G508" s="22"/>
      <c r="H508" s="726">
        <f>((1.2*1.7)+(1*1.2))*0.3*2</f>
        <v>1.944</v>
      </c>
      <c r="I508" s="22"/>
      <c r="J508" s="655"/>
      <c r="K508" s="1195"/>
      <c r="L508" s="1195"/>
    </row>
    <row r="509" spans="2:12" x14ac:dyDescent="0.25">
      <c r="B509" s="20"/>
      <c r="C509" s="20"/>
      <c r="D509" s="1151" t="s">
        <v>924</v>
      </c>
      <c r="E509" s="723"/>
      <c r="F509" s="22"/>
      <c r="G509" s="22"/>
      <c r="H509" s="726">
        <f>0.3*0.4*3.7*2</f>
        <v>0.88800000000000001</v>
      </c>
      <c r="I509" s="22"/>
      <c r="J509" s="655"/>
      <c r="K509" s="1195"/>
      <c r="L509" s="1195"/>
    </row>
    <row r="510" spans="2:12" x14ac:dyDescent="0.25">
      <c r="B510" s="20"/>
      <c r="C510" s="20"/>
      <c r="D510" s="1152" t="s">
        <v>923</v>
      </c>
      <c r="E510" s="724"/>
      <c r="F510" s="22"/>
      <c r="G510" s="22"/>
      <c r="H510" s="727">
        <f>SUM(H506:H509)</f>
        <v>4.9119999999999999</v>
      </c>
      <c r="I510" s="22"/>
      <c r="J510" s="655"/>
      <c r="K510" s="1195"/>
      <c r="L510" s="1195"/>
    </row>
    <row r="511" spans="2:12" x14ac:dyDescent="0.25">
      <c r="B511" s="20"/>
      <c r="C511" s="20"/>
      <c r="D511" s="32" t="s">
        <v>113</v>
      </c>
      <c r="E511" s="22">
        <v>10</v>
      </c>
      <c r="F511" s="22">
        <v>1</v>
      </c>
      <c r="G511" s="22">
        <v>0.15</v>
      </c>
      <c r="H511" s="22"/>
      <c r="I511" s="22"/>
      <c r="J511" s="655">
        <f>+G511*F511*E511*2</f>
        <v>3</v>
      </c>
      <c r="K511" s="1195"/>
      <c r="L511" s="1195"/>
    </row>
    <row r="512" spans="2:12" x14ac:dyDescent="0.25">
      <c r="B512" s="1196" t="s">
        <v>973</v>
      </c>
      <c r="C512" s="1197"/>
      <c r="D512" s="1197"/>
      <c r="E512" s="1197"/>
      <c r="F512" s="1198"/>
      <c r="G512" s="22"/>
      <c r="H512" s="22"/>
      <c r="I512" s="22"/>
      <c r="J512" s="655"/>
      <c r="K512" s="1195"/>
      <c r="L512" s="1195"/>
    </row>
    <row r="513" spans="2:12" x14ac:dyDescent="0.25">
      <c r="B513" s="1199"/>
      <c r="C513" s="1200"/>
      <c r="D513" s="1200"/>
      <c r="E513" s="1200"/>
      <c r="F513" s="1201"/>
      <c r="G513" s="22"/>
      <c r="H513" s="22"/>
      <c r="I513" s="22"/>
      <c r="J513" s="655"/>
      <c r="K513" s="1195"/>
      <c r="L513" s="1195"/>
    </row>
    <row r="514" spans="2:12" s="15" customFormat="1" x14ac:dyDescent="0.25">
      <c r="B514" s="1202"/>
      <c r="C514" s="1203"/>
      <c r="D514" s="1203"/>
      <c r="E514" s="1203"/>
      <c r="F514" s="1204"/>
      <c r="G514" s="783" t="s">
        <v>80</v>
      </c>
      <c r="H514" s="783"/>
      <c r="I514" s="783"/>
      <c r="J514" s="792">
        <f>ROUNDUP(SUM(J503:J513),0)</f>
        <v>77</v>
      </c>
      <c r="K514" s="1195"/>
      <c r="L514" s="1195"/>
    </row>
    <row r="515" spans="2:12" s="15" customFormat="1" x14ac:dyDescent="0.25">
      <c r="B515" s="16"/>
      <c r="C515" s="16"/>
      <c r="D515" s="19"/>
      <c r="E515" s="26"/>
      <c r="F515" s="18"/>
      <c r="G515" s="55"/>
      <c r="H515" s="55"/>
      <c r="I515" s="55"/>
      <c r="J515" s="549"/>
      <c r="K515" s="791"/>
      <c r="L515" s="791"/>
    </row>
    <row r="517" spans="2:12" ht="15.75" x14ac:dyDescent="0.25">
      <c r="D517" s="626"/>
      <c r="E517" s="1209" t="s">
        <v>78</v>
      </c>
      <c r="F517" s="1210"/>
      <c r="G517" s="1210"/>
      <c r="H517" s="1211"/>
      <c r="I517" s="782" t="s">
        <v>79</v>
      </c>
      <c r="J517" s="54" t="str">
        <f>+P.Detall!F47</f>
        <v>M3</v>
      </c>
      <c r="K517" s="1205" t="s">
        <v>971</v>
      </c>
      <c r="L517" s="1206"/>
    </row>
    <row r="518" spans="2:12" x14ac:dyDescent="0.25">
      <c r="B518" s="629" t="s">
        <v>2</v>
      </c>
      <c r="C518" s="629" t="s">
        <v>2</v>
      </c>
      <c r="D518" s="629" t="s">
        <v>4</v>
      </c>
      <c r="E518" s="629" t="s">
        <v>782</v>
      </c>
      <c r="F518" s="629" t="s">
        <v>76</v>
      </c>
      <c r="G518" s="629" t="s">
        <v>77</v>
      </c>
      <c r="H518" s="706" t="s">
        <v>925</v>
      </c>
      <c r="I518" s="706" t="s">
        <v>926</v>
      </c>
      <c r="J518" s="790" t="s">
        <v>88</v>
      </c>
      <c r="K518" s="1207"/>
      <c r="L518" s="1208"/>
    </row>
    <row r="519" spans="2:12" x14ac:dyDescent="0.25">
      <c r="B519" s="47">
        <v>630.29999999999995</v>
      </c>
      <c r="C519" s="20" t="s">
        <v>9</v>
      </c>
      <c r="D519" s="742" t="str">
        <f>+P.Detall!E47</f>
        <v>CONCRETO CLASE F</v>
      </c>
      <c r="E519" s="25"/>
      <c r="F519" s="22"/>
      <c r="G519" s="22"/>
      <c r="H519" s="22"/>
      <c r="I519" s="22"/>
      <c r="J519" s="655"/>
      <c r="K519" s="1195"/>
      <c r="L519" s="1195"/>
    </row>
    <row r="520" spans="2:12" x14ac:dyDescent="0.25">
      <c r="B520" s="20"/>
      <c r="C520" s="20"/>
      <c r="D520" s="714" t="s">
        <v>1082</v>
      </c>
      <c r="E520" s="25">
        <f>+I504</f>
        <v>5</v>
      </c>
      <c r="F520" s="22">
        <v>1.2</v>
      </c>
      <c r="G520" s="22">
        <v>0.1</v>
      </c>
      <c r="H520" s="22">
        <v>1.7</v>
      </c>
      <c r="I520" s="22">
        <v>2</v>
      </c>
      <c r="J520" s="655">
        <f>+E520*F520*G520*H520*I520</f>
        <v>2.04</v>
      </c>
      <c r="K520" s="1195"/>
      <c r="L520" s="1195"/>
    </row>
    <row r="521" spans="2:12" x14ac:dyDescent="0.25">
      <c r="B521" s="20"/>
      <c r="C521" s="20"/>
      <c r="D521" s="714"/>
      <c r="E521" s="25">
        <f>+E520</f>
        <v>5</v>
      </c>
      <c r="F521" s="22">
        <v>1.2</v>
      </c>
      <c r="G521" s="22">
        <v>0.1</v>
      </c>
      <c r="H521" s="22">
        <v>1</v>
      </c>
      <c r="I521" s="22">
        <v>2</v>
      </c>
      <c r="J521" s="655">
        <f>+E521*F521*G521*H521*I521</f>
        <v>1.2000000000000002</v>
      </c>
      <c r="K521" s="1195"/>
      <c r="L521" s="1195"/>
    </row>
    <row r="522" spans="2:12" x14ac:dyDescent="0.25">
      <c r="B522" s="20"/>
      <c r="C522" s="20"/>
      <c r="D522" s="714" t="s">
        <v>1083</v>
      </c>
      <c r="E522" s="25">
        <f>+I505</f>
        <v>10</v>
      </c>
      <c r="F522" s="22">
        <v>1.2</v>
      </c>
      <c r="G522" s="22">
        <v>0.1</v>
      </c>
      <c r="H522" s="22">
        <v>1.7</v>
      </c>
      <c r="I522" s="22">
        <v>2</v>
      </c>
      <c r="J522" s="655">
        <f>+E522*F522*G522*H522*I522</f>
        <v>4.08</v>
      </c>
      <c r="K522" s="1195"/>
      <c r="L522" s="1195"/>
    </row>
    <row r="523" spans="2:12" x14ac:dyDescent="0.25">
      <c r="B523" s="20"/>
      <c r="C523" s="20"/>
      <c r="D523" s="714"/>
      <c r="E523" s="25">
        <f>+E522</f>
        <v>10</v>
      </c>
      <c r="F523" s="22">
        <v>1.2</v>
      </c>
      <c r="G523" s="22">
        <v>0.1</v>
      </c>
      <c r="H523" s="22">
        <v>1</v>
      </c>
      <c r="I523" s="22">
        <v>2</v>
      </c>
      <c r="J523" s="655">
        <f>+E523*F523*G523*H523*I523</f>
        <v>2.4000000000000004</v>
      </c>
      <c r="K523" s="1195"/>
      <c r="L523" s="1195"/>
    </row>
    <row r="524" spans="2:12" x14ac:dyDescent="0.25">
      <c r="B524" s="20"/>
      <c r="C524" s="20"/>
      <c r="D524" s="714" t="str">
        <f t="shared" ref="D524:D555" si="18">+D440</f>
        <v>Muros de Contención:</v>
      </c>
      <c r="E524" s="25"/>
      <c r="F524" s="22"/>
      <c r="G524" s="22"/>
      <c r="H524" s="22"/>
      <c r="I524" s="22"/>
      <c r="J524" s="655"/>
      <c r="K524" s="1195"/>
      <c r="L524" s="1195"/>
    </row>
    <row r="525" spans="2:12" x14ac:dyDescent="0.25">
      <c r="B525" s="20"/>
      <c r="C525" s="20"/>
      <c r="D525" s="988" t="str">
        <f t="shared" si="18"/>
        <v>estructural 1</v>
      </c>
      <c r="E525" s="25">
        <f t="shared" ref="E525:E556" si="19">+E441</f>
        <v>1</v>
      </c>
      <c r="F525" s="22">
        <f>+G294</f>
        <v>1.25</v>
      </c>
      <c r="G525" s="22">
        <v>0.1</v>
      </c>
      <c r="H525" s="22">
        <f t="shared" ref="H525:H556" si="20">+F441</f>
        <v>10</v>
      </c>
      <c r="I525" s="22"/>
      <c r="J525" s="655">
        <f>+E525*F525*G525*H525</f>
        <v>1.25</v>
      </c>
      <c r="K525" s="1195"/>
      <c r="L525" s="1195"/>
    </row>
    <row r="526" spans="2:12" x14ac:dyDescent="0.25">
      <c r="B526" s="20"/>
      <c r="C526" s="20"/>
      <c r="D526" s="988" t="str">
        <f t="shared" si="18"/>
        <v>estructural 2</v>
      </c>
      <c r="E526" s="25">
        <f t="shared" si="19"/>
        <v>1</v>
      </c>
      <c r="F526" s="22">
        <f>+G295</f>
        <v>1.85</v>
      </c>
      <c r="G526" s="22">
        <f>+G525</f>
        <v>0.1</v>
      </c>
      <c r="H526" s="22">
        <f t="shared" si="20"/>
        <v>9</v>
      </c>
      <c r="I526" s="22"/>
      <c r="J526" s="655">
        <f t="shared" ref="J526:J573" si="21">+E526*F526*G526*H526</f>
        <v>1.6650000000000003</v>
      </c>
      <c r="K526" s="1195"/>
      <c r="L526" s="1195"/>
    </row>
    <row r="527" spans="2:12" x14ac:dyDescent="0.25">
      <c r="B527" s="20"/>
      <c r="C527" s="20"/>
      <c r="D527" s="988" t="str">
        <f t="shared" si="18"/>
        <v>gavion 1</v>
      </c>
      <c r="E527" s="25">
        <f t="shared" si="19"/>
        <v>0</v>
      </c>
      <c r="F527" s="22">
        <f>+G296</f>
        <v>1.85</v>
      </c>
      <c r="G527" s="22">
        <f t="shared" ref="G527:G573" si="22">+G526</f>
        <v>0.1</v>
      </c>
      <c r="H527" s="22">
        <f t="shared" si="20"/>
        <v>18</v>
      </c>
      <c r="I527" s="22"/>
      <c r="J527" s="655">
        <f t="shared" si="21"/>
        <v>0</v>
      </c>
      <c r="K527" s="1195"/>
      <c r="L527" s="1195"/>
    </row>
    <row r="528" spans="2:12" x14ac:dyDescent="0.25">
      <c r="B528" s="20"/>
      <c r="C528" s="20"/>
      <c r="D528" s="988" t="str">
        <f t="shared" si="18"/>
        <v>gavion 2</v>
      </c>
      <c r="E528" s="25">
        <f t="shared" si="19"/>
        <v>0</v>
      </c>
      <c r="F528" s="22">
        <f>+G297</f>
        <v>1.85</v>
      </c>
      <c r="G528" s="22">
        <f t="shared" si="22"/>
        <v>0.1</v>
      </c>
      <c r="H528" s="22">
        <f t="shared" si="20"/>
        <v>12</v>
      </c>
      <c r="I528" s="22"/>
      <c r="J528" s="655">
        <f t="shared" si="21"/>
        <v>0</v>
      </c>
      <c r="K528" s="1195"/>
      <c r="L528" s="1195"/>
    </row>
    <row r="529" spans="2:12" x14ac:dyDescent="0.25">
      <c r="B529" s="20"/>
      <c r="C529" s="20"/>
      <c r="D529" s="988" t="str">
        <f t="shared" si="18"/>
        <v>gavion 3</v>
      </c>
      <c r="E529" s="25">
        <f t="shared" si="19"/>
        <v>0</v>
      </c>
      <c r="F529" s="22">
        <f>+G298</f>
        <v>1.85</v>
      </c>
      <c r="G529" s="22">
        <f t="shared" si="22"/>
        <v>0.1</v>
      </c>
      <c r="H529" s="22">
        <f t="shared" si="20"/>
        <v>18</v>
      </c>
      <c r="I529" s="22"/>
      <c r="J529" s="655">
        <f t="shared" si="21"/>
        <v>0</v>
      </c>
      <c r="K529" s="1195"/>
      <c r="L529" s="1195"/>
    </row>
    <row r="530" spans="2:12" x14ac:dyDescent="0.25">
      <c r="B530" s="20"/>
      <c r="C530" s="20"/>
      <c r="D530" s="988"/>
      <c r="E530" s="25"/>
      <c r="F530" s="22"/>
      <c r="G530" s="22"/>
      <c r="H530" s="22"/>
      <c r="I530" s="22"/>
      <c r="J530" s="655"/>
      <c r="K530" s="1195"/>
      <c r="L530" s="1195"/>
    </row>
    <row r="531" spans="2:12" x14ac:dyDescent="0.25">
      <c r="B531" s="20"/>
      <c r="C531" s="20"/>
      <c r="D531" s="1153">
        <f t="shared" si="18"/>
        <v>0</v>
      </c>
      <c r="E531" s="1154">
        <f t="shared" si="19"/>
        <v>0</v>
      </c>
      <c r="F531" s="1155">
        <f t="shared" ref="F531:F573" si="23">+G300</f>
        <v>0</v>
      </c>
      <c r="G531" s="1155">
        <f t="shared" si="22"/>
        <v>0</v>
      </c>
      <c r="H531" s="1155">
        <f t="shared" si="20"/>
        <v>0</v>
      </c>
      <c r="I531" s="1155"/>
      <c r="J531" s="1158">
        <f t="shared" si="21"/>
        <v>0</v>
      </c>
      <c r="K531" s="1195"/>
      <c r="L531" s="1195"/>
    </row>
    <row r="532" spans="2:12" x14ac:dyDescent="0.25">
      <c r="B532" s="20"/>
      <c r="C532" s="20"/>
      <c r="D532" s="1153">
        <f t="shared" si="18"/>
        <v>0</v>
      </c>
      <c r="E532" s="1154">
        <f t="shared" si="19"/>
        <v>0</v>
      </c>
      <c r="F532" s="1155">
        <f t="shared" si="23"/>
        <v>0</v>
      </c>
      <c r="G532" s="1155">
        <f t="shared" si="22"/>
        <v>0</v>
      </c>
      <c r="H532" s="1155">
        <f t="shared" si="20"/>
        <v>0</v>
      </c>
      <c r="I532" s="1155"/>
      <c r="J532" s="1158">
        <f t="shared" si="21"/>
        <v>0</v>
      </c>
      <c r="K532" s="1195"/>
      <c r="L532" s="1195"/>
    </row>
    <row r="533" spans="2:12" x14ac:dyDescent="0.25">
      <c r="B533" s="20"/>
      <c r="C533" s="20"/>
      <c r="D533" s="1153">
        <f t="shared" si="18"/>
        <v>0</v>
      </c>
      <c r="E533" s="1154">
        <f t="shared" si="19"/>
        <v>0</v>
      </c>
      <c r="F533" s="1155">
        <f t="shared" si="23"/>
        <v>0</v>
      </c>
      <c r="G533" s="1155">
        <f t="shared" si="22"/>
        <v>0</v>
      </c>
      <c r="H533" s="1155">
        <f t="shared" si="20"/>
        <v>0</v>
      </c>
      <c r="I533" s="1155"/>
      <c r="J533" s="1158">
        <f t="shared" si="21"/>
        <v>0</v>
      </c>
      <c r="K533" s="1195"/>
      <c r="L533" s="1195"/>
    </row>
    <row r="534" spans="2:12" x14ac:dyDescent="0.25">
      <c r="B534" s="20"/>
      <c r="C534" s="20"/>
      <c r="D534" s="1153">
        <f t="shared" si="18"/>
        <v>0</v>
      </c>
      <c r="E534" s="1154">
        <f t="shared" si="19"/>
        <v>0</v>
      </c>
      <c r="F534" s="1155">
        <f t="shared" si="23"/>
        <v>0</v>
      </c>
      <c r="G534" s="1155">
        <f t="shared" si="22"/>
        <v>0</v>
      </c>
      <c r="H534" s="1155">
        <f t="shared" si="20"/>
        <v>0</v>
      </c>
      <c r="I534" s="1155"/>
      <c r="J534" s="1158">
        <f t="shared" si="21"/>
        <v>0</v>
      </c>
      <c r="K534" s="1195"/>
      <c r="L534" s="1195"/>
    </row>
    <row r="535" spans="2:12" x14ac:dyDescent="0.25">
      <c r="B535" s="20"/>
      <c r="C535" s="20"/>
      <c r="D535" s="1153">
        <f t="shared" si="18"/>
        <v>0</v>
      </c>
      <c r="E535" s="1154">
        <f t="shared" si="19"/>
        <v>0</v>
      </c>
      <c r="F535" s="1155">
        <f t="shared" si="23"/>
        <v>0</v>
      </c>
      <c r="G535" s="1155">
        <f t="shared" si="22"/>
        <v>0</v>
      </c>
      <c r="H535" s="1155">
        <f t="shared" si="20"/>
        <v>0</v>
      </c>
      <c r="I535" s="1155"/>
      <c r="J535" s="1158">
        <f t="shared" si="21"/>
        <v>0</v>
      </c>
      <c r="K535" s="1195"/>
      <c r="L535" s="1195"/>
    </row>
    <row r="536" spans="2:12" x14ac:dyDescent="0.25">
      <c r="B536" s="20"/>
      <c r="C536" s="20"/>
      <c r="D536" s="1153">
        <f t="shared" si="18"/>
        <v>0</v>
      </c>
      <c r="E536" s="1154">
        <f t="shared" si="19"/>
        <v>0</v>
      </c>
      <c r="F536" s="1155">
        <f t="shared" si="23"/>
        <v>0</v>
      </c>
      <c r="G536" s="1155">
        <f t="shared" si="22"/>
        <v>0</v>
      </c>
      <c r="H536" s="1155">
        <f t="shared" si="20"/>
        <v>0</v>
      </c>
      <c r="I536" s="1155"/>
      <c r="J536" s="1158">
        <f t="shared" si="21"/>
        <v>0</v>
      </c>
      <c r="K536" s="1195"/>
      <c r="L536" s="1195"/>
    </row>
    <row r="537" spans="2:12" x14ac:dyDescent="0.25">
      <c r="B537" s="20"/>
      <c r="C537" s="20"/>
      <c r="D537" s="1153">
        <f t="shared" si="18"/>
        <v>0</v>
      </c>
      <c r="E537" s="1154">
        <f t="shared" si="19"/>
        <v>0</v>
      </c>
      <c r="F537" s="1155">
        <f t="shared" si="23"/>
        <v>0</v>
      </c>
      <c r="G537" s="1155">
        <f t="shared" si="22"/>
        <v>0</v>
      </c>
      <c r="H537" s="1155">
        <f t="shared" si="20"/>
        <v>0</v>
      </c>
      <c r="I537" s="1155"/>
      <c r="J537" s="1158">
        <f t="shared" si="21"/>
        <v>0</v>
      </c>
      <c r="K537" s="1195"/>
      <c r="L537" s="1195"/>
    </row>
    <row r="538" spans="2:12" x14ac:dyDescent="0.25">
      <c r="B538" s="20"/>
      <c r="C538" s="20"/>
      <c r="D538" s="1153">
        <f t="shared" si="18"/>
        <v>0</v>
      </c>
      <c r="E538" s="1154">
        <f t="shared" si="19"/>
        <v>0</v>
      </c>
      <c r="F538" s="1155">
        <f t="shared" si="23"/>
        <v>0</v>
      </c>
      <c r="G538" s="1155">
        <f t="shared" si="22"/>
        <v>0</v>
      </c>
      <c r="H538" s="1155">
        <f t="shared" si="20"/>
        <v>0</v>
      </c>
      <c r="I538" s="1155"/>
      <c r="J538" s="1158">
        <f t="shared" si="21"/>
        <v>0</v>
      </c>
      <c r="K538" s="1195"/>
      <c r="L538" s="1195"/>
    </row>
    <row r="539" spans="2:12" x14ac:dyDescent="0.25">
      <c r="B539" s="20"/>
      <c r="C539" s="20"/>
      <c r="D539" s="1153">
        <f t="shared" si="18"/>
        <v>0</v>
      </c>
      <c r="E539" s="1154">
        <f t="shared" si="19"/>
        <v>0</v>
      </c>
      <c r="F539" s="1155">
        <f t="shared" si="23"/>
        <v>0</v>
      </c>
      <c r="G539" s="1155">
        <f t="shared" si="22"/>
        <v>0</v>
      </c>
      <c r="H539" s="1155">
        <f t="shared" si="20"/>
        <v>0</v>
      </c>
      <c r="I539" s="1155"/>
      <c r="J539" s="1158">
        <f t="shared" si="21"/>
        <v>0</v>
      </c>
      <c r="K539" s="1195"/>
      <c r="L539" s="1195"/>
    </row>
    <row r="540" spans="2:12" x14ac:dyDescent="0.25">
      <c r="B540" s="20"/>
      <c r="C540" s="20"/>
      <c r="D540" s="1153">
        <f t="shared" si="18"/>
        <v>0</v>
      </c>
      <c r="E540" s="1154">
        <f t="shared" si="19"/>
        <v>0</v>
      </c>
      <c r="F540" s="1155">
        <f t="shared" si="23"/>
        <v>0</v>
      </c>
      <c r="G540" s="1155">
        <f t="shared" si="22"/>
        <v>0</v>
      </c>
      <c r="H540" s="1155">
        <f t="shared" si="20"/>
        <v>0</v>
      </c>
      <c r="I540" s="1155"/>
      <c r="J540" s="1158">
        <f t="shared" si="21"/>
        <v>0</v>
      </c>
      <c r="K540" s="1195"/>
      <c r="L540" s="1195"/>
    </row>
    <row r="541" spans="2:12" x14ac:dyDescent="0.25">
      <c r="B541" s="20"/>
      <c r="C541" s="20"/>
      <c r="D541" s="1153">
        <f t="shared" si="18"/>
        <v>0</v>
      </c>
      <c r="E541" s="1154">
        <f t="shared" si="19"/>
        <v>0</v>
      </c>
      <c r="F541" s="1155">
        <f t="shared" si="23"/>
        <v>0</v>
      </c>
      <c r="G541" s="1155">
        <f t="shared" si="22"/>
        <v>0</v>
      </c>
      <c r="H541" s="1155">
        <f t="shared" si="20"/>
        <v>0</v>
      </c>
      <c r="I541" s="1155"/>
      <c r="J541" s="1158">
        <f t="shared" si="21"/>
        <v>0</v>
      </c>
      <c r="K541" s="1195"/>
      <c r="L541" s="1195"/>
    </row>
    <row r="542" spans="2:12" x14ac:dyDescent="0.25">
      <c r="B542" s="20"/>
      <c r="C542" s="20"/>
      <c r="D542" s="1153">
        <f t="shared" si="18"/>
        <v>0</v>
      </c>
      <c r="E542" s="1154">
        <f t="shared" si="19"/>
        <v>0</v>
      </c>
      <c r="F542" s="1155">
        <f t="shared" si="23"/>
        <v>0</v>
      </c>
      <c r="G542" s="1155">
        <f t="shared" si="22"/>
        <v>0</v>
      </c>
      <c r="H542" s="1155">
        <f t="shared" si="20"/>
        <v>0</v>
      </c>
      <c r="I542" s="1155"/>
      <c r="J542" s="1158">
        <f t="shared" si="21"/>
        <v>0</v>
      </c>
      <c r="K542" s="1195"/>
      <c r="L542" s="1195"/>
    </row>
    <row r="543" spans="2:12" x14ac:dyDescent="0.25">
      <c r="B543" s="20"/>
      <c r="C543" s="20"/>
      <c r="D543" s="1153">
        <f t="shared" si="18"/>
        <v>0</v>
      </c>
      <c r="E543" s="1154">
        <f t="shared" si="19"/>
        <v>0</v>
      </c>
      <c r="F543" s="1155">
        <f t="shared" si="23"/>
        <v>0</v>
      </c>
      <c r="G543" s="1155">
        <f t="shared" si="22"/>
        <v>0</v>
      </c>
      <c r="H543" s="1155">
        <f t="shared" si="20"/>
        <v>0</v>
      </c>
      <c r="I543" s="1155"/>
      <c r="J543" s="1158">
        <f t="shared" si="21"/>
        <v>0</v>
      </c>
      <c r="K543" s="1195"/>
      <c r="L543" s="1195"/>
    </row>
    <row r="544" spans="2:12" x14ac:dyDescent="0.25">
      <c r="B544" s="20"/>
      <c r="C544" s="20"/>
      <c r="D544" s="1153">
        <f t="shared" si="18"/>
        <v>0</v>
      </c>
      <c r="E544" s="1154">
        <f t="shared" si="19"/>
        <v>0</v>
      </c>
      <c r="F544" s="1155">
        <f t="shared" si="23"/>
        <v>0</v>
      </c>
      <c r="G544" s="1155">
        <f t="shared" si="22"/>
        <v>0</v>
      </c>
      <c r="H544" s="1155">
        <f t="shared" si="20"/>
        <v>0</v>
      </c>
      <c r="I544" s="1155"/>
      <c r="J544" s="1158">
        <f t="shared" si="21"/>
        <v>0</v>
      </c>
      <c r="K544" s="1195"/>
      <c r="L544" s="1195"/>
    </row>
    <row r="545" spans="2:12" x14ac:dyDescent="0.25">
      <c r="B545" s="20"/>
      <c r="C545" s="20"/>
      <c r="D545" s="1153">
        <f t="shared" si="18"/>
        <v>0</v>
      </c>
      <c r="E545" s="1154">
        <f t="shared" si="19"/>
        <v>0</v>
      </c>
      <c r="F545" s="1155">
        <f t="shared" si="23"/>
        <v>0</v>
      </c>
      <c r="G545" s="1155">
        <f t="shared" si="22"/>
        <v>0</v>
      </c>
      <c r="H545" s="1155">
        <f t="shared" si="20"/>
        <v>0</v>
      </c>
      <c r="I545" s="1155"/>
      <c r="J545" s="1158">
        <f t="shared" si="21"/>
        <v>0</v>
      </c>
      <c r="K545" s="1195"/>
      <c r="L545" s="1195"/>
    </row>
    <row r="546" spans="2:12" x14ac:dyDescent="0.25">
      <c r="B546" s="20"/>
      <c r="C546" s="20"/>
      <c r="D546" s="1153">
        <f t="shared" si="18"/>
        <v>0</v>
      </c>
      <c r="E546" s="1154">
        <f t="shared" si="19"/>
        <v>0</v>
      </c>
      <c r="F546" s="1155">
        <f t="shared" si="23"/>
        <v>0</v>
      </c>
      <c r="G546" s="1155">
        <f t="shared" si="22"/>
        <v>0</v>
      </c>
      <c r="H546" s="1155">
        <f t="shared" si="20"/>
        <v>0</v>
      </c>
      <c r="I546" s="1155"/>
      <c r="J546" s="1158">
        <f t="shared" si="21"/>
        <v>0</v>
      </c>
      <c r="K546" s="1195"/>
      <c r="L546" s="1195"/>
    </row>
    <row r="547" spans="2:12" x14ac:dyDescent="0.25">
      <c r="B547" s="20"/>
      <c r="C547" s="20"/>
      <c r="D547" s="1153">
        <f t="shared" si="18"/>
        <v>0</v>
      </c>
      <c r="E547" s="1154">
        <f t="shared" si="19"/>
        <v>0</v>
      </c>
      <c r="F547" s="1155">
        <f t="shared" si="23"/>
        <v>0</v>
      </c>
      <c r="G547" s="1155">
        <f t="shared" si="22"/>
        <v>0</v>
      </c>
      <c r="H547" s="1155">
        <f t="shared" si="20"/>
        <v>0</v>
      </c>
      <c r="I547" s="1155"/>
      <c r="J547" s="1158">
        <f t="shared" si="21"/>
        <v>0</v>
      </c>
      <c r="K547" s="1195"/>
      <c r="L547" s="1195"/>
    </row>
    <row r="548" spans="2:12" x14ac:dyDescent="0.25">
      <c r="B548" s="20"/>
      <c r="C548" s="20"/>
      <c r="D548" s="1153">
        <f t="shared" si="18"/>
        <v>0</v>
      </c>
      <c r="E548" s="1154">
        <f t="shared" si="19"/>
        <v>0</v>
      </c>
      <c r="F548" s="1155">
        <f t="shared" si="23"/>
        <v>0</v>
      </c>
      <c r="G548" s="1155">
        <f t="shared" si="22"/>
        <v>0</v>
      </c>
      <c r="H548" s="1155">
        <f t="shared" si="20"/>
        <v>0</v>
      </c>
      <c r="I548" s="1155"/>
      <c r="J548" s="1158">
        <f t="shared" si="21"/>
        <v>0</v>
      </c>
      <c r="K548" s="1195"/>
      <c r="L548" s="1195"/>
    </row>
    <row r="549" spans="2:12" x14ac:dyDescent="0.25">
      <c r="B549" s="20"/>
      <c r="C549" s="20"/>
      <c r="D549" s="1153">
        <f t="shared" si="18"/>
        <v>0</v>
      </c>
      <c r="E549" s="1154">
        <f t="shared" si="19"/>
        <v>0</v>
      </c>
      <c r="F549" s="1155">
        <f t="shared" si="23"/>
        <v>0</v>
      </c>
      <c r="G549" s="1155">
        <f t="shared" si="22"/>
        <v>0</v>
      </c>
      <c r="H549" s="1155">
        <f t="shared" si="20"/>
        <v>0</v>
      </c>
      <c r="I549" s="1155"/>
      <c r="J549" s="1158">
        <f t="shared" si="21"/>
        <v>0</v>
      </c>
      <c r="K549" s="1195"/>
      <c r="L549" s="1195"/>
    </row>
    <row r="550" spans="2:12" x14ac:dyDescent="0.25">
      <c r="B550" s="20"/>
      <c r="C550" s="20"/>
      <c r="D550" s="1153">
        <f t="shared" si="18"/>
        <v>0</v>
      </c>
      <c r="E550" s="1154">
        <f t="shared" si="19"/>
        <v>0</v>
      </c>
      <c r="F550" s="1155">
        <f t="shared" si="23"/>
        <v>0</v>
      </c>
      <c r="G550" s="1155">
        <f t="shared" si="22"/>
        <v>0</v>
      </c>
      <c r="H550" s="1155">
        <f t="shared" si="20"/>
        <v>0</v>
      </c>
      <c r="I550" s="1155"/>
      <c r="J550" s="1158">
        <f t="shared" si="21"/>
        <v>0</v>
      </c>
      <c r="K550" s="1195"/>
      <c r="L550" s="1195"/>
    </row>
    <row r="551" spans="2:12" x14ac:dyDescent="0.25">
      <c r="B551" s="20"/>
      <c r="C551" s="20"/>
      <c r="D551" s="1153">
        <f t="shared" si="18"/>
        <v>0</v>
      </c>
      <c r="E551" s="1154">
        <f t="shared" si="19"/>
        <v>0</v>
      </c>
      <c r="F551" s="1155">
        <f t="shared" si="23"/>
        <v>0</v>
      </c>
      <c r="G551" s="1155">
        <f t="shared" si="22"/>
        <v>0</v>
      </c>
      <c r="H551" s="1155">
        <f t="shared" si="20"/>
        <v>0</v>
      </c>
      <c r="I551" s="1155"/>
      <c r="J551" s="1158">
        <f t="shared" si="21"/>
        <v>0</v>
      </c>
      <c r="K551" s="1195"/>
      <c r="L551" s="1195"/>
    </row>
    <row r="552" spans="2:12" x14ac:dyDescent="0.25">
      <c r="B552" s="20"/>
      <c r="C552" s="20"/>
      <c r="D552" s="1153">
        <f t="shared" si="18"/>
        <v>0</v>
      </c>
      <c r="E552" s="1154">
        <f t="shared" si="19"/>
        <v>0</v>
      </c>
      <c r="F552" s="1155">
        <f t="shared" si="23"/>
        <v>0</v>
      </c>
      <c r="G552" s="1155">
        <f t="shared" si="22"/>
        <v>0</v>
      </c>
      <c r="H552" s="1155">
        <f t="shared" si="20"/>
        <v>0</v>
      </c>
      <c r="I552" s="1155"/>
      <c r="J552" s="1158">
        <f t="shared" si="21"/>
        <v>0</v>
      </c>
      <c r="K552" s="1195"/>
      <c r="L552" s="1195"/>
    </row>
    <row r="553" spans="2:12" x14ac:dyDescent="0.25">
      <c r="B553" s="20"/>
      <c r="C553" s="20"/>
      <c r="D553" s="1153">
        <f t="shared" si="18"/>
        <v>0</v>
      </c>
      <c r="E553" s="1154">
        <f t="shared" si="19"/>
        <v>0</v>
      </c>
      <c r="F553" s="1155">
        <f t="shared" si="23"/>
        <v>0</v>
      </c>
      <c r="G553" s="1155">
        <f t="shared" si="22"/>
        <v>0</v>
      </c>
      <c r="H553" s="1155">
        <f t="shared" si="20"/>
        <v>0</v>
      </c>
      <c r="I553" s="1155"/>
      <c r="J553" s="1158">
        <f t="shared" si="21"/>
        <v>0</v>
      </c>
      <c r="K553" s="1195"/>
      <c r="L553" s="1195"/>
    </row>
    <row r="554" spans="2:12" x14ac:dyDescent="0.25">
      <c r="B554" s="20"/>
      <c r="C554" s="20"/>
      <c r="D554" s="1153">
        <f t="shared" si="18"/>
        <v>0</v>
      </c>
      <c r="E554" s="1154">
        <f t="shared" si="19"/>
        <v>0</v>
      </c>
      <c r="F554" s="1155">
        <f t="shared" si="23"/>
        <v>0</v>
      </c>
      <c r="G554" s="1155">
        <f t="shared" si="22"/>
        <v>0</v>
      </c>
      <c r="H554" s="1155">
        <f t="shared" si="20"/>
        <v>0</v>
      </c>
      <c r="I554" s="1155"/>
      <c r="J554" s="1158">
        <f t="shared" si="21"/>
        <v>0</v>
      </c>
      <c r="K554" s="1195"/>
      <c r="L554" s="1195"/>
    </row>
    <row r="555" spans="2:12" x14ac:dyDescent="0.25">
      <c r="B555" s="20"/>
      <c r="C555" s="20"/>
      <c r="D555" s="1153">
        <f t="shared" si="18"/>
        <v>0</v>
      </c>
      <c r="E555" s="1154">
        <f t="shared" si="19"/>
        <v>0</v>
      </c>
      <c r="F555" s="1155">
        <f t="shared" si="23"/>
        <v>0</v>
      </c>
      <c r="G555" s="1155">
        <f t="shared" si="22"/>
        <v>0</v>
      </c>
      <c r="H555" s="1155">
        <f t="shared" si="20"/>
        <v>0</v>
      </c>
      <c r="I555" s="1155"/>
      <c r="J555" s="1158">
        <f t="shared" si="21"/>
        <v>0</v>
      </c>
      <c r="K555" s="1195"/>
      <c r="L555" s="1195"/>
    </row>
    <row r="556" spans="2:12" x14ac:dyDescent="0.25">
      <c r="B556" s="20"/>
      <c r="C556" s="20"/>
      <c r="D556" s="1153">
        <f t="shared" ref="D556:D573" si="24">+D472</f>
        <v>0</v>
      </c>
      <c r="E556" s="1154">
        <f t="shared" si="19"/>
        <v>0</v>
      </c>
      <c r="F556" s="1155">
        <f t="shared" si="23"/>
        <v>0</v>
      </c>
      <c r="G556" s="1155">
        <f t="shared" si="22"/>
        <v>0</v>
      </c>
      <c r="H556" s="1155">
        <f t="shared" si="20"/>
        <v>0</v>
      </c>
      <c r="I556" s="1155"/>
      <c r="J556" s="1158">
        <f t="shared" si="21"/>
        <v>0</v>
      </c>
      <c r="K556" s="1195"/>
      <c r="L556" s="1195"/>
    </row>
    <row r="557" spans="2:12" x14ac:dyDescent="0.25">
      <c r="B557" s="20"/>
      <c r="C557" s="20"/>
      <c r="D557" s="1153">
        <f t="shared" si="24"/>
        <v>0</v>
      </c>
      <c r="E557" s="1154">
        <f t="shared" ref="E557:E573" si="25">+E473</f>
        <v>0</v>
      </c>
      <c r="F557" s="1155">
        <f t="shared" si="23"/>
        <v>0</v>
      </c>
      <c r="G557" s="1155">
        <f t="shared" si="22"/>
        <v>0</v>
      </c>
      <c r="H557" s="1155">
        <f t="shared" ref="H557:H573" si="26">+F473</f>
        <v>0</v>
      </c>
      <c r="I557" s="1155"/>
      <c r="J557" s="1158">
        <f t="shared" si="21"/>
        <v>0</v>
      </c>
      <c r="K557" s="1195"/>
      <c r="L557" s="1195"/>
    </row>
    <row r="558" spans="2:12" x14ac:dyDescent="0.25">
      <c r="B558" s="20"/>
      <c r="C558" s="20"/>
      <c r="D558" s="1153">
        <f t="shared" si="24"/>
        <v>0</v>
      </c>
      <c r="E558" s="1154">
        <f t="shared" si="25"/>
        <v>0</v>
      </c>
      <c r="F558" s="1155">
        <f t="shared" si="23"/>
        <v>0</v>
      </c>
      <c r="G558" s="1155">
        <f t="shared" si="22"/>
        <v>0</v>
      </c>
      <c r="H558" s="1155">
        <f t="shared" si="26"/>
        <v>0</v>
      </c>
      <c r="I558" s="1155"/>
      <c r="J558" s="1158">
        <f t="shared" si="21"/>
        <v>0</v>
      </c>
      <c r="K558" s="1195"/>
      <c r="L558" s="1195"/>
    </row>
    <row r="559" spans="2:12" x14ac:dyDescent="0.25">
      <c r="B559" s="20"/>
      <c r="C559" s="20"/>
      <c r="D559" s="1153">
        <f t="shared" si="24"/>
        <v>0</v>
      </c>
      <c r="E559" s="1154">
        <f t="shared" si="25"/>
        <v>0</v>
      </c>
      <c r="F559" s="1155">
        <f t="shared" si="23"/>
        <v>0</v>
      </c>
      <c r="G559" s="1155">
        <f t="shared" si="22"/>
        <v>0</v>
      </c>
      <c r="H559" s="1155">
        <f t="shared" si="26"/>
        <v>0</v>
      </c>
      <c r="I559" s="1155"/>
      <c r="J559" s="1158">
        <f t="shared" si="21"/>
        <v>0</v>
      </c>
      <c r="K559" s="1195"/>
      <c r="L559" s="1195"/>
    </row>
    <row r="560" spans="2:12" x14ac:dyDescent="0.25">
      <c r="B560" s="20"/>
      <c r="C560" s="20"/>
      <c r="D560" s="1153">
        <f t="shared" si="24"/>
        <v>0</v>
      </c>
      <c r="E560" s="1154">
        <f t="shared" si="25"/>
        <v>0</v>
      </c>
      <c r="F560" s="1155">
        <f t="shared" si="23"/>
        <v>0</v>
      </c>
      <c r="G560" s="1155">
        <f t="shared" si="22"/>
        <v>0</v>
      </c>
      <c r="H560" s="1155">
        <f t="shared" si="26"/>
        <v>0</v>
      </c>
      <c r="I560" s="1155"/>
      <c r="J560" s="1158">
        <f t="shared" si="21"/>
        <v>0</v>
      </c>
      <c r="K560" s="1195"/>
      <c r="L560" s="1195"/>
    </row>
    <row r="561" spans="2:12" x14ac:dyDescent="0.25">
      <c r="B561" s="20"/>
      <c r="C561" s="20"/>
      <c r="D561" s="1153">
        <f t="shared" si="24"/>
        <v>0</v>
      </c>
      <c r="E561" s="1154">
        <f t="shared" si="25"/>
        <v>0</v>
      </c>
      <c r="F561" s="1155">
        <f t="shared" si="23"/>
        <v>0</v>
      </c>
      <c r="G561" s="1155">
        <f t="shared" si="22"/>
        <v>0</v>
      </c>
      <c r="H561" s="1155">
        <f t="shared" si="26"/>
        <v>0</v>
      </c>
      <c r="I561" s="1155"/>
      <c r="J561" s="1158">
        <f t="shared" si="21"/>
        <v>0</v>
      </c>
      <c r="K561" s="1195"/>
      <c r="L561" s="1195"/>
    </row>
    <row r="562" spans="2:12" x14ac:dyDescent="0.25">
      <c r="B562" s="20"/>
      <c r="C562" s="20"/>
      <c r="D562" s="1153">
        <f t="shared" si="24"/>
        <v>0</v>
      </c>
      <c r="E562" s="1154">
        <f t="shared" si="25"/>
        <v>0</v>
      </c>
      <c r="F562" s="1155">
        <f t="shared" si="23"/>
        <v>0</v>
      </c>
      <c r="G562" s="1155">
        <f t="shared" si="22"/>
        <v>0</v>
      </c>
      <c r="H562" s="1155">
        <f t="shared" si="26"/>
        <v>0</v>
      </c>
      <c r="I562" s="1155"/>
      <c r="J562" s="1158">
        <f t="shared" si="21"/>
        <v>0</v>
      </c>
      <c r="K562" s="1195"/>
      <c r="L562" s="1195"/>
    </row>
    <row r="563" spans="2:12" x14ac:dyDescent="0.25">
      <c r="B563" s="20"/>
      <c r="C563" s="20"/>
      <c r="D563" s="1153">
        <f t="shared" si="24"/>
        <v>0</v>
      </c>
      <c r="E563" s="1154">
        <f t="shared" si="25"/>
        <v>0</v>
      </c>
      <c r="F563" s="1155">
        <f t="shared" si="23"/>
        <v>0</v>
      </c>
      <c r="G563" s="1155">
        <f t="shared" si="22"/>
        <v>0</v>
      </c>
      <c r="H563" s="1155">
        <f t="shared" si="26"/>
        <v>0</v>
      </c>
      <c r="I563" s="1155"/>
      <c r="J563" s="1158">
        <f t="shared" si="21"/>
        <v>0</v>
      </c>
      <c r="K563" s="1195"/>
      <c r="L563" s="1195"/>
    </row>
    <row r="564" spans="2:12" x14ac:dyDescent="0.25">
      <c r="B564" s="20"/>
      <c r="C564" s="20"/>
      <c r="D564" s="1153">
        <f t="shared" si="24"/>
        <v>0</v>
      </c>
      <c r="E564" s="1154">
        <f t="shared" si="25"/>
        <v>0</v>
      </c>
      <c r="F564" s="1155">
        <f t="shared" si="23"/>
        <v>0</v>
      </c>
      <c r="G564" s="1155">
        <f t="shared" si="22"/>
        <v>0</v>
      </c>
      <c r="H564" s="1155">
        <f t="shared" si="26"/>
        <v>0</v>
      </c>
      <c r="I564" s="1155"/>
      <c r="J564" s="1158">
        <f t="shared" si="21"/>
        <v>0</v>
      </c>
      <c r="K564" s="1195"/>
      <c r="L564" s="1195"/>
    </row>
    <row r="565" spans="2:12" x14ac:dyDescent="0.25">
      <c r="B565" s="20"/>
      <c r="C565" s="20"/>
      <c r="D565" s="1153">
        <f t="shared" si="24"/>
        <v>0</v>
      </c>
      <c r="E565" s="1154">
        <f t="shared" si="25"/>
        <v>0</v>
      </c>
      <c r="F565" s="1155">
        <f t="shared" si="23"/>
        <v>0</v>
      </c>
      <c r="G565" s="1155">
        <f t="shared" si="22"/>
        <v>0</v>
      </c>
      <c r="H565" s="1155">
        <f t="shared" si="26"/>
        <v>0</v>
      </c>
      <c r="I565" s="1155"/>
      <c r="J565" s="1158">
        <f t="shared" si="21"/>
        <v>0</v>
      </c>
      <c r="K565" s="1195"/>
      <c r="L565" s="1195"/>
    </row>
    <row r="566" spans="2:12" x14ac:dyDescent="0.25">
      <c r="B566" s="20"/>
      <c r="C566" s="20"/>
      <c r="D566" s="1153">
        <f t="shared" si="24"/>
        <v>0</v>
      </c>
      <c r="E566" s="1154">
        <f t="shared" si="25"/>
        <v>0</v>
      </c>
      <c r="F566" s="1155">
        <f t="shared" si="23"/>
        <v>0</v>
      </c>
      <c r="G566" s="1155">
        <f t="shared" si="22"/>
        <v>0</v>
      </c>
      <c r="H566" s="1155">
        <f t="shared" si="26"/>
        <v>0</v>
      </c>
      <c r="I566" s="1155"/>
      <c r="J566" s="1158">
        <f t="shared" si="21"/>
        <v>0</v>
      </c>
      <c r="K566" s="1195"/>
      <c r="L566" s="1195"/>
    </row>
    <row r="567" spans="2:12" x14ac:dyDescent="0.25">
      <c r="B567" s="20"/>
      <c r="C567" s="20"/>
      <c r="D567" s="1153">
        <f t="shared" si="24"/>
        <v>0</v>
      </c>
      <c r="E567" s="1154">
        <f t="shared" si="25"/>
        <v>0</v>
      </c>
      <c r="F567" s="1155">
        <f t="shared" si="23"/>
        <v>0</v>
      </c>
      <c r="G567" s="1155">
        <f t="shared" si="22"/>
        <v>0</v>
      </c>
      <c r="H567" s="1155">
        <f t="shared" si="26"/>
        <v>0</v>
      </c>
      <c r="I567" s="1155"/>
      <c r="J567" s="1158">
        <f t="shared" si="21"/>
        <v>0</v>
      </c>
      <c r="K567" s="1195"/>
      <c r="L567" s="1195"/>
    </row>
    <row r="568" spans="2:12" x14ac:dyDescent="0.25">
      <c r="B568" s="20"/>
      <c r="C568" s="20"/>
      <c r="D568" s="1153">
        <f t="shared" si="24"/>
        <v>0</v>
      </c>
      <c r="E568" s="1154">
        <f t="shared" si="25"/>
        <v>0</v>
      </c>
      <c r="F568" s="1155">
        <f t="shared" si="23"/>
        <v>0</v>
      </c>
      <c r="G568" s="1155">
        <f t="shared" si="22"/>
        <v>0</v>
      </c>
      <c r="H568" s="1155">
        <f t="shared" si="26"/>
        <v>0</v>
      </c>
      <c r="I568" s="1155"/>
      <c r="J568" s="1158">
        <f t="shared" si="21"/>
        <v>0</v>
      </c>
      <c r="K568" s="1195"/>
      <c r="L568" s="1195"/>
    </row>
    <row r="569" spans="2:12" x14ac:dyDescent="0.25">
      <c r="B569" s="20"/>
      <c r="C569" s="20"/>
      <c r="D569" s="1153">
        <f t="shared" si="24"/>
        <v>0</v>
      </c>
      <c r="E569" s="1154">
        <f t="shared" si="25"/>
        <v>0</v>
      </c>
      <c r="F569" s="1155">
        <f t="shared" si="23"/>
        <v>0</v>
      </c>
      <c r="G569" s="1155">
        <f t="shared" si="22"/>
        <v>0</v>
      </c>
      <c r="H569" s="1155">
        <f t="shared" si="26"/>
        <v>0</v>
      </c>
      <c r="I569" s="1155"/>
      <c r="J569" s="1158">
        <f t="shared" si="21"/>
        <v>0</v>
      </c>
      <c r="K569" s="1195"/>
      <c r="L569" s="1195"/>
    </row>
    <row r="570" spans="2:12" x14ac:dyDescent="0.25">
      <c r="B570" s="20"/>
      <c r="C570" s="20"/>
      <c r="D570" s="1153">
        <f t="shared" si="24"/>
        <v>0</v>
      </c>
      <c r="E570" s="1154">
        <f t="shared" si="25"/>
        <v>0</v>
      </c>
      <c r="F570" s="1155">
        <f t="shared" si="23"/>
        <v>0</v>
      </c>
      <c r="G570" s="1155">
        <f t="shared" si="22"/>
        <v>0</v>
      </c>
      <c r="H570" s="1155">
        <f t="shared" si="26"/>
        <v>0</v>
      </c>
      <c r="I570" s="1155"/>
      <c r="J570" s="1158">
        <f t="shared" si="21"/>
        <v>0</v>
      </c>
      <c r="K570" s="1195"/>
      <c r="L570" s="1195"/>
    </row>
    <row r="571" spans="2:12" x14ac:dyDescent="0.25">
      <c r="B571" s="20"/>
      <c r="C571" s="20"/>
      <c r="D571" s="1153">
        <f t="shared" si="24"/>
        <v>0</v>
      </c>
      <c r="E571" s="1154">
        <f t="shared" si="25"/>
        <v>0</v>
      </c>
      <c r="F571" s="1155">
        <f t="shared" si="23"/>
        <v>0</v>
      </c>
      <c r="G571" s="1155">
        <f t="shared" si="22"/>
        <v>0</v>
      </c>
      <c r="H571" s="1155">
        <f t="shared" si="26"/>
        <v>0</v>
      </c>
      <c r="I571" s="1155"/>
      <c r="J571" s="1158">
        <f t="shared" si="21"/>
        <v>0</v>
      </c>
      <c r="K571" s="1195"/>
      <c r="L571" s="1195"/>
    </row>
    <row r="572" spans="2:12" x14ac:dyDescent="0.25">
      <c r="B572" s="20"/>
      <c r="C572" s="20"/>
      <c r="D572" s="1153">
        <f t="shared" si="24"/>
        <v>0</v>
      </c>
      <c r="E572" s="1154">
        <f t="shared" si="25"/>
        <v>0</v>
      </c>
      <c r="F572" s="1155">
        <f t="shared" si="23"/>
        <v>0</v>
      </c>
      <c r="G572" s="1155">
        <f t="shared" si="22"/>
        <v>0</v>
      </c>
      <c r="H572" s="1155">
        <f t="shared" si="26"/>
        <v>0</v>
      </c>
      <c r="I572" s="1155"/>
      <c r="J572" s="1158">
        <f t="shared" si="21"/>
        <v>0</v>
      </c>
      <c r="K572" s="1195"/>
      <c r="L572" s="1195"/>
    </row>
    <row r="573" spans="2:12" x14ac:dyDescent="0.25">
      <c r="B573" s="20"/>
      <c r="C573" s="20"/>
      <c r="D573" s="1153">
        <f t="shared" si="24"/>
        <v>0</v>
      </c>
      <c r="E573" s="1154">
        <f t="shared" si="25"/>
        <v>0</v>
      </c>
      <c r="F573" s="1155">
        <f t="shared" si="23"/>
        <v>0</v>
      </c>
      <c r="G573" s="1155">
        <f t="shared" si="22"/>
        <v>0</v>
      </c>
      <c r="H573" s="1155">
        <f t="shared" si="26"/>
        <v>0</v>
      </c>
      <c r="I573" s="1155"/>
      <c r="J573" s="1158">
        <f t="shared" si="21"/>
        <v>0</v>
      </c>
      <c r="K573" s="1195"/>
      <c r="L573" s="1195"/>
    </row>
    <row r="574" spans="2:12" x14ac:dyDescent="0.25">
      <c r="B574" s="20"/>
      <c r="C574" s="20"/>
      <c r="D574" s="988"/>
      <c r="E574" s="25"/>
      <c r="F574" s="22"/>
      <c r="G574" s="22"/>
      <c r="H574" s="22"/>
      <c r="I574" s="22"/>
      <c r="J574" s="655"/>
      <c r="K574" s="1195"/>
      <c r="L574" s="1195"/>
    </row>
    <row r="575" spans="2:12" x14ac:dyDescent="0.25">
      <c r="B575" s="20"/>
      <c r="C575" s="20"/>
      <c r="D575" s="32"/>
      <c r="E575" s="25"/>
      <c r="F575" s="22"/>
      <c r="G575" s="22"/>
      <c r="H575" s="22"/>
      <c r="I575" s="22"/>
      <c r="J575" s="655"/>
      <c r="K575" s="1195"/>
      <c r="L575" s="1195"/>
    </row>
    <row r="576" spans="2:12" x14ac:dyDescent="0.25">
      <c r="B576" s="20"/>
      <c r="C576" s="20"/>
      <c r="D576" s="32" t="str">
        <f>+D492</f>
        <v>Box Coulvert:</v>
      </c>
      <c r="E576" s="25">
        <v>1</v>
      </c>
      <c r="F576" s="22">
        <f>+F520</f>
        <v>1.2</v>
      </c>
      <c r="G576" s="22">
        <f>+G520</f>
        <v>0.1</v>
      </c>
      <c r="H576" s="22">
        <f>+H520</f>
        <v>1.7</v>
      </c>
      <c r="I576" s="22">
        <f>+I520</f>
        <v>2</v>
      </c>
      <c r="J576" s="655">
        <f t="shared" ref="J576:J579" si="27">+E576*F576*G576*H576</f>
        <v>0.20399999999999999</v>
      </c>
      <c r="K576" s="1195"/>
      <c r="L576" s="1195"/>
    </row>
    <row r="577" spans="2:12" x14ac:dyDescent="0.25">
      <c r="B577" s="20"/>
      <c r="C577" s="20"/>
      <c r="D577" s="32" t="str">
        <f>+D576</f>
        <v>Box Coulvert:</v>
      </c>
      <c r="E577" s="25">
        <v>1</v>
      </c>
      <c r="F577" s="22">
        <f t="shared" ref="F577:F579" si="28">+F521</f>
        <v>1.2</v>
      </c>
      <c r="G577" s="22">
        <f t="shared" ref="G577:I579" si="29">+G521</f>
        <v>0.1</v>
      </c>
      <c r="H577" s="22">
        <f t="shared" si="29"/>
        <v>1</v>
      </c>
      <c r="I577" s="22">
        <f t="shared" si="29"/>
        <v>2</v>
      </c>
      <c r="J577" s="655">
        <f t="shared" si="27"/>
        <v>0.12</v>
      </c>
      <c r="K577" s="1195"/>
      <c r="L577" s="1195"/>
    </row>
    <row r="578" spans="2:12" x14ac:dyDescent="0.25">
      <c r="B578" s="20"/>
      <c r="C578" s="20"/>
      <c r="D578" s="32" t="str">
        <f>+D493</f>
        <v>Box Coulvert2:</v>
      </c>
      <c r="E578" s="25">
        <v>1</v>
      </c>
      <c r="F578" s="22">
        <f t="shared" si="28"/>
        <v>1.2</v>
      </c>
      <c r="G578" s="22">
        <f t="shared" si="29"/>
        <v>0.1</v>
      </c>
      <c r="H578" s="22">
        <f t="shared" si="29"/>
        <v>1.7</v>
      </c>
      <c r="I578" s="22">
        <f t="shared" si="29"/>
        <v>2</v>
      </c>
      <c r="J578" s="655">
        <f t="shared" si="27"/>
        <v>0.20399999999999999</v>
      </c>
      <c r="K578" s="1195"/>
      <c r="L578" s="1195"/>
    </row>
    <row r="579" spans="2:12" x14ac:dyDescent="0.25">
      <c r="B579" s="20"/>
      <c r="C579" s="20"/>
      <c r="D579" s="32" t="str">
        <f>+D578</f>
        <v>Box Coulvert2:</v>
      </c>
      <c r="E579" s="25">
        <f>+E492</f>
        <v>1</v>
      </c>
      <c r="F579" s="22">
        <f t="shared" si="28"/>
        <v>1.2</v>
      </c>
      <c r="G579" s="22">
        <f t="shared" si="29"/>
        <v>0.1</v>
      </c>
      <c r="H579" s="22">
        <f t="shared" si="29"/>
        <v>1</v>
      </c>
      <c r="I579" s="22">
        <f t="shared" si="29"/>
        <v>2</v>
      </c>
      <c r="J579" s="655">
        <f t="shared" si="27"/>
        <v>0.12</v>
      </c>
      <c r="K579" s="1195"/>
      <c r="L579" s="1195"/>
    </row>
    <row r="580" spans="2:12" x14ac:dyDescent="0.25">
      <c r="B580" s="1196" t="s">
        <v>973</v>
      </c>
      <c r="C580" s="1197"/>
      <c r="D580" s="1197"/>
      <c r="E580" s="1197"/>
      <c r="F580" s="1198"/>
      <c r="G580" s="22"/>
      <c r="H580" s="22"/>
      <c r="I580" s="22"/>
      <c r="J580" s="655"/>
      <c r="K580" s="1195"/>
      <c r="L580" s="1195"/>
    </row>
    <row r="581" spans="2:12" x14ac:dyDescent="0.25">
      <c r="B581" s="1199"/>
      <c r="C581" s="1200"/>
      <c r="D581" s="1200"/>
      <c r="E581" s="1200"/>
      <c r="F581" s="1201"/>
      <c r="G581" s="22"/>
      <c r="H581" s="22"/>
      <c r="I581" s="22"/>
      <c r="J581" s="655"/>
      <c r="K581" s="1195"/>
      <c r="L581" s="1195"/>
    </row>
    <row r="582" spans="2:12" s="15" customFormat="1" x14ac:dyDescent="0.25">
      <c r="B582" s="1202"/>
      <c r="C582" s="1203"/>
      <c r="D582" s="1203"/>
      <c r="E582" s="1203"/>
      <c r="F582" s="1204"/>
      <c r="G582" s="783" t="s">
        <v>80</v>
      </c>
      <c r="H582" s="783"/>
      <c r="I582" s="783"/>
      <c r="J582" s="792">
        <f>ROUNDUP(SUM(J519:J580),0)</f>
        <v>14</v>
      </c>
      <c r="K582" s="1195"/>
      <c r="L582" s="1195"/>
    </row>
    <row r="584" spans="2:12" s="15" customFormat="1" ht="15.75" x14ac:dyDescent="0.25">
      <c r="B584" s="632"/>
      <c r="C584" s="632"/>
      <c r="D584" s="27"/>
      <c r="E584" s="27"/>
      <c r="F584" s="27"/>
      <c r="H584" s="24"/>
      <c r="I584" s="24"/>
    </row>
    <row r="585" spans="2:12" ht="15.75" x14ac:dyDescent="0.25">
      <c r="D585" s="626"/>
      <c r="E585" s="1209" t="s">
        <v>78</v>
      </c>
      <c r="F585" s="1210"/>
      <c r="G585" s="1210"/>
      <c r="H585" s="1211"/>
      <c r="I585" s="782" t="s">
        <v>79</v>
      </c>
      <c r="J585" s="54" t="str">
        <f>+P.Detall!F48</f>
        <v>M3</v>
      </c>
      <c r="K585" s="1205" t="s">
        <v>971</v>
      </c>
      <c r="L585" s="1206"/>
    </row>
    <row r="586" spans="2:12" ht="32.25" customHeight="1" x14ac:dyDescent="0.25">
      <c r="B586" s="629" t="s">
        <v>2</v>
      </c>
      <c r="C586" s="629" t="s">
        <v>2</v>
      </c>
      <c r="D586" s="629" t="s">
        <v>4</v>
      </c>
      <c r="E586" s="629" t="s">
        <v>75</v>
      </c>
      <c r="F586" s="629" t="s">
        <v>76</v>
      </c>
      <c r="G586" s="629" t="s">
        <v>77</v>
      </c>
      <c r="H586" s="706" t="s">
        <v>927</v>
      </c>
      <c r="I586" s="706" t="s">
        <v>891</v>
      </c>
      <c r="J586" s="790" t="s">
        <v>88</v>
      </c>
      <c r="K586" s="1207"/>
      <c r="L586" s="1208"/>
    </row>
    <row r="587" spans="2:12" x14ac:dyDescent="0.25">
      <c r="B587" s="47">
        <v>630.4</v>
      </c>
      <c r="C587" s="20" t="s">
        <v>9</v>
      </c>
      <c r="D587" s="742" t="str">
        <f>+P.Detall!E48</f>
        <v>CONCRETO CLASE G</v>
      </c>
      <c r="E587" s="25"/>
      <c r="F587" s="22"/>
      <c r="G587" s="22"/>
      <c r="H587" s="22"/>
      <c r="I587" s="22"/>
      <c r="J587" s="655"/>
      <c r="K587" s="1195"/>
      <c r="L587" s="1195"/>
    </row>
    <row r="588" spans="2:12" x14ac:dyDescent="0.25">
      <c r="B588" s="20"/>
      <c r="C588" s="20"/>
      <c r="D588" s="32" t="s">
        <v>114</v>
      </c>
      <c r="E588" s="25"/>
      <c r="F588" s="22"/>
      <c r="G588" s="22"/>
      <c r="H588" s="22">
        <v>0.5</v>
      </c>
      <c r="I588" s="22">
        <f>+J582</f>
        <v>14</v>
      </c>
      <c r="J588" s="655">
        <f>ROUND(I588*H588,0)</f>
        <v>7</v>
      </c>
      <c r="K588" s="1195"/>
      <c r="L588" s="1195"/>
    </row>
    <row r="589" spans="2:12" x14ac:dyDescent="0.25">
      <c r="B589" s="20"/>
      <c r="C589" s="20"/>
      <c r="D589" s="32" t="str">
        <f>+D296</f>
        <v>gavion 1</v>
      </c>
      <c r="E589" s="32">
        <f>+F296</f>
        <v>18</v>
      </c>
      <c r="F589" s="32">
        <f>+G296</f>
        <v>1.85</v>
      </c>
      <c r="G589" s="32">
        <f>+H296</f>
        <v>3</v>
      </c>
      <c r="H589" s="22">
        <v>0.05</v>
      </c>
      <c r="I589" s="22">
        <f>+G589*F589*E589</f>
        <v>99.9</v>
      </c>
      <c r="J589" s="655">
        <f t="shared" ref="J589:J591" si="30">ROUND(I589*H589,0)</f>
        <v>5</v>
      </c>
      <c r="K589" s="1195"/>
      <c r="L589" s="1195"/>
    </row>
    <row r="590" spans="2:12" x14ac:dyDescent="0.25">
      <c r="B590" s="20"/>
      <c r="C590" s="20"/>
      <c r="D590" s="32" t="str">
        <f t="shared" ref="D590:D591" si="31">+D297</f>
        <v>gavion 2</v>
      </c>
      <c r="E590" s="32">
        <f t="shared" ref="E590:G591" si="32">+F297</f>
        <v>12</v>
      </c>
      <c r="F590" s="32">
        <f t="shared" si="32"/>
        <v>1.85</v>
      </c>
      <c r="G590" s="32">
        <f t="shared" si="32"/>
        <v>3</v>
      </c>
      <c r="H590" s="22">
        <f>+H589</f>
        <v>0.05</v>
      </c>
      <c r="I590" s="22">
        <f t="shared" ref="I590:I591" si="33">+G590*F590*E590</f>
        <v>66.600000000000009</v>
      </c>
      <c r="J590" s="655">
        <f t="shared" si="30"/>
        <v>3</v>
      </c>
      <c r="K590" s="1195"/>
      <c r="L590" s="1195"/>
    </row>
    <row r="591" spans="2:12" x14ac:dyDescent="0.25">
      <c r="B591" s="20"/>
      <c r="C591" s="20"/>
      <c r="D591" s="32" t="str">
        <f t="shared" si="31"/>
        <v>gavion 3</v>
      </c>
      <c r="E591" s="32">
        <f t="shared" si="32"/>
        <v>18</v>
      </c>
      <c r="F591" s="32">
        <f t="shared" si="32"/>
        <v>1.85</v>
      </c>
      <c r="G591" s="32">
        <f t="shared" si="32"/>
        <v>3</v>
      </c>
      <c r="H591" s="22">
        <f>+H590</f>
        <v>0.05</v>
      </c>
      <c r="I591" s="22">
        <f t="shared" si="33"/>
        <v>99.9</v>
      </c>
      <c r="J591" s="655">
        <f t="shared" si="30"/>
        <v>5</v>
      </c>
      <c r="K591" s="1195"/>
      <c r="L591" s="1195"/>
    </row>
    <row r="592" spans="2:12" x14ac:dyDescent="0.25">
      <c r="B592" s="20"/>
      <c r="C592" s="20"/>
      <c r="D592" s="32" t="s">
        <v>1227</v>
      </c>
      <c r="E592" s="25">
        <f>+E193</f>
        <v>220</v>
      </c>
      <c r="F592" s="22">
        <f>0.9*3</f>
        <v>2.7</v>
      </c>
      <c r="G592" s="22">
        <v>0.2</v>
      </c>
      <c r="H592" s="22"/>
      <c r="I592" s="22">
        <f>+G592*F592*E592</f>
        <v>118.80000000000001</v>
      </c>
      <c r="J592" s="655">
        <f>+I592</f>
        <v>118.80000000000001</v>
      </c>
      <c r="K592" s="1195"/>
      <c r="L592" s="1195"/>
    </row>
    <row r="593" spans="2:12" x14ac:dyDescent="0.25">
      <c r="B593" s="20"/>
      <c r="C593" s="20"/>
      <c r="D593" s="32"/>
      <c r="E593" s="25"/>
      <c r="F593" s="22"/>
      <c r="G593" s="22"/>
      <c r="H593" s="22"/>
      <c r="I593" s="22"/>
      <c r="J593" s="655"/>
      <c r="K593" s="1195"/>
      <c r="L593" s="1195"/>
    </row>
    <row r="594" spans="2:12" x14ac:dyDescent="0.25">
      <c r="B594" s="20"/>
      <c r="C594" s="20"/>
      <c r="D594" s="32"/>
      <c r="E594" s="25"/>
      <c r="F594" s="22"/>
      <c r="G594" s="22"/>
      <c r="H594" s="22"/>
      <c r="I594" s="22"/>
      <c r="J594" s="655"/>
      <c r="K594" s="1195"/>
      <c r="L594" s="1195"/>
    </row>
    <row r="595" spans="2:12" x14ac:dyDescent="0.25">
      <c r="B595" s="20"/>
      <c r="C595" s="20"/>
      <c r="D595" s="32"/>
      <c r="E595" s="25"/>
      <c r="F595" s="22"/>
      <c r="G595" s="22"/>
      <c r="H595" s="22"/>
      <c r="I595" s="22"/>
      <c r="J595" s="655"/>
      <c r="K595" s="1195"/>
      <c r="L595" s="1195"/>
    </row>
    <row r="596" spans="2:12" x14ac:dyDescent="0.25">
      <c r="B596" s="20"/>
      <c r="C596" s="20"/>
      <c r="D596" s="32"/>
      <c r="E596" s="25"/>
      <c r="F596" s="22"/>
      <c r="G596" s="22"/>
      <c r="H596" s="22"/>
      <c r="I596" s="22"/>
      <c r="J596" s="655"/>
      <c r="K596" s="1195"/>
      <c r="L596" s="1195"/>
    </row>
    <row r="597" spans="2:12" x14ac:dyDescent="0.25">
      <c r="B597" s="1196" t="s">
        <v>973</v>
      </c>
      <c r="C597" s="1197"/>
      <c r="D597" s="1197"/>
      <c r="E597" s="1197"/>
      <c r="F597" s="1198"/>
      <c r="G597" s="22"/>
      <c r="H597" s="22"/>
      <c r="I597" s="22"/>
      <c r="J597" s="655"/>
      <c r="K597" s="1195"/>
      <c r="L597" s="1195"/>
    </row>
    <row r="598" spans="2:12" x14ac:dyDescent="0.25">
      <c r="B598" s="1199"/>
      <c r="C598" s="1200"/>
      <c r="D598" s="1200"/>
      <c r="E598" s="1200"/>
      <c r="F598" s="1201"/>
      <c r="G598" s="22"/>
      <c r="H598" s="22"/>
      <c r="I598" s="22"/>
      <c r="J598" s="655"/>
      <c r="K598" s="1195"/>
      <c r="L598" s="1195"/>
    </row>
    <row r="599" spans="2:12" s="15" customFormat="1" x14ac:dyDescent="0.25">
      <c r="B599" s="1202"/>
      <c r="C599" s="1203"/>
      <c r="D599" s="1203"/>
      <c r="E599" s="1203"/>
      <c r="F599" s="1204"/>
      <c r="G599" s="783" t="s">
        <v>80</v>
      </c>
      <c r="H599" s="783"/>
      <c r="I599" s="783"/>
      <c r="J599" s="792">
        <f>ROUND(SUM(J587:J598),0)</f>
        <v>139</v>
      </c>
      <c r="K599" s="1195"/>
      <c r="L599" s="1195"/>
    </row>
    <row r="601" spans="2:12" x14ac:dyDescent="0.25">
      <c r="D601" s="67" t="s">
        <v>116</v>
      </c>
    </row>
    <row r="602" spans="2:12" s="15" customFormat="1" ht="15.75" x14ac:dyDescent="0.25">
      <c r="B602" s="632"/>
      <c r="C602" s="632"/>
      <c r="D602" s="27"/>
      <c r="E602" s="27"/>
      <c r="F602" s="27"/>
      <c r="H602" s="24"/>
      <c r="I602" s="24"/>
    </row>
    <row r="603" spans="2:12" ht="15.75" x14ac:dyDescent="0.25">
      <c r="D603" s="626"/>
      <c r="E603" s="1209" t="s">
        <v>78</v>
      </c>
      <c r="F603" s="1210"/>
      <c r="G603" s="1210"/>
      <c r="H603" s="1211"/>
      <c r="I603" s="782" t="s">
        <v>79</v>
      </c>
      <c r="J603" s="54" t="str">
        <f>+P.Detall!F51</f>
        <v>KG</v>
      </c>
      <c r="K603" s="1205" t="s">
        <v>971</v>
      </c>
      <c r="L603" s="1206"/>
    </row>
    <row r="604" spans="2:12" x14ac:dyDescent="0.25">
      <c r="B604" s="629" t="s">
        <v>2</v>
      </c>
      <c r="C604" s="629" t="s">
        <v>2</v>
      </c>
      <c r="D604" s="629" t="s">
        <v>4</v>
      </c>
      <c r="E604" s="629" t="s">
        <v>782</v>
      </c>
      <c r="F604" s="629" t="s">
        <v>76</v>
      </c>
      <c r="G604" s="629" t="s">
        <v>77</v>
      </c>
      <c r="H604" s="703"/>
      <c r="I604" s="703"/>
      <c r="J604" s="790" t="s">
        <v>88</v>
      </c>
      <c r="K604" s="1207"/>
      <c r="L604" s="1208"/>
    </row>
    <row r="605" spans="2:12" ht="29.25" customHeight="1" x14ac:dyDescent="0.25">
      <c r="B605" s="47">
        <v>640.1</v>
      </c>
      <c r="C605" s="20" t="s">
        <v>9</v>
      </c>
      <c r="D605" s="742" t="str">
        <f>+P.Detall!E51</f>
        <v>ACERO DE REFUERZO fy 412 Mpa</v>
      </c>
      <c r="E605" s="25"/>
      <c r="F605" s="22"/>
      <c r="G605" s="22" t="s">
        <v>954</v>
      </c>
      <c r="H605" s="22"/>
      <c r="I605" s="22"/>
      <c r="J605" s="655"/>
      <c r="K605" s="1212"/>
      <c r="L605" s="1213"/>
    </row>
    <row r="606" spans="2:12" x14ac:dyDescent="0.25">
      <c r="B606" s="20"/>
      <c r="C606" s="20"/>
      <c r="D606" s="32" t="s">
        <v>1082</v>
      </c>
      <c r="E606" s="25">
        <f>+E520</f>
        <v>5</v>
      </c>
      <c r="F606" s="22"/>
      <c r="G606" s="22">
        <v>275</v>
      </c>
      <c r="H606" s="22"/>
      <c r="I606" s="22"/>
      <c r="J606" s="655">
        <f>G606*E606</f>
        <v>1375</v>
      </c>
      <c r="K606" s="1214"/>
      <c r="L606" s="1215"/>
    </row>
    <row r="607" spans="2:12" x14ac:dyDescent="0.25">
      <c r="B607" s="20"/>
      <c r="C607" s="20"/>
      <c r="D607" s="32" t="s">
        <v>1083</v>
      </c>
      <c r="E607" s="25">
        <f>+E522</f>
        <v>10</v>
      </c>
      <c r="F607" s="22"/>
      <c r="G607" s="22">
        <f>+G606</f>
        <v>275</v>
      </c>
      <c r="H607" s="22"/>
      <c r="I607" s="22"/>
      <c r="J607" s="655">
        <f>G607*E607</f>
        <v>2750</v>
      </c>
      <c r="K607" s="1214"/>
      <c r="L607" s="1215"/>
    </row>
    <row r="608" spans="2:12" ht="30" x14ac:dyDescent="0.25">
      <c r="B608" s="20"/>
      <c r="C608" s="20"/>
      <c r="D608" s="32" t="str">
        <f>+D524</f>
        <v>Muros de Contención:</v>
      </c>
      <c r="E608" s="1070" t="s">
        <v>914</v>
      </c>
      <c r="F608" s="1070" t="s">
        <v>915</v>
      </c>
      <c r="G608" s="1070" t="s">
        <v>929</v>
      </c>
      <c r="H608" s="1070" t="s">
        <v>928</v>
      </c>
      <c r="I608" s="20" t="s">
        <v>946</v>
      </c>
      <c r="J608" s="655">
        <f>+H609+H610</f>
        <v>4060</v>
      </c>
      <c r="K608" s="1214"/>
      <c r="L608" s="1215"/>
    </row>
    <row r="609" spans="2:12" x14ac:dyDescent="0.25">
      <c r="B609" s="20">
        <f t="shared" ref="B609:B640" si="34">+I441</f>
        <v>4</v>
      </c>
      <c r="C609" s="20"/>
      <c r="D609" s="988" t="str">
        <f>+D525</f>
        <v>estructural 1</v>
      </c>
      <c r="E609" s="25">
        <f>+E525</f>
        <v>1</v>
      </c>
      <c r="F609" s="22">
        <f>+H525</f>
        <v>10</v>
      </c>
      <c r="G609" s="22">
        <v>145</v>
      </c>
      <c r="H609" s="22">
        <f>+E609*F609*G609</f>
        <v>1450</v>
      </c>
      <c r="I609" s="22">
        <f>+I441</f>
        <v>4</v>
      </c>
      <c r="J609" s="655"/>
      <c r="K609" s="1214"/>
      <c r="L609" s="1215"/>
    </row>
    <row r="610" spans="2:12" x14ac:dyDescent="0.25">
      <c r="B610" s="20">
        <f t="shared" si="34"/>
        <v>8</v>
      </c>
      <c r="C610" s="20"/>
      <c r="D610" s="988" t="str">
        <f>+D526</f>
        <v>estructural 2</v>
      </c>
      <c r="E610" s="25">
        <f>+E526</f>
        <v>1</v>
      </c>
      <c r="F610" s="22">
        <f>+H526</f>
        <v>9</v>
      </c>
      <c r="G610" s="22">
        <f>+G609*2</f>
        <v>290</v>
      </c>
      <c r="H610" s="22">
        <f t="shared" ref="H610:H657" si="35">+E610*F610*G610</f>
        <v>2610</v>
      </c>
      <c r="I610" s="22">
        <f>+I442</f>
        <v>8</v>
      </c>
      <c r="J610" s="655"/>
      <c r="K610" s="1214"/>
      <c r="L610" s="1215"/>
    </row>
    <row r="611" spans="2:12" x14ac:dyDescent="0.25">
      <c r="B611" s="20">
        <f t="shared" si="34"/>
        <v>3</v>
      </c>
      <c r="C611" s="20"/>
      <c r="D611" s="988" t="s">
        <v>1228</v>
      </c>
      <c r="E611" s="25">
        <v>4</v>
      </c>
      <c r="F611" s="25">
        <f>+E592</f>
        <v>220</v>
      </c>
      <c r="G611" s="22">
        <v>4.5</v>
      </c>
      <c r="H611" s="22">
        <f t="shared" si="35"/>
        <v>3960</v>
      </c>
      <c r="I611" s="22"/>
      <c r="J611" s="655">
        <f>+H611</f>
        <v>3960</v>
      </c>
      <c r="K611" s="1214"/>
      <c r="L611" s="1215"/>
    </row>
    <row r="612" spans="2:12" x14ac:dyDescent="0.25">
      <c r="B612" s="20">
        <f t="shared" si="34"/>
        <v>3</v>
      </c>
      <c r="C612" s="20"/>
      <c r="D612" s="988" t="s">
        <v>1229</v>
      </c>
      <c r="E612" s="25">
        <f>+(F611/1.5)*2</f>
        <v>293.33333333333331</v>
      </c>
      <c r="F612" s="25">
        <v>1.5</v>
      </c>
      <c r="G612" s="22">
        <v>4.5</v>
      </c>
      <c r="H612" s="22">
        <f t="shared" ref="H612:H614" si="36">+E612*F612*G612</f>
        <v>1980</v>
      </c>
      <c r="I612" s="22"/>
      <c r="J612" s="655">
        <f>+H612</f>
        <v>1980</v>
      </c>
      <c r="K612" s="1214"/>
      <c r="L612" s="1215"/>
    </row>
    <row r="613" spans="2:12" x14ac:dyDescent="0.25">
      <c r="B613" s="20">
        <f t="shared" si="34"/>
        <v>3</v>
      </c>
      <c r="C613" s="20"/>
      <c r="D613" s="988" t="str">
        <f>+D492</f>
        <v>Box Coulvert:</v>
      </c>
      <c r="E613" s="25">
        <v>1</v>
      </c>
      <c r="F613" s="25">
        <f>+F492</f>
        <v>6</v>
      </c>
      <c r="G613" s="22">
        <v>116</v>
      </c>
      <c r="H613" s="22">
        <f t="shared" si="36"/>
        <v>696</v>
      </c>
      <c r="I613" s="22"/>
      <c r="J613" s="655">
        <f t="shared" ref="J613:J614" si="37">+H613</f>
        <v>696</v>
      </c>
      <c r="K613" s="1214"/>
      <c r="L613" s="1215"/>
    </row>
    <row r="614" spans="2:12" x14ac:dyDescent="0.25">
      <c r="B614" s="20">
        <f t="shared" si="34"/>
        <v>0</v>
      </c>
      <c r="C614" s="20"/>
      <c r="D614" s="988" t="str">
        <f>+D493</f>
        <v>Box Coulvert2:</v>
      </c>
      <c r="E614" s="25">
        <v>1</v>
      </c>
      <c r="F614" s="25">
        <f>+F493</f>
        <v>2.5</v>
      </c>
      <c r="G614" s="22">
        <v>58</v>
      </c>
      <c r="H614" s="22">
        <f t="shared" si="36"/>
        <v>145</v>
      </c>
      <c r="I614" s="22"/>
      <c r="J614" s="655">
        <f t="shared" si="37"/>
        <v>145</v>
      </c>
      <c r="K614" s="1214"/>
      <c r="L614" s="1215"/>
    </row>
    <row r="615" spans="2:12" x14ac:dyDescent="0.25">
      <c r="B615" s="20">
        <f t="shared" si="34"/>
        <v>0</v>
      </c>
      <c r="C615" s="20"/>
      <c r="D615" s="988"/>
      <c r="E615" s="25"/>
      <c r="F615" s="22"/>
      <c r="G615" s="22"/>
      <c r="H615" s="22"/>
      <c r="I615" s="22"/>
      <c r="J615" s="655"/>
      <c r="K615" s="1214"/>
      <c r="L615" s="1215"/>
    </row>
    <row r="616" spans="2:12" x14ac:dyDescent="0.25">
      <c r="B616" s="20">
        <f t="shared" si="34"/>
        <v>0</v>
      </c>
      <c r="C616" s="20"/>
      <c r="D616" s="1153">
        <f t="shared" ref="D616:E635" si="38">+D532</f>
        <v>0</v>
      </c>
      <c r="E616" s="1154">
        <f t="shared" si="38"/>
        <v>0</v>
      </c>
      <c r="F616" s="1155">
        <f t="shared" ref="F616:F657" si="39">+H532</f>
        <v>0</v>
      </c>
      <c r="G616" s="1155">
        <v>375.66</v>
      </c>
      <c r="H616" s="1155">
        <f t="shared" si="35"/>
        <v>0</v>
      </c>
      <c r="I616" s="1155">
        <f t="shared" ref="I616:I657" si="40">+I448</f>
        <v>0</v>
      </c>
      <c r="J616" s="655"/>
      <c r="K616" s="1214"/>
      <c r="L616" s="1215"/>
    </row>
    <row r="617" spans="2:12" x14ac:dyDescent="0.25">
      <c r="B617" s="20">
        <f t="shared" si="34"/>
        <v>0</v>
      </c>
      <c r="C617" s="20"/>
      <c r="D617" s="1153">
        <f t="shared" si="38"/>
        <v>0</v>
      </c>
      <c r="E617" s="1154">
        <f t="shared" si="38"/>
        <v>0</v>
      </c>
      <c r="F617" s="1155">
        <f t="shared" si="39"/>
        <v>0</v>
      </c>
      <c r="G617" s="1155">
        <v>43.61</v>
      </c>
      <c r="H617" s="1155">
        <f t="shared" si="35"/>
        <v>0</v>
      </c>
      <c r="I617" s="1155">
        <f t="shared" si="40"/>
        <v>0</v>
      </c>
      <c r="J617" s="655"/>
      <c r="K617" s="1214"/>
      <c r="L617" s="1215"/>
    </row>
    <row r="618" spans="2:12" x14ac:dyDescent="0.25">
      <c r="B618" s="20">
        <f t="shared" si="34"/>
        <v>0</v>
      </c>
      <c r="C618" s="20"/>
      <c r="D618" s="1153">
        <f t="shared" si="38"/>
        <v>0</v>
      </c>
      <c r="E618" s="1154">
        <f t="shared" si="38"/>
        <v>0</v>
      </c>
      <c r="F618" s="1155">
        <f t="shared" si="39"/>
        <v>0</v>
      </c>
      <c r="G618" s="1155">
        <v>120.46</v>
      </c>
      <c r="H618" s="1155">
        <f t="shared" si="35"/>
        <v>0</v>
      </c>
      <c r="I618" s="1155">
        <f t="shared" si="40"/>
        <v>0</v>
      </c>
      <c r="J618" s="655"/>
      <c r="K618" s="1214"/>
      <c r="L618" s="1215"/>
    </row>
    <row r="619" spans="2:12" x14ac:dyDescent="0.25">
      <c r="B619" s="20">
        <f t="shared" si="34"/>
        <v>0</v>
      </c>
      <c r="C619" s="20"/>
      <c r="D619" s="1153">
        <f t="shared" si="38"/>
        <v>0</v>
      </c>
      <c r="E619" s="1154">
        <f t="shared" si="38"/>
        <v>0</v>
      </c>
      <c r="F619" s="1155">
        <f t="shared" si="39"/>
        <v>0</v>
      </c>
      <c r="G619" s="1155">
        <v>43.61</v>
      </c>
      <c r="H619" s="1155">
        <f t="shared" si="35"/>
        <v>0</v>
      </c>
      <c r="I619" s="1155">
        <f t="shared" si="40"/>
        <v>0</v>
      </c>
      <c r="J619" s="655"/>
      <c r="K619" s="1214"/>
      <c r="L619" s="1215"/>
    </row>
    <row r="620" spans="2:12" x14ac:dyDescent="0.25">
      <c r="B620" s="20">
        <f t="shared" si="34"/>
        <v>0</v>
      </c>
      <c r="C620" s="20"/>
      <c r="D620" s="1153">
        <f t="shared" si="38"/>
        <v>0</v>
      </c>
      <c r="E620" s="1154">
        <f t="shared" si="38"/>
        <v>0</v>
      </c>
      <c r="F620" s="1155">
        <f t="shared" si="39"/>
        <v>0</v>
      </c>
      <c r="G620" s="1155">
        <v>120.46</v>
      </c>
      <c r="H620" s="1155">
        <f t="shared" si="35"/>
        <v>0</v>
      </c>
      <c r="I620" s="1155">
        <f t="shared" si="40"/>
        <v>0</v>
      </c>
      <c r="J620" s="655"/>
      <c r="K620" s="1214"/>
      <c r="L620" s="1215"/>
    </row>
    <row r="621" spans="2:12" x14ac:dyDescent="0.25">
      <c r="B621" s="20">
        <f t="shared" si="34"/>
        <v>0</v>
      </c>
      <c r="C621" s="20"/>
      <c r="D621" s="1153">
        <f t="shared" si="38"/>
        <v>0</v>
      </c>
      <c r="E621" s="1154">
        <f t="shared" si="38"/>
        <v>0</v>
      </c>
      <c r="F621" s="1155">
        <f t="shared" si="39"/>
        <v>0</v>
      </c>
      <c r="G621" s="1155">
        <v>37.299999999999997</v>
      </c>
      <c r="H621" s="1155">
        <f t="shared" si="35"/>
        <v>0</v>
      </c>
      <c r="I621" s="1155">
        <f t="shared" si="40"/>
        <v>0</v>
      </c>
      <c r="J621" s="655"/>
      <c r="K621" s="1214"/>
      <c r="L621" s="1215"/>
    </row>
    <row r="622" spans="2:12" x14ac:dyDescent="0.25">
      <c r="B622" s="20">
        <f t="shared" si="34"/>
        <v>0</v>
      </c>
      <c r="C622" s="20"/>
      <c r="D622" s="1153">
        <f t="shared" si="38"/>
        <v>0</v>
      </c>
      <c r="E622" s="1154">
        <f t="shared" si="38"/>
        <v>0</v>
      </c>
      <c r="F622" s="1155">
        <f t="shared" si="39"/>
        <v>0</v>
      </c>
      <c r="G622" s="1155">
        <v>82.45</v>
      </c>
      <c r="H622" s="1155">
        <f t="shared" si="35"/>
        <v>0</v>
      </c>
      <c r="I622" s="1155">
        <f t="shared" si="40"/>
        <v>0</v>
      </c>
      <c r="J622" s="655"/>
      <c r="K622" s="1214"/>
      <c r="L622" s="1215"/>
    </row>
    <row r="623" spans="2:12" x14ac:dyDescent="0.25">
      <c r="B623" s="20">
        <f t="shared" si="34"/>
        <v>0</v>
      </c>
      <c r="C623" s="20"/>
      <c r="D623" s="1153">
        <f t="shared" si="38"/>
        <v>0</v>
      </c>
      <c r="E623" s="1154">
        <f t="shared" si="38"/>
        <v>0</v>
      </c>
      <c r="F623" s="1155">
        <f t="shared" si="39"/>
        <v>0</v>
      </c>
      <c r="G623" s="1155">
        <v>82.45</v>
      </c>
      <c r="H623" s="1155">
        <f t="shared" si="35"/>
        <v>0</v>
      </c>
      <c r="I623" s="1155">
        <f t="shared" si="40"/>
        <v>0</v>
      </c>
      <c r="J623" s="655"/>
      <c r="K623" s="1214"/>
      <c r="L623" s="1215"/>
    </row>
    <row r="624" spans="2:12" x14ac:dyDescent="0.25">
      <c r="B624" s="20">
        <f t="shared" si="34"/>
        <v>0</v>
      </c>
      <c r="C624" s="20"/>
      <c r="D624" s="1153">
        <f t="shared" si="38"/>
        <v>0</v>
      </c>
      <c r="E624" s="1154">
        <f t="shared" si="38"/>
        <v>0</v>
      </c>
      <c r="F624" s="1155">
        <f t="shared" si="39"/>
        <v>0</v>
      </c>
      <c r="G624" s="1155">
        <v>37.299999999999997</v>
      </c>
      <c r="H624" s="1155">
        <f t="shared" si="35"/>
        <v>0</v>
      </c>
      <c r="I624" s="1155">
        <f t="shared" si="40"/>
        <v>0</v>
      </c>
      <c r="J624" s="655"/>
      <c r="K624" s="1214"/>
      <c r="L624" s="1215"/>
    </row>
    <row r="625" spans="2:12" x14ac:dyDescent="0.25">
      <c r="B625" s="20">
        <f t="shared" si="34"/>
        <v>0</v>
      </c>
      <c r="C625" s="20"/>
      <c r="D625" s="1153">
        <f t="shared" si="38"/>
        <v>0</v>
      </c>
      <c r="E625" s="1154">
        <f t="shared" si="38"/>
        <v>0</v>
      </c>
      <c r="F625" s="1155">
        <f t="shared" si="39"/>
        <v>0</v>
      </c>
      <c r="G625" s="1155">
        <v>37.299999999999997</v>
      </c>
      <c r="H625" s="1155">
        <f t="shared" si="35"/>
        <v>0</v>
      </c>
      <c r="I625" s="1155">
        <f t="shared" si="40"/>
        <v>0</v>
      </c>
      <c r="J625" s="655"/>
      <c r="K625" s="1214"/>
      <c r="L625" s="1215"/>
    </row>
    <row r="626" spans="2:12" x14ac:dyDescent="0.25">
      <c r="B626" s="20">
        <f t="shared" si="34"/>
        <v>0</v>
      </c>
      <c r="C626" s="20"/>
      <c r="D626" s="1153">
        <f t="shared" si="38"/>
        <v>0</v>
      </c>
      <c r="E626" s="1154">
        <f t="shared" si="38"/>
        <v>0</v>
      </c>
      <c r="F626" s="1155">
        <f t="shared" si="39"/>
        <v>0</v>
      </c>
      <c r="G626" s="1155">
        <v>144.75</v>
      </c>
      <c r="H626" s="1155">
        <f t="shared" si="35"/>
        <v>0</v>
      </c>
      <c r="I626" s="1155">
        <f t="shared" si="40"/>
        <v>0</v>
      </c>
      <c r="J626" s="655"/>
      <c r="K626" s="1214"/>
      <c r="L626" s="1215"/>
    </row>
    <row r="627" spans="2:12" x14ac:dyDescent="0.25">
      <c r="B627" s="20">
        <f t="shared" si="34"/>
        <v>0</v>
      </c>
      <c r="C627" s="20"/>
      <c r="D627" s="1153">
        <f t="shared" si="38"/>
        <v>0</v>
      </c>
      <c r="E627" s="1154">
        <f t="shared" si="38"/>
        <v>0</v>
      </c>
      <c r="F627" s="1155">
        <f t="shared" si="39"/>
        <v>0</v>
      </c>
      <c r="G627" s="1155">
        <v>120.46</v>
      </c>
      <c r="H627" s="1155">
        <f t="shared" si="35"/>
        <v>0</v>
      </c>
      <c r="I627" s="1155">
        <f t="shared" si="40"/>
        <v>0</v>
      </c>
      <c r="J627" s="655"/>
      <c r="K627" s="1214"/>
      <c r="L627" s="1215"/>
    </row>
    <row r="628" spans="2:12" x14ac:dyDescent="0.25">
      <c r="B628" s="20">
        <f t="shared" si="34"/>
        <v>0</v>
      </c>
      <c r="C628" s="20"/>
      <c r="D628" s="1153">
        <f t="shared" si="38"/>
        <v>0</v>
      </c>
      <c r="E628" s="1154">
        <f t="shared" si="38"/>
        <v>0</v>
      </c>
      <c r="F628" s="1155">
        <f t="shared" si="39"/>
        <v>0</v>
      </c>
      <c r="G628" s="1155">
        <v>43.61</v>
      </c>
      <c r="H628" s="1155">
        <f t="shared" si="35"/>
        <v>0</v>
      </c>
      <c r="I628" s="1155">
        <f t="shared" si="40"/>
        <v>0</v>
      </c>
      <c r="J628" s="655"/>
      <c r="K628" s="1214"/>
      <c r="L628" s="1215"/>
    </row>
    <row r="629" spans="2:12" x14ac:dyDescent="0.25">
      <c r="B629" s="20">
        <f t="shared" si="34"/>
        <v>0</v>
      </c>
      <c r="C629" s="20"/>
      <c r="D629" s="1153">
        <f t="shared" si="38"/>
        <v>0</v>
      </c>
      <c r="E629" s="1154">
        <f t="shared" si="38"/>
        <v>0</v>
      </c>
      <c r="F629" s="1155">
        <f t="shared" si="39"/>
        <v>0</v>
      </c>
      <c r="G629" s="1155">
        <v>82.45</v>
      </c>
      <c r="H629" s="1155">
        <f t="shared" si="35"/>
        <v>0</v>
      </c>
      <c r="I629" s="1155">
        <f t="shared" si="40"/>
        <v>0</v>
      </c>
      <c r="J629" s="655"/>
      <c r="K629" s="1214"/>
      <c r="L629" s="1215"/>
    </row>
    <row r="630" spans="2:12" x14ac:dyDescent="0.25">
      <c r="B630" s="20">
        <f t="shared" si="34"/>
        <v>0</v>
      </c>
      <c r="C630" s="20"/>
      <c r="D630" s="1153">
        <f t="shared" si="38"/>
        <v>0</v>
      </c>
      <c r="E630" s="1154">
        <f t="shared" si="38"/>
        <v>0</v>
      </c>
      <c r="F630" s="1155">
        <f t="shared" si="39"/>
        <v>0</v>
      </c>
      <c r="G630" s="1155">
        <v>144.75</v>
      </c>
      <c r="H630" s="1155">
        <f t="shared" si="35"/>
        <v>0</v>
      </c>
      <c r="I630" s="1155">
        <f t="shared" si="40"/>
        <v>0</v>
      </c>
      <c r="J630" s="655"/>
      <c r="K630" s="1214"/>
      <c r="L630" s="1215"/>
    </row>
    <row r="631" spans="2:12" x14ac:dyDescent="0.25">
      <c r="B631" s="20">
        <f t="shared" si="34"/>
        <v>0</v>
      </c>
      <c r="C631" s="20"/>
      <c r="D631" s="1153">
        <f t="shared" si="38"/>
        <v>0</v>
      </c>
      <c r="E631" s="1154">
        <f t="shared" si="38"/>
        <v>0</v>
      </c>
      <c r="F631" s="1155">
        <f t="shared" si="39"/>
        <v>0</v>
      </c>
      <c r="G631" s="1155">
        <v>120.46</v>
      </c>
      <c r="H631" s="1155">
        <f t="shared" si="35"/>
        <v>0</v>
      </c>
      <c r="I631" s="1155">
        <f t="shared" si="40"/>
        <v>0</v>
      </c>
      <c r="J631" s="655"/>
      <c r="K631" s="1214"/>
      <c r="L631" s="1215"/>
    </row>
    <row r="632" spans="2:12" x14ac:dyDescent="0.25">
      <c r="B632" s="20">
        <f t="shared" si="34"/>
        <v>0</v>
      </c>
      <c r="C632" s="20"/>
      <c r="D632" s="1153">
        <f t="shared" si="38"/>
        <v>0</v>
      </c>
      <c r="E632" s="1154">
        <f t="shared" si="38"/>
        <v>0</v>
      </c>
      <c r="F632" s="1155">
        <f t="shared" si="39"/>
        <v>0</v>
      </c>
      <c r="G632" s="1155">
        <v>82.45</v>
      </c>
      <c r="H632" s="1155">
        <f t="shared" si="35"/>
        <v>0</v>
      </c>
      <c r="I632" s="1155">
        <f t="shared" si="40"/>
        <v>0</v>
      </c>
      <c r="J632" s="655"/>
      <c r="K632" s="1214"/>
      <c r="L632" s="1215"/>
    </row>
    <row r="633" spans="2:12" x14ac:dyDescent="0.25">
      <c r="B633" s="20">
        <f t="shared" si="34"/>
        <v>0</v>
      </c>
      <c r="C633" s="20"/>
      <c r="D633" s="1153">
        <f t="shared" si="38"/>
        <v>0</v>
      </c>
      <c r="E633" s="1154">
        <f t="shared" si="38"/>
        <v>0</v>
      </c>
      <c r="F633" s="1155">
        <f t="shared" si="39"/>
        <v>0</v>
      </c>
      <c r="G633" s="1155">
        <v>144.75</v>
      </c>
      <c r="H633" s="1155">
        <f t="shared" si="35"/>
        <v>0</v>
      </c>
      <c r="I633" s="1155">
        <f t="shared" si="40"/>
        <v>0</v>
      </c>
      <c r="J633" s="655"/>
      <c r="K633" s="1214"/>
      <c r="L633" s="1215"/>
    </row>
    <row r="634" spans="2:12" x14ac:dyDescent="0.25">
      <c r="B634" s="20">
        <f t="shared" si="34"/>
        <v>0</v>
      </c>
      <c r="C634" s="20"/>
      <c r="D634" s="1153">
        <f t="shared" si="38"/>
        <v>0</v>
      </c>
      <c r="E634" s="1154">
        <f t="shared" si="38"/>
        <v>0</v>
      </c>
      <c r="F634" s="1155">
        <f t="shared" si="39"/>
        <v>0</v>
      </c>
      <c r="G634" s="1155">
        <v>120.46</v>
      </c>
      <c r="H634" s="1155">
        <f t="shared" si="35"/>
        <v>0</v>
      </c>
      <c r="I634" s="1155">
        <f t="shared" si="40"/>
        <v>0</v>
      </c>
      <c r="J634" s="655"/>
      <c r="K634" s="1214"/>
      <c r="L634" s="1215"/>
    </row>
    <row r="635" spans="2:12" x14ac:dyDescent="0.25">
      <c r="B635" s="20">
        <f t="shared" si="34"/>
        <v>0</v>
      </c>
      <c r="C635" s="20"/>
      <c r="D635" s="1153">
        <f t="shared" si="38"/>
        <v>0</v>
      </c>
      <c r="E635" s="1154">
        <f t="shared" si="38"/>
        <v>0</v>
      </c>
      <c r="F635" s="1155">
        <f t="shared" si="39"/>
        <v>0</v>
      </c>
      <c r="G635" s="1155">
        <v>37.299999999999997</v>
      </c>
      <c r="H635" s="1155">
        <f t="shared" si="35"/>
        <v>0</v>
      </c>
      <c r="I635" s="1155">
        <f t="shared" si="40"/>
        <v>0</v>
      </c>
      <c r="J635" s="655"/>
      <c r="K635" s="1214"/>
      <c r="L635" s="1215"/>
    </row>
    <row r="636" spans="2:12" x14ac:dyDescent="0.25">
      <c r="B636" s="20">
        <f t="shared" si="34"/>
        <v>0</v>
      </c>
      <c r="C636" s="20"/>
      <c r="D636" s="1153">
        <f t="shared" ref="D636:E655" si="41">+D552</f>
        <v>0</v>
      </c>
      <c r="E636" s="1154">
        <f t="shared" si="41"/>
        <v>0</v>
      </c>
      <c r="F636" s="1155">
        <f t="shared" si="39"/>
        <v>0</v>
      </c>
      <c r="G636" s="1155">
        <v>82.45</v>
      </c>
      <c r="H636" s="1155">
        <f t="shared" si="35"/>
        <v>0</v>
      </c>
      <c r="I636" s="1155">
        <f t="shared" si="40"/>
        <v>0</v>
      </c>
      <c r="J636" s="655"/>
      <c r="K636" s="1214"/>
      <c r="L636" s="1215"/>
    </row>
    <row r="637" spans="2:12" x14ac:dyDescent="0.25">
      <c r="B637" s="20">
        <f t="shared" si="34"/>
        <v>0</v>
      </c>
      <c r="C637" s="20"/>
      <c r="D637" s="1153">
        <f t="shared" si="41"/>
        <v>0</v>
      </c>
      <c r="E637" s="1154">
        <f t="shared" si="41"/>
        <v>0</v>
      </c>
      <c r="F637" s="1155">
        <f t="shared" si="39"/>
        <v>0</v>
      </c>
      <c r="G637" s="1155">
        <v>37.299999999999997</v>
      </c>
      <c r="H637" s="1155">
        <f t="shared" si="35"/>
        <v>0</v>
      </c>
      <c r="I637" s="1155">
        <f t="shared" si="40"/>
        <v>0</v>
      </c>
      <c r="J637" s="655"/>
      <c r="K637" s="1214"/>
      <c r="L637" s="1215"/>
    </row>
    <row r="638" spans="2:12" x14ac:dyDescent="0.25">
      <c r="B638" s="20">
        <f t="shared" si="34"/>
        <v>0</v>
      </c>
      <c r="C638" s="20"/>
      <c r="D638" s="1153">
        <f t="shared" si="41"/>
        <v>0</v>
      </c>
      <c r="E638" s="1154">
        <f t="shared" si="41"/>
        <v>0</v>
      </c>
      <c r="F638" s="1155">
        <f t="shared" si="39"/>
        <v>0</v>
      </c>
      <c r="G638" s="1155">
        <v>82.45</v>
      </c>
      <c r="H638" s="1155">
        <f t="shared" si="35"/>
        <v>0</v>
      </c>
      <c r="I638" s="1155">
        <f t="shared" si="40"/>
        <v>0</v>
      </c>
      <c r="J638" s="655"/>
      <c r="K638" s="1214"/>
      <c r="L638" s="1215"/>
    </row>
    <row r="639" spans="2:12" x14ac:dyDescent="0.25">
      <c r="B639" s="20">
        <f t="shared" si="34"/>
        <v>0</v>
      </c>
      <c r="C639" s="20"/>
      <c r="D639" s="1153">
        <f t="shared" si="41"/>
        <v>0</v>
      </c>
      <c r="E639" s="1154">
        <f t="shared" si="41"/>
        <v>0</v>
      </c>
      <c r="F639" s="1155">
        <f t="shared" si="39"/>
        <v>0</v>
      </c>
      <c r="G639" s="1155">
        <v>120.46</v>
      </c>
      <c r="H639" s="1155">
        <f t="shared" si="35"/>
        <v>0</v>
      </c>
      <c r="I639" s="1155">
        <f t="shared" si="40"/>
        <v>0</v>
      </c>
      <c r="J639" s="655"/>
      <c r="K639" s="1214"/>
      <c r="L639" s="1215"/>
    </row>
    <row r="640" spans="2:12" x14ac:dyDescent="0.25">
      <c r="B640" s="20">
        <f t="shared" si="34"/>
        <v>0</v>
      </c>
      <c r="C640" s="20"/>
      <c r="D640" s="1153">
        <f t="shared" si="41"/>
        <v>0</v>
      </c>
      <c r="E640" s="1154">
        <f t="shared" si="41"/>
        <v>0</v>
      </c>
      <c r="F640" s="1155">
        <f t="shared" si="39"/>
        <v>0</v>
      </c>
      <c r="G640" s="1155">
        <v>37.299999999999997</v>
      </c>
      <c r="H640" s="1155">
        <f t="shared" si="35"/>
        <v>0</v>
      </c>
      <c r="I640" s="1155">
        <f t="shared" si="40"/>
        <v>0</v>
      </c>
      <c r="J640" s="655"/>
      <c r="K640" s="1214"/>
      <c r="L640" s="1215"/>
    </row>
    <row r="641" spans="2:12" x14ac:dyDescent="0.25">
      <c r="B641" s="20">
        <f t="shared" ref="B641:B657" si="42">+I473</f>
        <v>0</v>
      </c>
      <c r="C641" s="20"/>
      <c r="D641" s="1153">
        <f t="shared" si="41"/>
        <v>0</v>
      </c>
      <c r="E641" s="1154">
        <f t="shared" si="41"/>
        <v>0</v>
      </c>
      <c r="F641" s="1155">
        <f t="shared" si="39"/>
        <v>0</v>
      </c>
      <c r="G641" s="1155">
        <v>120.46</v>
      </c>
      <c r="H641" s="1155">
        <f t="shared" si="35"/>
        <v>0</v>
      </c>
      <c r="I641" s="1155">
        <f t="shared" si="40"/>
        <v>0</v>
      </c>
      <c r="J641" s="655"/>
      <c r="K641" s="1214"/>
      <c r="L641" s="1215"/>
    </row>
    <row r="642" spans="2:12" x14ac:dyDescent="0.25">
      <c r="B642" s="20">
        <f t="shared" si="42"/>
        <v>0</v>
      </c>
      <c r="C642" s="20"/>
      <c r="D642" s="1153">
        <f t="shared" si="41"/>
        <v>0</v>
      </c>
      <c r="E642" s="1154">
        <f t="shared" si="41"/>
        <v>0</v>
      </c>
      <c r="F642" s="1155">
        <f t="shared" si="39"/>
        <v>0</v>
      </c>
      <c r="G642" s="1155">
        <v>37.299999999999997</v>
      </c>
      <c r="H642" s="1155">
        <f t="shared" si="35"/>
        <v>0</v>
      </c>
      <c r="I642" s="1155">
        <f t="shared" si="40"/>
        <v>0</v>
      </c>
      <c r="J642" s="655"/>
      <c r="K642" s="1214"/>
      <c r="L642" s="1215"/>
    </row>
    <row r="643" spans="2:12" x14ac:dyDescent="0.25">
      <c r="B643" s="20">
        <f t="shared" si="42"/>
        <v>0</v>
      </c>
      <c r="C643" s="20"/>
      <c r="D643" s="1153">
        <f t="shared" si="41"/>
        <v>0</v>
      </c>
      <c r="E643" s="1154">
        <f t="shared" si="41"/>
        <v>0</v>
      </c>
      <c r="F643" s="1155">
        <f t="shared" si="39"/>
        <v>0</v>
      </c>
      <c r="G643" s="1155">
        <v>120.45999999999998</v>
      </c>
      <c r="H643" s="1155">
        <f t="shared" si="35"/>
        <v>0</v>
      </c>
      <c r="I643" s="1155">
        <f t="shared" si="40"/>
        <v>0</v>
      </c>
      <c r="J643" s="655"/>
      <c r="K643" s="1214"/>
      <c r="L643" s="1215"/>
    </row>
    <row r="644" spans="2:12" x14ac:dyDescent="0.25">
      <c r="B644" s="20">
        <f t="shared" si="42"/>
        <v>0</v>
      </c>
      <c r="C644" s="20"/>
      <c r="D644" s="1153">
        <f t="shared" si="41"/>
        <v>0</v>
      </c>
      <c r="E644" s="1154">
        <f t="shared" si="41"/>
        <v>0</v>
      </c>
      <c r="F644" s="1155">
        <f t="shared" si="39"/>
        <v>0</v>
      </c>
      <c r="G644" s="1155">
        <v>37.299999999999997</v>
      </c>
      <c r="H644" s="1155">
        <f t="shared" si="35"/>
        <v>0</v>
      </c>
      <c r="I644" s="1155">
        <f t="shared" si="40"/>
        <v>0</v>
      </c>
      <c r="J644" s="655"/>
      <c r="K644" s="1214"/>
      <c r="L644" s="1215"/>
    </row>
    <row r="645" spans="2:12" x14ac:dyDescent="0.25">
      <c r="B645" s="20">
        <f t="shared" si="42"/>
        <v>0</v>
      </c>
      <c r="C645" s="20"/>
      <c r="D645" s="1153">
        <f t="shared" si="41"/>
        <v>0</v>
      </c>
      <c r="E645" s="1154">
        <f t="shared" si="41"/>
        <v>0</v>
      </c>
      <c r="F645" s="1155">
        <f t="shared" si="39"/>
        <v>0</v>
      </c>
      <c r="G645" s="1155">
        <v>37.299999999999997</v>
      </c>
      <c r="H645" s="1155">
        <f t="shared" si="35"/>
        <v>0</v>
      </c>
      <c r="I645" s="1155">
        <f t="shared" si="40"/>
        <v>0</v>
      </c>
      <c r="J645" s="655"/>
      <c r="K645" s="1214"/>
      <c r="L645" s="1215"/>
    </row>
    <row r="646" spans="2:12" x14ac:dyDescent="0.25">
      <c r="B646" s="20">
        <f t="shared" si="42"/>
        <v>0</v>
      </c>
      <c r="C646" s="20"/>
      <c r="D646" s="1153">
        <f t="shared" si="41"/>
        <v>0</v>
      </c>
      <c r="E646" s="1154">
        <f t="shared" si="41"/>
        <v>0</v>
      </c>
      <c r="F646" s="1155">
        <f t="shared" si="39"/>
        <v>0</v>
      </c>
      <c r="G646" s="1155">
        <v>184.21</v>
      </c>
      <c r="H646" s="1155">
        <f t="shared" si="35"/>
        <v>0</v>
      </c>
      <c r="I646" s="1155">
        <f t="shared" si="40"/>
        <v>0</v>
      </c>
      <c r="J646" s="655"/>
      <c r="K646" s="1214"/>
      <c r="L646" s="1215"/>
    </row>
    <row r="647" spans="2:12" x14ac:dyDescent="0.25">
      <c r="B647" s="20">
        <f t="shared" si="42"/>
        <v>0</v>
      </c>
      <c r="C647" s="20"/>
      <c r="D647" s="1153">
        <f t="shared" si="41"/>
        <v>0</v>
      </c>
      <c r="E647" s="1154">
        <f t="shared" si="41"/>
        <v>0</v>
      </c>
      <c r="F647" s="1155">
        <f t="shared" si="39"/>
        <v>0</v>
      </c>
      <c r="G647" s="1155">
        <v>184.21</v>
      </c>
      <c r="H647" s="1155">
        <f t="shared" si="35"/>
        <v>0</v>
      </c>
      <c r="I647" s="1155">
        <f t="shared" si="40"/>
        <v>0</v>
      </c>
      <c r="J647" s="655"/>
      <c r="K647" s="1214"/>
      <c r="L647" s="1215"/>
    </row>
    <row r="648" spans="2:12" x14ac:dyDescent="0.25">
      <c r="B648" s="20">
        <f t="shared" si="42"/>
        <v>0</v>
      </c>
      <c r="C648" s="20"/>
      <c r="D648" s="1153">
        <f t="shared" si="41"/>
        <v>0</v>
      </c>
      <c r="E648" s="1154">
        <f t="shared" si="41"/>
        <v>0</v>
      </c>
      <c r="F648" s="1155">
        <f t="shared" si="39"/>
        <v>0</v>
      </c>
      <c r="G648" s="1155">
        <v>120.46</v>
      </c>
      <c r="H648" s="1155">
        <f t="shared" si="35"/>
        <v>0</v>
      </c>
      <c r="I648" s="1155">
        <f t="shared" si="40"/>
        <v>0</v>
      </c>
      <c r="J648" s="655"/>
      <c r="K648" s="1214"/>
      <c r="L648" s="1215"/>
    </row>
    <row r="649" spans="2:12" x14ac:dyDescent="0.25">
      <c r="B649" s="20">
        <f t="shared" si="42"/>
        <v>0</v>
      </c>
      <c r="C649" s="20"/>
      <c r="D649" s="1153">
        <f t="shared" si="41"/>
        <v>0</v>
      </c>
      <c r="E649" s="1154">
        <f t="shared" si="41"/>
        <v>0</v>
      </c>
      <c r="F649" s="1155">
        <f t="shared" si="39"/>
        <v>0</v>
      </c>
      <c r="G649" s="1155">
        <v>82.45</v>
      </c>
      <c r="H649" s="1155">
        <f t="shared" si="35"/>
        <v>0</v>
      </c>
      <c r="I649" s="1155">
        <f t="shared" si="40"/>
        <v>0</v>
      </c>
      <c r="J649" s="655"/>
      <c r="K649" s="1214"/>
      <c r="L649" s="1215"/>
    </row>
    <row r="650" spans="2:12" x14ac:dyDescent="0.25">
      <c r="B650" s="20">
        <f t="shared" si="42"/>
        <v>0</v>
      </c>
      <c r="C650" s="20"/>
      <c r="D650" s="1153">
        <f t="shared" si="41"/>
        <v>0</v>
      </c>
      <c r="E650" s="1154">
        <f t="shared" si="41"/>
        <v>0</v>
      </c>
      <c r="F650" s="1155">
        <f t="shared" si="39"/>
        <v>0</v>
      </c>
      <c r="G650" s="1155">
        <v>82.45</v>
      </c>
      <c r="H650" s="1155">
        <f t="shared" si="35"/>
        <v>0</v>
      </c>
      <c r="I650" s="1155">
        <f t="shared" si="40"/>
        <v>0</v>
      </c>
      <c r="J650" s="655"/>
      <c r="K650" s="1214"/>
      <c r="L650" s="1215"/>
    </row>
    <row r="651" spans="2:12" x14ac:dyDescent="0.25">
      <c r="B651" s="20">
        <f t="shared" si="42"/>
        <v>0</v>
      </c>
      <c r="C651" s="20"/>
      <c r="D651" s="1153">
        <f t="shared" si="41"/>
        <v>0</v>
      </c>
      <c r="E651" s="1154">
        <f t="shared" si="41"/>
        <v>0</v>
      </c>
      <c r="F651" s="1155">
        <f t="shared" si="39"/>
        <v>0</v>
      </c>
      <c r="G651" s="1155">
        <v>37.299999999999997</v>
      </c>
      <c r="H651" s="1155">
        <f t="shared" si="35"/>
        <v>0</v>
      </c>
      <c r="I651" s="1155">
        <f t="shared" si="40"/>
        <v>0</v>
      </c>
      <c r="J651" s="655"/>
      <c r="K651" s="1214"/>
      <c r="L651" s="1215"/>
    </row>
    <row r="652" spans="2:12" x14ac:dyDescent="0.25">
      <c r="B652" s="20">
        <f t="shared" si="42"/>
        <v>0</v>
      </c>
      <c r="C652" s="20"/>
      <c r="D652" s="1153">
        <f t="shared" si="41"/>
        <v>0</v>
      </c>
      <c r="E652" s="1154">
        <f t="shared" si="41"/>
        <v>0</v>
      </c>
      <c r="F652" s="1155">
        <f t="shared" si="39"/>
        <v>0</v>
      </c>
      <c r="G652" s="1155">
        <v>43.61</v>
      </c>
      <c r="H652" s="1155">
        <f t="shared" si="35"/>
        <v>0</v>
      </c>
      <c r="I652" s="1155">
        <f t="shared" si="40"/>
        <v>0</v>
      </c>
      <c r="J652" s="655"/>
      <c r="K652" s="1214"/>
      <c r="L652" s="1215"/>
    </row>
    <row r="653" spans="2:12" x14ac:dyDescent="0.25">
      <c r="B653" s="20">
        <f t="shared" si="42"/>
        <v>0</v>
      </c>
      <c r="C653" s="20"/>
      <c r="D653" s="1153">
        <f t="shared" si="41"/>
        <v>0</v>
      </c>
      <c r="E653" s="1154">
        <f t="shared" si="41"/>
        <v>0</v>
      </c>
      <c r="F653" s="1155">
        <f t="shared" si="39"/>
        <v>0</v>
      </c>
      <c r="G653" s="1155">
        <v>144.75</v>
      </c>
      <c r="H653" s="1155">
        <f t="shared" si="35"/>
        <v>0</v>
      </c>
      <c r="I653" s="1155">
        <f t="shared" si="40"/>
        <v>0</v>
      </c>
      <c r="J653" s="655"/>
      <c r="K653" s="1214"/>
      <c r="L653" s="1215"/>
    </row>
    <row r="654" spans="2:12" x14ac:dyDescent="0.25">
      <c r="B654" s="20">
        <f t="shared" si="42"/>
        <v>0</v>
      </c>
      <c r="C654" s="20"/>
      <c r="D654" s="1153">
        <f t="shared" si="41"/>
        <v>0</v>
      </c>
      <c r="E654" s="1154">
        <f t="shared" si="41"/>
        <v>0</v>
      </c>
      <c r="F654" s="1155">
        <f t="shared" si="39"/>
        <v>0</v>
      </c>
      <c r="G654" s="1155">
        <v>82.45</v>
      </c>
      <c r="H654" s="1155">
        <f t="shared" si="35"/>
        <v>0</v>
      </c>
      <c r="I654" s="1155">
        <f t="shared" si="40"/>
        <v>0</v>
      </c>
      <c r="J654" s="655"/>
      <c r="K654" s="1214"/>
      <c r="L654" s="1215"/>
    </row>
    <row r="655" spans="2:12" x14ac:dyDescent="0.25">
      <c r="B655" s="20">
        <f t="shared" si="42"/>
        <v>0</v>
      </c>
      <c r="C655" s="20"/>
      <c r="D655" s="1153">
        <f t="shared" si="41"/>
        <v>0</v>
      </c>
      <c r="E655" s="1154">
        <f t="shared" si="41"/>
        <v>0</v>
      </c>
      <c r="F655" s="1155">
        <f t="shared" si="39"/>
        <v>0</v>
      </c>
      <c r="G655" s="1155">
        <v>55.28</v>
      </c>
      <c r="H655" s="1155">
        <f t="shared" si="35"/>
        <v>0</v>
      </c>
      <c r="I655" s="1155">
        <f t="shared" si="40"/>
        <v>0</v>
      </c>
      <c r="J655" s="655"/>
      <c r="K655" s="1214"/>
      <c r="L655" s="1215"/>
    </row>
    <row r="656" spans="2:12" x14ac:dyDescent="0.25">
      <c r="B656" s="20">
        <f t="shared" si="42"/>
        <v>0</v>
      </c>
      <c r="C656" s="20"/>
      <c r="D656" s="1153">
        <f t="shared" ref="D656:E657" si="43">+D572</f>
        <v>0</v>
      </c>
      <c r="E656" s="1154">
        <f t="shared" si="43"/>
        <v>0</v>
      </c>
      <c r="F656" s="1155">
        <f t="shared" si="39"/>
        <v>0</v>
      </c>
      <c r="G656" s="1155">
        <v>120.46</v>
      </c>
      <c r="H656" s="1155">
        <f t="shared" si="35"/>
        <v>0</v>
      </c>
      <c r="I656" s="1155">
        <f t="shared" si="40"/>
        <v>0</v>
      </c>
      <c r="J656" s="655"/>
      <c r="K656" s="1214"/>
      <c r="L656" s="1215"/>
    </row>
    <row r="657" spans="2:12" x14ac:dyDescent="0.25">
      <c r="B657" s="20">
        <f t="shared" si="42"/>
        <v>0</v>
      </c>
      <c r="C657" s="20"/>
      <c r="D657" s="1153">
        <f t="shared" si="43"/>
        <v>0</v>
      </c>
      <c r="E657" s="1154">
        <f t="shared" si="43"/>
        <v>0</v>
      </c>
      <c r="F657" s="1155">
        <f t="shared" si="39"/>
        <v>0</v>
      </c>
      <c r="G657" s="1155">
        <v>82.45</v>
      </c>
      <c r="H657" s="1155">
        <f t="shared" si="35"/>
        <v>0</v>
      </c>
      <c r="I657" s="1155">
        <f t="shared" si="40"/>
        <v>0</v>
      </c>
      <c r="J657" s="655"/>
      <c r="K657" s="1214"/>
      <c r="L657" s="1215"/>
    </row>
    <row r="658" spans="2:12" x14ac:dyDescent="0.25">
      <c r="B658" s="20"/>
      <c r="C658" s="20"/>
      <c r="D658" s="718"/>
      <c r="E658" s="25"/>
      <c r="F658" s="22"/>
      <c r="G658" s="22"/>
      <c r="H658" s="22"/>
      <c r="I658" s="22"/>
      <c r="J658" s="655"/>
      <c r="K658" s="1214"/>
      <c r="L658" s="1215"/>
    </row>
    <row r="659" spans="2:12" x14ac:dyDescent="0.25">
      <c r="B659" s="20"/>
      <c r="C659" s="20"/>
      <c r="D659" s="32"/>
      <c r="E659" s="25">
        <f>SUM(E609:E657)</f>
        <v>301.33333333333331</v>
      </c>
      <c r="F659" s="22"/>
      <c r="G659" s="22"/>
      <c r="H659" s="20"/>
      <c r="I659" s="22"/>
      <c r="J659" s="655"/>
      <c r="K659" s="1214"/>
      <c r="L659" s="1215"/>
    </row>
    <row r="660" spans="2:12" x14ac:dyDescent="0.25">
      <c r="B660" s="20"/>
      <c r="C660" s="20"/>
      <c r="D660" s="32"/>
      <c r="E660" s="25"/>
      <c r="F660" s="22"/>
      <c r="G660" s="22"/>
      <c r="H660" s="20"/>
      <c r="I660" s="22"/>
      <c r="J660" s="655"/>
      <c r="K660" s="1214"/>
      <c r="L660" s="1215"/>
    </row>
    <row r="661" spans="2:12" x14ac:dyDescent="0.25">
      <c r="B661" s="20"/>
      <c r="C661" s="20"/>
      <c r="D661" s="32" t="str">
        <f>+D494</f>
        <v>Puentes</v>
      </c>
      <c r="E661" s="25"/>
      <c r="F661" s="22"/>
      <c r="G661" s="22"/>
      <c r="H661" s="20"/>
      <c r="I661" s="22"/>
      <c r="J661" s="655"/>
      <c r="K661" s="1214"/>
      <c r="L661" s="1215"/>
    </row>
    <row r="662" spans="2:12" x14ac:dyDescent="0.25">
      <c r="B662" s="20"/>
      <c r="C662" s="20"/>
      <c r="D662" s="32"/>
      <c r="E662" s="25"/>
      <c r="F662" s="22"/>
      <c r="G662" s="22"/>
      <c r="H662" s="20"/>
      <c r="I662" s="22"/>
      <c r="J662" s="655"/>
      <c r="K662" s="1214"/>
      <c r="L662" s="1215"/>
    </row>
    <row r="663" spans="2:12" x14ac:dyDescent="0.25">
      <c r="B663" s="20"/>
      <c r="C663" s="20"/>
      <c r="D663" s="32"/>
      <c r="E663" s="25"/>
      <c r="F663" s="22"/>
      <c r="G663" s="22"/>
      <c r="H663" s="20"/>
      <c r="I663" s="22"/>
      <c r="J663" s="655"/>
      <c r="K663" s="1214"/>
      <c r="L663" s="1215"/>
    </row>
    <row r="664" spans="2:12" ht="15" customHeight="1" x14ac:dyDescent="0.25">
      <c r="B664" s="1196" t="s">
        <v>973</v>
      </c>
      <c r="C664" s="1197"/>
      <c r="D664" s="1197"/>
      <c r="E664" s="1197"/>
      <c r="F664" s="1198"/>
      <c r="G664" s="22"/>
      <c r="H664" s="20"/>
      <c r="I664" s="22"/>
      <c r="J664" s="655"/>
      <c r="K664" s="1214"/>
      <c r="L664" s="1215"/>
    </row>
    <row r="665" spans="2:12" x14ac:dyDescent="0.25">
      <c r="B665" s="1199"/>
      <c r="C665" s="1200"/>
      <c r="D665" s="1200"/>
      <c r="E665" s="1200"/>
      <c r="F665" s="1201"/>
      <c r="G665" s="22"/>
      <c r="H665" s="20"/>
      <c r="I665" s="22"/>
      <c r="J665" s="655"/>
      <c r="K665" s="1214"/>
      <c r="L665" s="1215"/>
    </row>
    <row r="666" spans="2:12" s="15" customFormat="1" x14ac:dyDescent="0.25">
      <c r="B666" s="1202"/>
      <c r="C666" s="1203"/>
      <c r="D666" s="1203"/>
      <c r="E666" s="1203"/>
      <c r="F666" s="1204"/>
      <c r="G666" s="783" t="s">
        <v>80</v>
      </c>
      <c r="H666" s="783"/>
      <c r="I666" s="783"/>
      <c r="J666" s="792">
        <f>ROUND(SUM(J605:J665),0)</f>
        <v>14966</v>
      </c>
      <c r="K666" s="1216"/>
      <c r="L666" s="1217"/>
    </row>
    <row r="667" spans="2:12" s="797" customFormat="1" x14ac:dyDescent="0.25">
      <c r="B667" s="799"/>
      <c r="C667" s="799"/>
      <c r="D667" s="799"/>
      <c r="E667" s="799"/>
      <c r="F667" s="799"/>
      <c r="G667" s="55"/>
      <c r="H667" s="55"/>
      <c r="I667" s="55"/>
      <c r="J667" s="645"/>
      <c r="K667" s="796"/>
      <c r="L667" s="796"/>
    </row>
    <row r="668" spans="2:12" s="15" customFormat="1" ht="15.75" x14ac:dyDescent="0.25">
      <c r="B668" s="632"/>
      <c r="C668" s="632"/>
      <c r="D668" s="27"/>
      <c r="E668" s="27"/>
      <c r="F668" s="27"/>
      <c r="H668" s="24"/>
      <c r="I668" s="24"/>
    </row>
    <row r="669" spans="2:12" ht="15.75" x14ac:dyDescent="0.25">
      <c r="D669" s="626"/>
      <c r="E669" s="1209" t="s">
        <v>78</v>
      </c>
      <c r="F669" s="1210"/>
      <c r="G669" s="1210"/>
      <c r="H669" s="1211"/>
      <c r="I669" s="782" t="s">
        <v>79</v>
      </c>
      <c r="J669" s="54" t="str">
        <f>+P.Detall!F52</f>
        <v>M3</v>
      </c>
      <c r="K669" s="1205" t="s">
        <v>971</v>
      </c>
      <c r="L669" s="1206"/>
    </row>
    <row r="670" spans="2:12" x14ac:dyDescent="0.25">
      <c r="B670" s="629" t="s">
        <v>2</v>
      </c>
      <c r="C670" s="629" t="s">
        <v>2</v>
      </c>
      <c r="D670" s="629" t="s">
        <v>4</v>
      </c>
      <c r="E670" s="629" t="s">
        <v>782</v>
      </c>
      <c r="F670" s="629" t="s">
        <v>76</v>
      </c>
      <c r="G670" s="629" t="s">
        <v>77</v>
      </c>
      <c r="H670" s="703"/>
      <c r="I670" s="703"/>
      <c r="J670" s="790" t="s">
        <v>88</v>
      </c>
      <c r="K670" s="1207"/>
      <c r="L670" s="1208"/>
    </row>
    <row r="671" spans="2:12" x14ac:dyDescent="0.25">
      <c r="B671" s="47">
        <v>610.1</v>
      </c>
      <c r="C671" s="20" t="s">
        <v>9</v>
      </c>
      <c r="D671" s="742" t="str">
        <f>+P.Detall!E52</f>
        <v>RELLENO PARA ESTRUCTURAS CON RECEBO</v>
      </c>
      <c r="E671" s="25"/>
      <c r="F671" s="22"/>
      <c r="G671" s="22"/>
      <c r="H671" s="22"/>
      <c r="I671" s="22"/>
      <c r="J671" s="655"/>
      <c r="K671" s="1195"/>
      <c r="L671" s="1195"/>
    </row>
    <row r="672" spans="2:12" x14ac:dyDescent="0.25">
      <c r="B672" s="20"/>
      <c r="C672" s="20"/>
      <c r="D672" s="32" t="s">
        <v>1082</v>
      </c>
      <c r="E672" s="25">
        <f>+E606</f>
        <v>5</v>
      </c>
      <c r="F672" s="22"/>
      <c r="G672" s="22"/>
      <c r="H672" s="22"/>
      <c r="I672" s="22"/>
      <c r="J672" s="655">
        <f>+H680*E672</f>
        <v>54.420000000000009</v>
      </c>
      <c r="K672" s="1195"/>
      <c r="L672" s="1195"/>
    </row>
    <row r="673" spans="2:12" x14ac:dyDescent="0.25">
      <c r="B673" s="20"/>
      <c r="C673" s="20"/>
      <c r="D673" s="32" t="s">
        <v>1083</v>
      </c>
      <c r="E673" s="25">
        <f>+E607</f>
        <v>10</v>
      </c>
      <c r="F673" s="22"/>
      <c r="G673" s="22"/>
      <c r="H673" s="22"/>
      <c r="I673" s="22"/>
      <c r="J673" s="655">
        <f>+H680*E673</f>
        <v>108.84000000000002</v>
      </c>
      <c r="K673" s="1195"/>
      <c r="L673" s="1195"/>
    </row>
    <row r="674" spans="2:12" x14ac:dyDescent="0.25">
      <c r="B674" s="20"/>
      <c r="C674" s="20"/>
      <c r="D674" s="728"/>
      <c r="E674" s="708" t="s">
        <v>930</v>
      </c>
      <c r="F674" s="708" t="s">
        <v>931</v>
      </c>
      <c r="G674" s="708" t="s">
        <v>932</v>
      </c>
      <c r="H674" s="708" t="s">
        <v>901</v>
      </c>
      <c r="I674" s="22"/>
      <c r="J674" s="655"/>
      <c r="K674" s="1195"/>
      <c r="L674" s="1195"/>
    </row>
    <row r="675" spans="2:12" x14ac:dyDescent="0.25">
      <c r="B675" s="20"/>
      <c r="C675" s="20"/>
      <c r="D675" s="710" t="s">
        <v>933</v>
      </c>
      <c r="E675" s="708">
        <f>6+0.75+0.75</f>
        <v>7.5</v>
      </c>
      <c r="F675" s="708">
        <v>1.7</v>
      </c>
      <c r="G675" s="708">
        <v>0.1</v>
      </c>
      <c r="H675" s="708">
        <f>E675*F675*G675</f>
        <v>1.2750000000000001</v>
      </c>
      <c r="I675" s="22"/>
      <c r="J675" s="655"/>
      <c r="K675" s="1195"/>
      <c r="L675" s="1195"/>
    </row>
    <row r="676" spans="2:12" x14ac:dyDescent="0.25">
      <c r="B676" s="20"/>
      <c r="C676" s="20"/>
      <c r="D676" s="730"/>
      <c r="E676" s="708" t="s">
        <v>934</v>
      </c>
      <c r="F676" s="708" t="s">
        <v>930</v>
      </c>
      <c r="G676" s="708"/>
      <c r="H676" s="708" t="s">
        <v>901</v>
      </c>
      <c r="I676" s="22"/>
      <c r="J676" s="655"/>
      <c r="K676" s="1195"/>
      <c r="L676" s="1195"/>
    </row>
    <row r="677" spans="2:12" x14ac:dyDescent="0.25">
      <c r="B677" s="20"/>
      <c r="C677" s="20"/>
      <c r="D677" s="710" t="s">
        <v>935</v>
      </c>
      <c r="E677" s="708">
        <f>(1.7*1.1)-(0.82)</f>
        <v>1.0500000000000003</v>
      </c>
      <c r="F677" s="708">
        <f>E675</f>
        <v>7.5</v>
      </c>
      <c r="G677" s="708"/>
      <c r="H677" s="708">
        <f>E677*F677</f>
        <v>7.8750000000000018</v>
      </c>
      <c r="I677" s="22"/>
      <c r="J677" s="655"/>
      <c r="K677" s="1195"/>
      <c r="L677" s="1195"/>
    </row>
    <row r="678" spans="2:12" x14ac:dyDescent="0.25">
      <c r="B678" s="20"/>
      <c r="C678" s="20"/>
      <c r="D678" s="730"/>
      <c r="E678" s="729" t="s">
        <v>930</v>
      </c>
      <c r="F678" s="729" t="s">
        <v>931</v>
      </c>
      <c r="G678" s="729" t="s">
        <v>932</v>
      </c>
      <c r="H678" s="729" t="s">
        <v>901</v>
      </c>
      <c r="I678" s="22"/>
      <c r="J678" s="655"/>
      <c r="K678" s="1195"/>
      <c r="L678" s="1195"/>
    </row>
    <row r="679" spans="2:12" x14ac:dyDescent="0.25">
      <c r="B679" s="20"/>
      <c r="C679" s="20"/>
      <c r="D679" s="710" t="s">
        <v>936</v>
      </c>
      <c r="E679" s="708">
        <v>1.7</v>
      </c>
      <c r="F679" s="708">
        <f>0.75</f>
        <v>0.75</v>
      </c>
      <c r="G679" s="708">
        <f>0.5+0.18</f>
        <v>0.67999999999999994</v>
      </c>
      <c r="H679" s="708">
        <f>E679*F679*G679*2</f>
        <v>1.7339999999999998</v>
      </c>
      <c r="I679" s="22"/>
      <c r="J679" s="655"/>
      <c r="K679" s="1195"/>
      <c r="L679" s="1195"/>
    </row>
    <row r="680" spans="2:12" x14ac:dyDescent="0.25">
      <c r="B680" s="20"/>
      <c r="C680" s="20"/>
      <c r="D680" s="25"/>
      <c r="E680" s="25"/>
      <c r="F680" s="22"/>
      <c r="G680" s="22"/>
      <c r="H680" s="20">
        <f>+H679+H677+H675</f>
        <v>10.884000000000002</v>
      </c>
      <c r="I680" s="22"/>
      <c r="J680" s="655"/>
      <c r="K680" s="1195"/>
      <c r="L680" s="1195"/>
    </row>
    <row r="681" spans="2:12" x14ac:dyDescent="0.25">
      <c r="B681" s="20"/>
      <c r="C681" s="20"/>
      <c r="D681" s="25"/>
      <c r="E681" s="25"/>
      <c r="F681" s="22"/>
      <c r="G681" s="22"/>
      <c r="H681" s="20"/>
      <c r="I681" s="22"/>
      <c r="J681" s="655"/>
      <c r="K681" s="1195"/>
      <c r="L681" s="1195"/>
    </row>
    <row r="682" spans="2:12" ht="25.5" x14ac:dyDescent="0.25">
      <c r="B682" s="20"/>
      <c r="C682" s="20"/>
      <c r="D682" s="1067" t="str">
        <f>+D494</f>
        <v>Puentes</v>
      </c>
      <c r="E682" s="1067" t="s">
        <v>1084</v>
      </c>
      <c r="F682" s="1068"/>
      <c r="G682" s="1068">
        <v>0.25</v>
      </c>
      <c r="H682" s="992"/>
      <c r="I682" s="1068"/>
      <c r="J682" s="1069">
        <f>+H682*G682</f>
        <v>0</v>
      </c>
      <c r="K682" s="1195"/>
      <c r="L682" s="1195"/>
    </row>
    <row r="683" spans="2:12" x14ac:dyDescent="0.25">
      <c r="B683" s="20"/>
      <c r="C683" s="20"/>
      <c r="D683" s="25"/>
      <c r="E683" s="25"/>
      <c r="F683" s="22"/>
      <c r="G683" s="22"/>
      <c r="H683" s="20"/>
      <c r="I683" s="22"/>
      <c r="J683" s="655"/>
      <c r="K683" s="1195"/>
      <c r="L683" s="1195"/>
    </row>
    <row r="684" spans="2:12" x14ac:dyDescent="0.25">
      <c r="B684" s="20"/>
      <c r="C684" s="20"/>
      <c r="D684" s="32" t="s">
        <v>104</v>
      </c>
      <c r="E684" s="716" t="s">
        <v>914</v>
      </c>
      <c r="F684" s="716" t="s">
        <v>917</v>
      </c>
      <c r="G684" s="716" t="s">
        <v>937</v>
      </c>
      <c r="H684" s="716" t="s">
        <v>931</v>
      </c>
      <c r="I684" s="716" t="s">
        <v>938</v>
      </c>
      <c r="J684" s="655">
        <f>+I685+I686</f>
        <v>98</v>
      </c>
      <c r="K684" s="1195"/>
      <c r="L684" s="1195"/>
    </row>
    <row r="685" spans="2:12" x14ac:dyDescent="0.25">
      <c r="B685" s="1072"/>
      <c r="C685" s="20"/>
      <c r="D685" s="988" t="str">
        <f t="shared" ref="D685:F710" si="44">+D609</f>
        <v>estructural 1</v>
      </c>
      <c r="E685" s="732">
        <f t="shared" si="44"/>
        <v>1</v>
      </c>
      <c r="F685" s="732">
        <f t="shared" si="44"/>
        <v>10</v>
      </c>
      <c r="G685" s="733">
        <f>+I441</f>
        <v>4</v>
      </c>
      <c r="H685" s="720">
        <v>0.65</v>
      </c>
      <c r="I685" s="733">
        <f>+E685*F685*G685*H685</f>
        <v>26</v>
      </c>
      <c r="J685" s="655"/>
      <c r="K685" s="1195"/>
      <c r="L685" s="1195"/>
    </row>
    <row r="686" spans="2:12" x14ac:dyDescent="0.25">
      <c r="B686" s="1072"/>
      <c r="C686" s="20"/>
      <c r="D686" s="988" t="str">
        <f t="shared" si="44"/>
        <v>estructural 2</v>
      </c>
      <c r="E686" s="732">
        <f t="shared" si="44"/>
        <v>1</v>
      </c>
      <c r="F686" s="732">
        <f t="shared" si="44"/>
        <v>9</v>
      </c>
      <c r="G686" s="733">
        <f>+I442</f>
        <v>8</v>
      </c>
      <c r="H686" s="720">
        <v>1</v>
      </c>
      <c r="I686" s="733">
        <f t="shared" ref="I686:I733" si="45">+E686*F686*G686*H686</f>
        <v>72</v>
      </c>
      <c r="J686" s="655"/>
      <c r="K686" s="1195"/>
      <c r="L686" s="1195"/>
    </row>
    <row r="687" spans="2:12" x14ac:dyDescent="0.25">
      <c r="B687" s="1072"/>
      <c r="C687" s="20"/>
      <c r="D687" s="988"/>
      <c r="E687" s="732"/>
      <c r="F687" s="732"/>
      <c r="G687" s="733"/>
      <c r="H687" s="720"/>
      <c r="I687" s="733"/>
      <c r="J687" s="655"/>
      <c r="K687" s="1195"/>
      <c r="L687" s="1195"/>
    </row>
    <row r="688" spans="2:12" x14ac:dyDescent="0.25">
      <c r="B688" s="1072"/>
      <c r="C688" s="20"/>
      <c r="D688" s="988"/>
      <c r="E688" s="732"/>
      <c r="F688" s="732"/>
      <c r="G688" s="733"/>
      <c r="H688" s="720"/>
      <c r="I688" s="733"/>
      <c r="J688" s="655"/>
      <c r="K688" s="1195"/>
      <c r="L688" s="1195"/>
    </row>
    <row r="689" spans="2:12" x14ac:dyDescent="0.25">
      <c r="B689" s="1072"/>
      <c r="C689" s="20"/>
      <c r="D689" s="988" t="str">
        <f t="shared" si="44"/>
        <v>Box Coulvert:</v>
      </c>
      <c r="E689" s="732">
        <f t="shared" si="44"/>
        <v>1</v>
      </c>
      <c r="F689" s="732">
        <f t="shared" si="44"/>
        <v>6</v>
      </c>
      <c r="G689" s="733">
        <v>2</v>
      </c>
      <c r="H689" s="720">
        <f>+H685</f>
        <v>0.65</v>
      </c>
      <c r="I689" s="733">
        <f t="shared" si="45"/>
        <v>7.8000000000000007</v>
      </c>
      <c r="J689" s="655">
        <f>+I689</f>
        <v>7.8000000000000007</v>
      </c>
      <c r="K689" s="1195"/>
      <c r="L689" s="1195"/>
    </row>
    <row r="690" spans="2:12" x14ac:dyDescent="0.25">
      <c r="B690" s="1072"/>
      <c r="C690" s="20"/>
      <c r="D690" s="988" t="str">
        <f t="shared" si="44"/>
        <v>Box Coulvert2:</v>
      </c>
      <c r="E690" s="732">
        <f t="shared" si="44"/>
        <v>1</v>
      </c>
      <c r="F690" s="732">
        <f t="shared" si="44"/>
        <v>2.5</v>
      </c>
      <c r="G690" s="733">
        <v>1</v>
      </c>
      <c r="H690" s="720">
        <v>0.65</v>
      </c>
      <c r="I690" s="733">
        <f t="shared" si="45"/>
        <v>1.625</v>
      </c>
      <c r="J690" s="655">
        <f>+I690</f>
        <v>1.625</v>
      </c>
      <c r="K690" s="1195"/>
      <c r="L690" s="1195"/>
    </row>
    <row r="691" spans="2:12" x14ac:dyDescent="0.25">
      <c r="B691" s="1072"/>
      <c r="C691" s="20"/>
      <c r="D691" s="988"/>
      <c r="E691" s="732"/>
      <c r="F691" s="732"/>
      <c r="G691" s="733"/>
      <c r="H691" s="720"/>
      <c r="I691" s="733"/>
      <c r="J691" s="655"/>
      <c r="K691" s="1195"/>
      <c r="L691" s="1195"/>
    </row>
    <row r="692" spans="2:12" x14ac:dyDescent="0.25">
      <c r="B692" s="1072"/>
      <c r="C692" s="20"/>
      <c r="D692" s="1153">
        <f t="shared" si="44"/>
        <v>0</v>
      </c>
      <c r="E692" s="1156">
        <f t="shared" si="44"/>
        <v>0</v>
      </c>
      <c r="F692" s="1156">
        <f t="shared" si="44"/>
        <v>0</v>
      </c>
      <c r="G692" s="1157">
        <f t="shared" ref="G692:G733" si="46">+I448</f>
        <v>0</v>
      </c>
      <c r="H692" s="1155">
        <v>2.4</v>
      </c>
      <c r="I692" s="1157">
        <f t="shared" si="45"/>
        <v>0</v>
      </c>
      <c r="J692" s="655"/>
      <c r="K692" s="1195"/>
      <c r="L692" s="1195"/>
    </row>
    <row r="693" spans="2:12" x14ac:dyDescent="0.25">
      <c r="B693" s="1072"/>
      <c r="C693" s="20"/>
      <c r="D693" s="1153">
        <f t="shared" si="44"/>
        <v>0</v>
      </c>
      <c r="E693" s="1156">
        <f t="shared" si="44"/>
        <v>0</v>
      </c>
      <c r="F693" s="1156">
        <f t="shared" si="44"/>
        <v>0</v>
      </c>
      <c r="G693" s="1157">
        <f t="shared" si="46"/>
        <v>0</v>
      </c>
      <c r="H693" s="1155">
        <f>+H691</f>
        <v>0</v>
      </c>
      <c r="I693" s="1157">
        <f t="shared" si="45"/>
        <v>0</v>
      </c>
      <c r="J693" s="655"/>
      <c r="K693" s="1195"/>
      <c r="L693" s="1195"/>
    </row>
    <row r="694" spans="2:12" x14ac:dyDescent="0.25">
      <c r="B694" s="1072"/>
      <c r="C694" s="20"/>
      <c r="D694" s="1153">
        <f t="shared" si="44"/>
        <v>0</v>
      </c>
      <c r="E694" s="1156">
        <f t="shared" si="44"/>
        <v>0</v>
      </c>
      <c r="F694" s="1156">
        <f t="shared" si="44"/>
        <v>0</v>
      </c>
      <c r="G694" s="1157">
        <f t="shared" si="46"/>
        <v>0</v>
      </c>
      <c r="H694" s="1155">
        <v>1.1000000000000001</v>
      </c>
      <c r="I694" s="1157">
        <f t="shared" si="45"/>
        <v>0</v>
      </c>
      <c r="J694" s="655"/>
      <c r="K694" s="1195"/>
      <c r="L694" s="1195"/>
    </row>
    <row r="695" spans="2:12" x14ac:dyDescent="0.25">
      <c r="B695" s="1072"/>
      <c r="C695" s="20"/>
      <c r="D695" s="1153">
        <f t="shared" si="44"/>
        <v>0</v>
      </c>
      <c r="E695" s="1156">
        <f t="shared" si="44"/>
        <v>0</v>
      </c>
      <c r="F695" s="1156">
        <f t="shared" si="44"/>
        <v>0</v>
      </c>
      <c r="G695" s="1157">
        <f t="shared" si="46"/>
        <v>0</v>
      </c>
      <c r="H695" s="1155">
        <f>+H693</f>
        <v>0</v>
      </c>
      <c r="I695" s="1157">
        <f t="shared" si="45"/>
        <v>0</v>
      </c>
      <c r="J695" s="655"/>
      <c r="K695" s="1195"/>
      <c r="L695" s="1195"/>
    </row>
    <row r="696" spans="2:12" x14ac:dyDescent="0.25">
      <c r="B696" s="1072"/>
      <c r="C696" s="20"/>
      <c r="D696" s="1153">
        <f t="shared" si="44"/>
        <v>0</v>
      </c>
      <c r="E696" s="1156">
        <f t="shared" si="44"/>
        <v>0</v>
      </c>
      <c r="F696" s="1156">
        <f t="shared" si="44"/>
        <v>0</v>
      </c>
      <c r="G696" s="1157">
        <f t="shared" si="46"/>
        <v>0</v>
      </c>
      <c r="H696" s="1155">
        <f>+H694</f>
        <v>1.1000000000000001</v>
      </c>
      <c r="I696" s="1157">
        <f t="shared" si="45"/>
        <v>0</v>
      </c>
      <c r="J696" s="655"/>
      <c r="K696" s="1195"/>
      <c r="L696" s="1195"/>
    </row>
    <row r="697" spans="2:12" x14ac:dyDescent="0.25">
      <c r="B697" s="1072"/>
      <c r="C697" s="20"/>
      <c r="D697" s="1153">
        <f t="shared" si="44"/>
        <v>0</v>
      </c>
      <c r="E697" s="1156">
        <f t="shared" si="44"/>
        <v>0</v>
      </c>
      <c r="F697" s="1156">
        <f t="shared" si="44"/>
        <v>0</v>
      </c>
      <c r="G697" s="1157">
        <f t="shared" si="46"/>
        <v>0</v>
      </c>
      <c r="H697" s="1155">
        <f>+H690</f>
        <v>0.65</v>
      </c>
      <c r="I697" s="1157">
        <f t="shared" si="45"/>
        <v>0</v>
      </c>
      <c r="J697" s="655"/>
      <c r="K697" s="1195"/>
      <c r="L697" s="1195"/>
    </row>
    <row r="698" spans="2:12" x14ac:dyDescent="0.25">
      <c r="B698" s="1072"/>
      <c r="C698" s="20"/>
      <c r="D698" s="1153">
        <f t="shared" si="44"/>
        <v>0</v>
      </c>
      <c r="E698" s="1156">
        <f t="shared" si="44"/>
        <v>0</v>
      </c>
      <c r="F698" s="1156">
        <f t="shared" si="44"/>
        <v>0</v>
      </c>
      <c r="G698" s="1157">
        <f t="shared" si="46"/>
        <v>0</v>
      </c>
      <c r="H698" s="1155">
        <f>+H688</f>
        <v>0</v>
      </c>
      <c r="I698" s="1157">
        <f t="shared" si="45"/>
        <v>0</v>
      </c>
      <c r="J698" s="655"/>
      <c r="K698" s="1195"/>
      <c r="L698" s="1195"/>
    </row>
    <row r="699" spans="2:12" x14ac:dyDescent="0.25">
      <c r="B699" s="1072"/>
      <c r="C699" s="20"/>
      <c r="D699" s="1153">
        <f t="shared" si="44"/>
        <v>0</v>
      </c>
      <c r="E699" s="1156">
        <f t="shared" si="44"/>
        <v>0</v>
      </c>
      <c r="F699" s="1156">
        <f t="shared" si="44"/>
        <v>0</v>
      </c>
      <c r="G699" s="1157">
        <f t="shared" si="46"/>
        <v>0</v>
      </c>
      <c r="H699" s="1155">
        <f>+H698</f>
        <v>0</v>
      </c>
      <c r="I699" s="1157">
        <f t="shared" si="45"/>
        <v>0</v>
      </c>
      <c r="J699" s="655"/>
      <c r="K699" s="1195"/>
      <c r="L699" s="1195"/>
    </row>
    <row r="700" spans="2:12" x14ac:dyDescent="0.25">
      <c r="B700" s="1072"/>
      <c r="C700" s="20"/>
      <c r="D700" s="1153">
        <f t="shared" si="44"/>
        <v>0</v>
      </c>
      <c r="E700" s="1156">
        <f t="shared" si="44"/>
        <v>0</v>
      </c>
      <c r="F700" s="1156">
        <f t="shared" si="44"/>
        <v>0</v>
      </c>
      <c r="G700" s="1157">
        <f t="shared" si="46"/>
        <v>0</v>
      </c>
      <c r="H700" s="1155">
        <f>+H697</f>
        <v>0.65</v>
      </c>
      <c r="I700" s="1157">
        <f t="shared" si="45"/>
        <v>0</v>
      </c>
      <c r="J700" s="655"/>
      <c r="K700" s="1195"/>
      <c r="L700" s="1195"/>
    </row>
    <row r="701" spans="2:12" x14ac:dyDescent="0.25">
      <c r="B701" s="1072"/>
      <c r="C701" s="20"/>
      <c r="D701" s="1153">
        <f t="shared" si="44"/>
        <v>0</v>
      </c>
      <c r="E701" s="1156">
        <f t="shared" si="44"/>
        <v>0</v>
      </c>
      <c r="F701" s="1156">
        <f t="shared" si="44"/>
        <v>0</v>
      </c>
      <c r="G701" s="1157">
        <f t="shared" si="46"/>
        <v>0</v>
      </c>
      <c r="H701" s="1155">
        <f>+H700</f>
        <v>0.65</v>
      </c>
      <c r="I701" s="1157">
        <f t="shared" si="45"/>
        <v>0</v>
      </c>
      <c r="J701" s="655"/>
      <c r="K701" s="1195"/>
      <c r="L701" s="1195"/>
    </row>
    <row r="702" spans="2:12" x14ac:dyDescent="0.25">
      <c r="B702" s="1072"/>
      <c r="C702" s="20"/>
      <c r="D702" s="1153">
        <f t="shared" si="44"/>
        <v>0</v>
      </c>
      <c r="E702" s="1156">
        <f t="shared" si="44"/>
        <v>0</v>
      </c>
      <c r="F702" s="1156">
        <f t="shared" si="44"/>
        <v>0</v>
      </c>
      <c r="G702" s="1157">
        <f t="shared" si="46"/>
        <v>0</v>
      </c>
      <c r="H702" s="1155">
        <v>1.3</v>
      </c>
      <c r="I702" s="1157">
        <f t="shared" si="45"/>
        <v>0</v>
      </c>
      <c r="J702" s="655"/>
      <c r="K702" s="1195"/>
      <c r="L702" s="1195"/>
    </row>
    <row r="703" spans="2:12" x14ac:dyDescent="0.25">
      <c r="B703" s="1072"/>
      <c r="C703" s="20"/>
      <c r="D703" s="1153">
        <f t="shared" si="44"/>
        <v>0</v>
      </c>
      <c r="E703" s="1156">
        <f t="shared" si="44"/>
        <v>0</v>
      </c>
      <c r="F703" s="1156">
        <f t="shared" si="44"/>
        <v>0</v>
      </c>
      <c r="G703" s="1157">
        <f t="shared" si="46"/>
        <v>0</v>
      </c>
      <c r="H703" s="1155">
        <f>+H696</f>
        <v>1.1000000000000001</v>
      </c>
      <c r="I703" s="1157">
        <f t="shared" si="45"/>
        <v>0</v>
      </c>
      <c r="J703" s="655"/>
      <c r="K703" s="1195"/>
      <c r="L703" s="1195"/>
    </row>
    <row r="704" spans="2:12" x14ac:dyDescent="0.25">
      <c r="B704" s="1072"/>
      <c r="C704" s="20"/>
      <c r="D704" s="1153">
        <f t="shared" si="44"/>
        <v>0</v>
      </c>
      <c r="E704" s="1156">
        <f t="shared" si="44"/>
        <v>0</v>
      </c>
      <c r="F704" s="1156">
        <f t="shared" si="44"/>
        <v>0</v>
      </c>
      <c r="G704" s="1157">
        <f t="shared" si="46"/>
        <v>0</v>
      </c>
      <c r="H704" s="1155">
        <f>+H695</f>
        <v>0</v>
      </c>
      <c r="I704" s="1157">
        <f t="shared" si="45"/>
        <v>0</v>
      </c>
      <c r="J704" s="655"/>
      <c r="K704" s="1195"/>
      <c r="L704" s="1195"/>
    </row>
    <row r="705" spans="2:12" x14ac:dyDescent="0.25">
      <c r="B705" s="1072"/>
      <c r="C705" s="20"/>
      <c r="D705" s="1153">
        <f t="shared" si="44"/>
        <v>0</v>
      </c>
      <c r="E705" s="1156">
        <f t="shared" si="44"/>
        <v>0</v>
      </c>
      <c r="F705" s="1156">
        <f t="shared" si="44"/>
        <v>0</v>
      </c>
      <c r="G705" s="1157">
        <f t="shared" si="46"/>
        <v>0</v>
      </c>
      <c r="H705" s="1155">
        <f>+H698</f>
        <v>0</v>
      </c>
      <c r="I705" s="1157">
        <f t="shared" si="45"/>
        <v>0</v>
      </c>
      <c r="J705" s="655"/>
      <c r="K705" s="1195"/>
      <c r="L705" s="1195"/>
    </row>
    <row r="706" spans="2:12" x14ac:dyDescent="0.25">
      <c r="B706" s="1072"/>
      <c r="C706" s="20"/>
      <c r="D706" s="1153">
        <f t="shared" si="44"/>
        <v>0</v>
      </c>
      <c r="E706" s="1156">
        <f t="shared" si="44"/>
        <v>0</v>
      </c>
      <c r="F706" s="1156">
        <f t="shared" si="44"/>
        <v>0</v>
      </c>
      <c r="G706" s="1157">
        <f t="shared" si="46"/>
        <v>0</v>
      </c>
      <c r="H706" s="1155">
        <f>+H702</f>
        <v>1.3</v>
      </c>
      <c r="I706" s="1157">
        <f t="shared" si="45"/>
        <v>0</v>
      </c>
      <c r="J706" s="655"/>
      <c r="K706" s="1195"/>
      <c r="L706" s="1195"/>
    </row>
    <row r="707" spans="2:12" x14ac:dyDescent="0.25">
      <c r="B707" s="1072"/>
      <c r="C707" s="20"/>
      <c r="D707" s="1153">
        <f t="shared" si="44"/>
        <v>0</v>
      </c>
      <c r="E707" s="1156">
        <f t="shared" si="44"/>
        <v>0</v>
      </c>
      <c r="F707" s="1156">
        <f t="shared" si="44"/>
        <v>0</v>
      </c>
      <c r="G707" s="1157">
        <f t="shared" si="46"/>
        <v>0</v>
      </c>
      <c r="H707" s="1155">
        <f>+H703</f>
        <v>1.1000000000000001</v>
      </c>
      <c r="I707" s="1157">
        <f t="shared" si="45"/>
        <v>0</v>
      </c>
      <c r="J707" s="655"/>
      <c r="K707" s="1195"/>
      <c r="L707" s="1195"/>
    </row>
    <row r="708" spans="2:12" x14ac:dyDescent="0.25">
      <c r="B708" s="1072"/>
      <c r="C708" s="20"/>
      <c r="D708" s="1153">
        <f t="shared" si="44"/>
        <v>0</v>
      </c>
      <c r="E708" s="1156">
        <f t="shared" si="44"/>
        <v>0</v>
      </c>
      <c r="F708" s="1156">
        <f t="shared" si="44"/>
        <v>0</v>
      </c>
      <c r="G708" s="1157">
        <f t="shared" si="46"/>
        <v>0</v>
      </c>
      <c r="H708" s="1155">
        <f>+H705</f>
        <v>0</v>
      </c>
      <c r="I708" s="1157">
        <f t="shared" si="45"/>
        <v>0</v>
      </c>
      <c r="J708" s="655"/>
      <c r="K708" s="1195"/>
      <c r="L708" s="1195"/>
    </row>
    <row r="709" spans="2:12" x14ac:dyDescent="0.25">
      <c r="B709" s="1072"/>
      <c r="C709" s="20"/>
      <c r="D709" s="1153">
        <f t="shared" si="44"/>
        <v>0</v>
      </c>
      <c r="E709" s="1156">
        <f t="shared" si="44"/>
        <v>0</v>
      </c>
      <c r="F709" s="1156">
        <f t="shared" si="44"/>
        <v>0</v>
      </c>
      <c r="G709" s="1157">
        <f t="shared" si="46"/>
        <v>0</v>
      </c>
      <c r="H709" s="1155">
        <f>+H706</f>
        <v>1.3</v>
      </c>
      <c r="I709" s="1157">
        <f t="shared" si="45"/>
        <v>0</v>
      </c>
      <c r="J709" s="655"/>
      <c r="K709" s="1195"/>
      <c r="L709" s="1195"/>
    </row>
    <row r="710" spans="2:12" x14ac:dyDescent="0.25">
      <c r="B710" s="1072"/>
      <c r="C710" s="20"/>
      <c r="D710" s="1153">
        <f t="shared" si="44"/>
        <v>0</v>
      </c>
      <c r="E710" s="1156">
        <f t="shared" si="44"/>
        <v>0</v>
      </c>
      <c r="F710" s="1156">
        <f t="shared" si="44"/>
        <v>0</v>
      </c>
      <c r="G710" s="1157">
        <f t="shared" si="46"/>
        <v>0</v>
      </c>
      <c r="H710" s="1155">
        <f>+H707</f>
        <v>1.1000000000000001</v>
      </c>
      <c r="I710" s="1157">
        <f t="shared" si="45"/>
        <v>0</v>
      </c>
      <c r="J710" s="655"/>
      <c r="K710" s="1195"/>
      <c r="L710" s="1195"/>
    </row>
    <row r="711" spans="2:12" x14ac:dyDescent="0.25">
      <c r="B711" s="1072"/>
      <c r="C711" s="20"/>
      <c r="D711" s="1153">
        <f>+D635</f>
        <v>0</v>
      </c>
      <c r="E711" s="1156">
        <f t="shared" ref="E711:F733" si="47">+E635</f>
        <v>0</v>
      </c>
      <c r="F711" s="1156">
        <f t="shared" si="47"/>
        <v>0</v>
      </c>
      <c r="G711" s="1157">
        <f t="shared" si="46"/>
        <v>0</v>
      </c>
      <c r="H711" s="1155">
        <f>+H701</f>
        <v>0.65</v>
      </c>
      <c r="I711" s="1157">
        <f t="shared" si="45"/>
        <v>0</v>
      </c>
      <c r="J711" s="655"/>
      <c r="K711" s="1195"/>
      <c r="L711" s="1195"/>
    </row>
    <row r="712" spans="2:12" x14ac:dyDescent="0.25">
      <c r="B712" s="1072"/>
      <c r="C712" s="20"/>
      <c r="D712" s="1153">
        <f t="shared" ref="D712:D733" si="48">+D636</f>
        <v>0</v>
      </c>
      <c r="E712" s="1156">
        <f t="shared" si="47"/>
        <v>0</v>
      </c>
      <c r="F712" s="1156">
        <f t="shared" si="47"/>
        <v>0</v>
      </c>
      <c r="G712" s="1157">
        <f t="shared" si="46"/>
        <v>0</v>
      </c>
      <c r="H712" s="1155">
        <f>+H708</f>
        <v>0</v>
      </c>
      <c r="I712" s="1157">
        <f t="shared" si="45"/>
        <v>0</v>
      </c>
      <c r="J712" s="655"/>
      <c r="K712" s="1195"/>
      <c r="L712" s="1195"/>
    </row>
    <row r="713" spans="2:12" x14ac:dyDescent="0.25">
      <c r="B713" s="1072"/>
      <c r="C713" s="20"/>
      <c r="D713" s="1153">
        <f t="shared" si="48"/>
        <v>0</v>
      </c>
      <c r="E713" s="1156">
        <f t="shared" si="47"/>
        <v>0</v>
      </c>
      <c r="F713" s="1156">
        <f t="shared" si="47"/>
        <v>0</v>
      </c>
      <c r="G713" s="1157">
        <f t="shared" si="46"/>
        <v>0</v>
      </c>
      <c r="H713" s="1155">
        <f>+H711</f>
        <v>0.65</v>
      </c>
      <c r="I713" s="1157">
        <f t="shared" si="45"/>
        <v>0</v>
      </c>
      <c r="J713" s="655"/>
      <c r="K713" s="1195"/>
      <c r="L713" s="1195"/>
    </row>
    <row r="714" spans="2:12" x14ac:dyDescent="0.25">
      <c r="B714" s="1072"/>
      <c r="C714" s="20"/>
      <c r="D714" s="1153">
        <f t="shared" si="48"/>
        <v>0</v>
      </c>
      <c r="E714" s="1156">
        <f t="shared" si="47"/>
        <v>0</v>
      </c>
      <c r="F714" s="1156">
        <f t="shared" si="47"/>
        <v>0</v>
      </c>
      <c r="G714" s="1157">
        <f t="shared" si="46"/>
        <v>0</v>
      </c>
      <c r="H714" s="1155">
        <f>+H712</f>
        <v>0</v>
      </c>
      <c r="I714" s="1157">
        <f t="shared" si="45"/>
        <v>0</v>
      </c>
      <c r="J714" s="655"/>
      <c r="K714" s="1195"/>
      <c r="L714" s="1195"/>
    </row>
    <row r="715" spans="2:12" x14ac:dyDescent="0.25">
      <c r="B715" s="1072"/>
      <c r="C715" s="20"/>
      <c r="D715" s="1153">
        <f t="shared" si="48"/>
        <v>0</v>
      </c>
      <c r="E715" s="1156">
        <f t="shared" si="47"/>
        <v>0</v>
      </c>
      <c r="F715" s="1156">
        <f t="shared" ref="F715" si="49">+F639</f>
        <v>0</v>
      </c>
      <c r="G715" s="1157">
        <f t="shared" si="46"/>
        <v>0</v>
      </c>
      <c r="H715" s="1155">
        <f>+H710</f>
        <v>1.1000000000000001</v>
      </c>
      <c r="I715" s="1157">
        <f t="shared" si="45"/>
        <v>0</v>
      </c>
      <c r="J715" s="655"/>
      <c r="K715" s="1195"/>
      <c r="L715" s="1195"/>
    </row>
    <row r="716" spans="2:12" x14ac:dyDescent="0.25">
      <c r="B716" s="1072"/>
      <c r="C716" s="20"/>
      <c r="D716" s="1153">
        <f t="shared" si="48"/>
        <v>0</v>
      </c>
      <c r="E716" s="1156">
        <f t="shared" si="47"/>
        <v>0</v>
      </c>
      <c r="F716" s="1156">
        <f t="shared" ref="F716" si="50">+F640</f>
        <v>0</v>
      </c>
      <c r="G716" s="1157">
        <f t="shared" si="46"/>
        <v>0</v>
      </c>
      <c r="H716" s="1155">
        <f>+H713</f>
        <v>0.65</v>
      </c>
      <c r="I716" s="1157">
        <f t="shared" si="45"/>
        <v>0</v>
      </c>
      <c r="J716" s="655"/>
      <c r="K716" s="1195"/>
      <c r="L716" s="1195"/>
    </row>
    <row r="717" spans="2:12" x14ac:dyDescent="0.25">
      <c r="B717" s="1072"/>
      <c r="C717" s="20"/>
      <c r="D717" s="1153">
        <f t="shared" si="48"/>
        <v>0</v>
      </c>
      <c r="E717" s="1156">
        <f t="shared" si="47"/>
        <v>0</v>
      </c>
      <c r="F717" s="1156">
        <f t="shared" ref="F717:F718" si="51">+F641</f>
        <v>0</v>
      </c>
      <c r="G717" s="1157">
        <f t="shared" si="46"/>
        <v>0</v>
      </c>
      <c r="H717" s="1155">
        <f>+H715</f>
        <v>1.1000000000000001</v>
      </c>
      <c r="I717" s="1157">
        <f t="shared" si="45"/>
        <v>0</v>
      </c>
      <c r="J717" s="655"/>
      <c r="K717" s="1195"/>
      <c r="L717" s="1195"/>
    </row>
    <row r="718" spans="2:12" x14ac:dyDescent="0.25">
      <c r="B718" s="1072"/>
      <c r="C718" s="20"/>
      <c r="D718" s="1153">
        <f t="shared" si="48"/>
        <v>0</v>
      </c>
      <c r="E718" s="1156">
        <f t="shared" si="47"/>
        <v>0</v>
      </c>
      <c r="F718" s="1156">
        <f t="shared" si="51"/>
        <v>0</v>
      </c>
      <c r="G718" s="1157">
        <f t="shared" si="46"/>
        <v>0</v>
      </c>
      <c r="H718" s="1155">
        <f>+H716</f>
        <v>0.65</v>
      </c>
      <c r="I718" s="1157">
        <f t="shared" si="45"/>
        <v>0</v>
      </c>
      <c r="J718" s="655"/>
      <c r="K718" s="1195"/>
      <c r="L718" s="1195"/>
    </row>
    <row r="719" spans="2:12" x14ac:dyDescent="0.25">
      <c r="B719" s="1072"/>
      <c r="C719" s="20"/>
      <c r="D719" s="1153">
        <f t="shared" si="48"/>
        <v>0</v>
      </c>
      <c r="E719" s="1156">
        <f t="shared" si="47"/>
        <v>0</v>
      </c>
      <c r="F719" s="1156">
        <f t="shared" ref="F719" si="52">+F643</f>
        <v>0</v>
      </c>
      <c r="G719" s="1157">
        <f t="shared" si="46"/>
        <v>0</v>
      </c>
      <c r="H719" s="1155">
        <f>+H717</f>
        <v>1.1000000000000001</v>
      </c>
      <c r="I719" s="1157">
        <f t="shared" si="45"/>
        <v>0</v>
      </c>
      <c r="J719" s="655"/>
      <c r="K719" s="1195"/>
      <c r="L719" s="1195"/>
    </row>
    <row r="720" spans="2:12" x14ac:dyDescent="0.25">
      <c r="B720" s="1072"/>
      <c r="C720" s="20"/>
      <c r="D720" s="1153">
        <f t="shared" si="48"/>
        <v>0</v>
      </c>
      <c r="E720" s="1156">
        <f t="shared" si="47"/>
        <v>0</v>
      </c>
      <c r="F720" s="1156">
        <f t="shared" ref="F720" si="53">+F644</f>
        <v>0</v>
      </c>
      <c r="G720" s="1157">
        <f t="shared" si="46"/>
        <v>0</v>
      </c>
      <c r="H720" s="1155">
        <f>+H718</f>
        <v>0.65</v>
      </c>
      <c r="I720" s="1157">
        <f t="shared" si="45"/>
        <v>0</v>
      </c>
      <c r="J720" s="655"/>
      <c r="K720" s="1195"/>
      <c r="L720" s="1195"/>
    </row>
    <row r="721" spans="2:12" x14ac:dyDescent="0.25">
      <c r="B721" s="1072"/>
      <c r="C721" s="20"/>
      <c r="D721" s="1153">
        <f t="shared" si="48"/>
        <v>0</v>
      </c>
      <c r="E721" s="1156">
        <f t="shared" si="47"/>
        <v>0</v>
      </c>
      <c r="F721" s="1156">
        <f t="shared" ref="F721:F722" si="54">+F645</f>
        <v>0</v>
      </c>
      <c r="G721" s="1157">
        <f t="shared" si="46"/>
        <v>0</v>
      </c>
      <c r="H721" s="1155">
        <f>+H720</f>
        <v>0.65</v>
      </c>
      <c r="I721" s="1157">
        <f t="shared" si="45"/>
        <v>0</v>
      </c>
      <c r="J721" s="655"/>
      <c r="K721" s="1195"/>
      <c r="L721" s="1195"/>
    </row>
    <row r="722" spans="2:12" x14ac:dyDescent="0.25">
      <c r="B722" s="1072"/>
      <c r="C722" s="20"/>
      <c r="D722" s="1153">
        <f t="shared" si="48"/>
        <v>0</v>
      </c>
      <c r="E722" s="1156">
        <f t="shared" si="47"/>
        <v>0</v>
      </c>
      <c r="F722" s="1156">
        <f t="shared" si="54"/>
        <v>0</v>
      </c>
      <c r="G722" s="1157">
        <f t="shared" si="46"/>
        <v>0</v>
      </c>
      <c r="H722" s="1155">
        <v>1.5</v>
      </c>
      <c r="I722" s="1157">
        <f t="shared" si="45"/>
        <v>0</v>
      </c>
      <c r="J722" s="655"/>
      <c r="K722" s="1195"/>
      <c r="L722" s="1195"/>
    </row>
    <row r="723" spans="2:12" x14ac:dyDescent="0.25">
      <c r="B723" s="1072"/>
      <c r="C723" s="20"/>
      <c r="D723" s="1153">
        <f t="shared" si="48"/>
        <v>0</v>
      </c>
      <c r="E723" s="1156">
        <f t="shared" si="47"/>
        <v>0</v>
      </c>
      <c r="F723" s="1156">
        <f t="shared" ref="F723" si="55">+F647</f>
        <v>0</v>
      </c>
      <c r="G723" s="1157">
        <f t="shared" si="46"/>
        <v>0</v>
      </c>
      <c r="H723" s="1155">
        <f>+H722</f>
        <v>1.5</v>
      </c>
      <c r="I723" s="1157">
        <f t="shared" si="45"/>
        <v>0</v>
      </c>
      <c r="J723" s="655"/>
      <c r="K723" s="1195"/>
      <c r="L723" s="1195"/>
    </row>
    <row r="724" spans="2:12" x14ac:dyDescent="0.25">
      <c r="B724" s="1072"/>
      <c r="C724" s="20"/>
      <c r="D724" s="1153">
        <f t="shared" si="48"/>
        <v>0</v>
      </c>
      <c r="E724" s="1156">
        <f t="shared" si="47"/>
        <v>0</v>
      </c>
      <c r="F724" s="1156">
        <f t="shared" ref="F724" si="56">+F648</f>
        <v>0</v>
      </c>
      <c r="G724" s="1157">
        <f t="shared" si="46"/>
        <v>0</v>
      </c>
      <c r="H724" s="1155">
        <f>+H719</f>
        <v>1.1000000000000001</v>
      </c>
      <c r="I724" s="1157">
        <f t="shared" si="45"/>
        <v>0</v>
      </c>
      <c r="J724" s="655"/>
      <c r="K724" s="1195"/>
      <c r="L724" s="1195"/>
    </row>
    <row r="725" spans="2:12" x14ac:dyDescent="0.25">
      <c r="B725" s="1072"/>
      <c r="C725" s="20"/>
      <c r="D725" s="1153">
        <f t="shared" si="48"/>
        <v>0</v>
      </c>
      <c r="E725" s="1156">
        <f t="shared" si="47"/>
        <v>0</v>
      </c>
      <c r="F725" s="1156">
        <f t="shared" ref="F725:F726" si="57">+F649</f>
        <v>0</v>
      </c>
      <c r="G725" s="1157">
        <f t="shared" si="46"/>
        <v>0</v>
      </c>
      <c r="H725" s="1155">
        <f>+H714</f>
        <v>0</v>
      </c>
      <c r="I725" s="1157">
        <f t="shared" si="45"/>
        <v>0</v>
      </c>
      <c r="J725" s="655"/>
      <c r="K725" s="1195"/>
      <c r="L725" s="1195"/>
    </row>
    <row r="726" spans="2:12" x14ac:dyDescent="0.25">
      <c r="B726" s="1072"/>
      <c r="C726" s="20"/>
      <c r="D726" s="1153">
        <f t="shared" si="48"/>
        <v>0</v>
      </c>
      <c r="E726" s="1156">
        <f t="shared" si="47"/>
        <v>0</v>
      </c>
      <c r="F726" s="1156">
        <f t="shared" si="57"/>
        <v>0</v>
      </c>
      <c r="G726" s="1157">
        <f t="shared" si="46"/>
        <v>0</v>
      </c>
      <c r="H726" s="1155">
        <f>+H725</f>
        <v>0</v>
      </c>
      <c r="I726" s="1157">
        <f t="shared" si="45"/>
        <v>0</v>
      </c>
      <c r="J726" s="655"/>
      <c r="K726" s="1195"/>
      <c r="L726" s="1195"/>
    </row>
    <row r="727" spans="2:12" x14ac:dyDescent="0.25">
      <c r="B727" s="1072"/>
      <c r="C727" s="20"/>
      <c r="D727" s="1153">
        <f t="shared" si="48"/>
        <v>0</v>
      </c>
      <c r="E727" s="1156">
        <f t="shared" si="47"/>
        <v>0</v>
      </c>
      <c r="F727" s="1156">
        <f t="shared" ref="F727" si="58">+F651</f>
        <v>0</v>
      </c>
      <c r="G727" s="1157">
        <f t="shared" si="46"/>
        <v>0</v>
      </c>
      <c r="H727" s="1155">
        <f>+H721</f>
        <v>0.65</v>
      </c>
      <c r="I727" s="1157">
        <f t="shared" si="45"/>
        <v>0</v>
      </c>
      <c r="J727" s="655"/>
      <c r="K727" s="1195"/>
      <c r="L727" s="1195"/>
    </row>
    <row r="728" spans="2:12" x14ac:dyDescent="0.25">
      <c r="B728" s="1072"/>
      <c r="C728" s="20"/>
      <c r="D728" s="1153">
        <f t="shared" si="48"/>
        <v>0</v>
      </c>
      <c r="E728" s="1156">
        <f t="shared" si="47"/>
        <v>0</v>
      </c>
      <c r="F728" s="1156">
        <f t="shared" ref="F728" si="59">+F652</f>
        <v>0</v>
      </c>
      <c r="G728" s="1157">
        <f t="shared" si="46"/>
        <v>0</v>
      </c>
      <c r="H728" s="1155">
        <f>+H704</f>
        <v>0</v>
      </c>
      <c r="I728" s="1157">
        <f t="shared" si="45"/>
        <v>0</v>
      </c>
      <c r="J728" s="655"/>
      <c r="K728" s="1195"/>
      <c r="L728" s="1195"/>
    </row>
    <row r="729" spans="2:12" x14ac:dyDescent="0.25">
      <c r="B729" s="1072"/>
      <c r="C729" s="20"/>
      <c r="D729" s="1153">
        <f t="shared" si="48"/>
        <v>0</v>
      </c>
      <c r="E729" s="1156">
        <f t="shared" si="47"/>
        <v>0</v>
      </c>
      <c r="F729" s="1156">
        <f t="shared" ref="F729:F730" si="60">+F653</f>
        <v>0</v>
      </c>
      <c r="G729" s="1157">
        <f t="shared" si="46"/>
        <v>0</v>
      </c>
      <c r="H729" s="1155">
        <f>+H709</f>
        <v>1.3</v>
      </c>
      <c r="I729" s="1157">
        <f t="shared" si="45"/>
        <v>0</v>
      </c>
      <c r="J729" s="655"/>
      <c r="K729" s="1195"/>
      <c r="L729" s="1195"/>
    </row>
    <row r="730" spans="2:12" x14ac:dyDescent="0.25">
      <c r="B730" s="1072"/>
      <c r="C730" s="20"/>
      <c r="D730" s="1153">
        <f t="shared" si="48"/>
        <v>0</v>
      </c>
      <c r="E730" s="1156">
        <f t="shared" si="47"/>
        <v>0</v>
      </c>
      <c r="F730" s="1156">
        <f t="shared" si="60"/>
        <v>0</v>
      </c>
      <c r="G730" s="1157">
        <f t="shared" si="46"/>
        <v>0</v>
      </c>
      <c r="H730" s="1155">
        <f>+H726</f>
        <v>0</v>
      </c>
      <c r="I730" s="1157">
        <f t="shared" si="45"/>
        <v>0</v>
      </c>
      <c r="J730" s="655"/>
      <c r="K730" s="1195"/>
      <c r="L730" s="1195"/>
    </row>
    <row r="731" spans="2:12" x14ac:dyDescent="0.25">
      <c r="B731" s="1072"/>
      <c r="C731" s="20"/>
      <c r="D731" s="1153">
        <f>+D655</f>
        <v>0</v>
      </c>
      <c r="E731" s="1156">
        <f t="shared" si="47"/>
        <v>0</v>
      </c>
      <c r="F731" s="1156">
        <f t="shared" ref="F731" si="61">+F655</f>
        <v>0</v>
      </c>
      <c r="G731" s="1157">
        <f t="shared" si="46"/>
        <v>0</v>
      </c>
      <c r="H731" s="1155">
        <v>0.85</v>
      </c>
      <c r="I731" s="1157">
        <f t="shared" si="45"/>
        <v>0</v>
      </c>
      <c r="J731" s="655"/>
      <c r="K731" s="1195"/>
      <c r="L731" s="1195"/>
    </row>
    <row r="732" spans="2:12" x14ac:dyDescent="0.25">
      <c r="B732" s="1072"/>
      <c r="C732" s="20"/>
      <c r="D732" s="1153">
        <f t="shared" si="48"/>
        <v>0</v>
      </c>
      <c r="E732" s="1156">
        <f t="shared" si="47"/>
        <v>0</v>
      </c>
      <c r="F732" s="1156">
        <f t="shared" ref="F732" si="62">+F656</f>
        <v>0</v>
      </c>
      <c r="G732" s="1157">
        <f t="shared" si="46"/>
        <v>0</v>
      </c>
      <c r="H732" s="1155">
        <f>+H724</f>
        <v>1.1000000000000001</v>
      </c>
      <c r="I732" s="1157">
        <f t="shared" si="45"/>
        <v>0</v>
      </c>
      <c r="J732" s="655"/>
      <c r="K732" s="1195"/>
      <c r="L732" s="1195"/>
    </row>
    <row r="733" spans="2:12" x14ac:dyDescent="0.25">
      <c r="B733" s="1072"/>
      <c r="C733" s="20"/>
      <c r="D733" s="1153">
        <f t="shared" si="48"/>
        <v>0</v>
      </c>
      <c r="E733" s="1156">
        <f t="shared" si="47"/>
        <v>0</v>
      </c>
      <c r="F733" s="1156">
        <f t="shared" ref="F733" si="63">+F657</f>
        <v>0</v>
      </c>
      <c r="G733" s="1157">
        <f t="shared" si="46"/>
        <v>0</v>
      </c>
      <c r="H733" s="1155">
        <f>+H730</f>
        <v>0</v>
      </c>
      <c r="I733" s="1157">
        <f t="shared" si="45"/>
        <v>0</v>
      </c>
      <c r="J733" s="655"/>
      <c r="K733" s="1195"/>
      <c r="L733" s="1195"/>
    </row>
    <row r="734" spans="2:12" x14ac:dyDescent="0.25">
      <c r="B734" s="1072"/>
      <c r="C734" s="20"/>
      <c r="D734" s="988"/>
      <c r="E734" s="623"/>
      <c r="F734" s="623"/>
      <c r="G734" s="623"/>
      <c r="H734" s="623"/>
      <c r="I734" s="731"/>
      <c r="J734" s="655"/>
      <c r="K734" s="1195"/>
      <c r="L734" s="1195"/>
    </row>
    <row r="735" spans="2:12" x14ac:dyDescent="0.25">
      <c r="B735" s="1072"/>
      <c r="C735" s="20"/>
      <c r="D735" s="718"/>
      <c r="E735" s="25"/>
      <c r="F735" s="22"/>
      <c r="G735" s="22"/>
      <c r="H735" s="22"/>
      <c r="I735" s="22"/>
      <c r="J735" s="655"/>
      <c r="K735" s="1195"/>
      <c r="L735" s="1195"/>
    </row>
    <row r="736" spans="2:12" ht="15" customHeight="1" x14ac:dyDescent="0.25">
      <c r="B736" s="1196" t="s">
        <v>973</v>
      </c>
      <c r="C736" s="1197"/>
      <c r="D736" s="1197"/>
      <c r="E736" s="1197"/>
      <c r="F736" s="1198"/>
      <c r="G736" s="22"/>
      <c r="H736" s="22"/>
      <c r="I736" s="22"/>
      <c r="J736" s="655"/>
      <c r="K736" s="1195"/>
      <c r="L736" s="1195"/>
    </row>
    <row r="737" spans="2:12" x14ac:dyDescent="0.25">
      <c r="B737" s="1199"/>
      <c r="C737" s="1200"/>
      <c r="D737" s="1200"/>
      <c r="E737" s="1200"/>
      <c r="F737" s="1201"/>
      <c r="G737" s="22"/>
      <c r="H737" s="22"/>
      <c r="I737" s="22"/>
      <c r="J737" s="655"/>
      <c r="K737" s="1195"/>
      <c r="L737" s="1195"/>
    </row>
    <row r="738" spans="2:12" s="15" customFormat="1" x14ac:dyDescent="0.25">
      <c r="B738" s="1202"/>
      <c r="C738" s="1203"/>
      <c r="D738" s="1203"/>
      <c r="E738" s="1203"/>
      <c r="F738" s="1204"/>
      <c r="G738" s="783" t="s">
        <v>80</v>
      </c>
      <c r="H738" s="783"/>
      <c r="I738" s="783"/>
      <c r="J738" s="792">
        <f>ROUND(SUM(J671:J737),0)</f>
        <v>271</v>
      </c>
      <c r="K738" s="1195"/>
      <c r="L738" s="1195"/>
    </row>
    <row r="741" spans="2:12" ht="15.75" x14ac:dyDescent="0.25">
      <c r="D741" s="626"/>
      <c r="E741" s="1209" t="s">
        <v>78</v>
      </c>
      <c r="F741" s="1210"/>
      <c r="G741" s="1210"/>
      <c r="H741" s="1211"/>
      <c r="I741" s="782" t="s">
        <v>79</v>
      </c>
      <c r="J741" s="54" t="str">
        <f>+P.Detall!F53</f>
        <v>ML</v>
      </c>
      <c r="K741" s="1205" t="s">
        <v>971</v>
      </c>
      <c r="L741" s="1206"/>
    </row>
    <row r="742" spans="2:12" x14ac:dyDescent="0.25">
      <c r="B742" s="629" t="s">
        <v>2</v>
      </c>
      <c r="C742" s="629" t="s">
        <v>2</v>
      </c>
      <c r="D742" s="629" t="s">
        <v>4</v>
      </c>
      <c r="E742" s="629" t="s">
        <v>782</v>
      </c>
      <c r="F742" s="629" t="s">
        <v>76</v>
      </c>
      <c r="G742" s="629" t="s">
        <v>77</v>
      </c>
      <c r="H742" s="703" t="s">
        <v>925</v>
      </c>
      <c r="I742" s="703"/>
      <c r="J742" s="790" t="s">
        <v>88</v>
      </c>
      <c r="K742" s="1207"/>
      <c r="L742" s="1208"/>
    </row>
    <row r="743" spans="2:12" ht="27" customHeight="1" x14ac:dyDescent="0.25">
      <c r="B743" s="47">
        <v>661.1</v>
      </c>
      <c r="C743" s="20" t="s">
        <v>9</v>
      </c>
      <c r="D743" s="742" t="str">
        <f>+P.Detall!E53</f>
        <v>TUBERÍA DE CONCRETO REFORZADO 900 MM DIÁMETRO INTERIOR (TIPO 1)</v>
      </c>
      <c r="E743" s="25"/>
      <c r="F743" s="22"/>
      <c r="G743" s="22"/>
      <c r="H743" s="22"/>
      <c r="I743" s="22"/>
      <c r="J743" s="655"/>
      <c r="K743" s="1195"/>
      <c r="L743" s="1195"/>
    </row>
    <row r="744" spans="2:12" x14ac:dyDescent="0.25">
      <c r="B744" s="20"/>
      <c r="C744" s="20"/>
      <c r="D744" s="32" t="s">
        <v>1082</v>
      </c>
      <c r="E744" s="25">
        <f>+E672</f>
        <v>5</v>
      </c>
      <c r="F744" s="22"/>
      <c r="G744" s="22"/>
      <c r="H744" s="22">
        <f>+E675</f>
        <v>7.5</v>
      </c>
      <c r="I744" s="22"/>
      <c r="J744" s="655">
        <f>+H744*E744</f>
        <v>37.5</v>
      </c>
      <c r="K744" s="1195"/>
      <c r="L744" s="1195"/>
    </row>
    <row r="745" spans="2:12" x14ac:dyDescent="0.25">
      <c r="B745" s="20"/>
      <c r="C745" s="20"/>
      <c r="D745" s="32" t="s">
        <v>1083</v>
      </c>
      <c r="E745" s="25">
        <f>+E673</f>
        <v>10</v>
      </c>
      <c r="F745" s="22"/>
      <c r="G745" s="22"/>
      <c r="H745" s="22">
        <f>+H744</f>
        <v>7.5</v>
      </c>
      <c r="I745" s="22"/>
      <c r="J745" s="655">
        <f>+H745*E745</f>
        <v>75</v>
      </c>
      <c r="K745" s="1195"/>
      <c r="L745" s="1195"/>
    </row>
    <row r="746" spans="2:12" x14ac:dyDescent="0.25">
      <c r="B746" s="20"/>
      <c r="C746" s="20"/>
      <c r="D746" s="32"/>
      <c r="E746" s="25"/>
      <c r="F746" s="22"/>
      <c r="G746" s="22"/>
      <c r="H746" s="22"/>
      <c r="I746" s="22"/>
      <c r="J746" s="655"/>
      <c r="K746" s="1195"/>
      <c r="L746" s="1195"/>
    </row>
    <row r="747" spans="2:12" x14ac:dyDescent="0.25">
      <c r="B747" s="20"/>
      <c r="C747" s="20"/>
      <c r="D747" s="32"/>
      <c r="E747" s="25"/>
      <c r="F747" s="22"/>
      <c r="G747" s="22"/>
      <c r="H747" s="22"/>
      <c r="I747" s="22"/>
      <c r="J747" s="655"/>
      <c r="K747" s="1195"/>
      <c r="L747" s="1195"/>
    </row>
    <row r="748" spans="2:12" x14ac:dyDescent="0.25">
      <c r="B748" s="20"/>
      <c r="C748" s="20"/>
      <c r="D748" s="32"/>
      <c r="E748" s="25"/>
      <c r="F748" s="22"/>
      <c r="G748" s="22"/>
      <c r="H748" s="22"/>
      <c r="I748" s="22"/>
      <c r="J748" s="655"/>
      <c r="K748" s="1195"/>
      <c r="L748" s="1195"/>
    </row>
    <row r="749" spans="2:12" x14ac:dyDescent="0.25">
      <c r="B749" s="20"/>
      <c r="C749" s="20"/>
      <c r="D749" s="32"/>
      <c r="E749" s="25"/>
      <c r="F749" s="22"/>
      <c r="G749" s="22"/>
      <c r="H749" s="22"/>
      <c r="I749" s="22"/>
      <c r="J749" s="655"/>
      <c r="K749" s="1195"/>
      <c r="L749" s="1195"/>
    </row>
    <row r="750" spans="2:12" x14ac:dyDescent="0.25">
      <c r="B750" s="20"/>
      <c r="C750" s="20"/>
      <c r="D750" s="32"/>
      <c r="E750" s="25"/>
      <c r="F750" s="22"/>
      <c r="G750" s="22"/>
      <c r="H750" s="22"/>
      <c r="I750" s="22"/>
      <c r="J750" s="655"/>
      <c r="K750" s="1195"/>
      <c r="L750" s="1195"/>
    </row>
    <row r="751" spans="2:12" ht="15" customHeight="1" x14ac:dyDescent="0.25">
      <c r="B751" s="1196" t="s">
        <v>973</v>
      </c>
      <c r="C751" s="1197"/>
      <c r="D751" s="1197"/>
      <c r="E751" s="1197"/>
      <c r="F751" s="1198"/>
      <c r="G751" s="22"/>
      <c r="H751" s="22"/>
      <c r="I751" s="22"/>
      <c r="J751" s="655"/>
      <c r="K751" s="1195"/>
      <c r="L751" s="1195"/>
    </row>
    <row r="752" spans="2:12" x14ac:dyDescent="0.25">
      <c r="B752" s="1199"/>
      <c r="C752" s="1200"/>
      <c r="D752" s="1200"/>
      <c r="E752" s="1200"/>
      <c r="F752" s="1201"/>
      <c r="G752" s="22"/>
      <c r="H752" s="22"/>
      <c r="I752" s="22"/>
      <c r="J752" s="655"/>
      <c r="K752" s="1195"/>
      <c r="L752" s="1195"/>
    </row>
    <row r="753" spans="2:12" s="15" customFormat="1" x14ac:dyDescent="0.25">
      <c r="B753" s="1202"/>
      <c r="C753" s="1203"/>
      <c r="D753" s="1203"/>
      <c r="E753" s="1203"/>
      <c r="F753" s="1204"/>
      <c r="G753" s="783" t="s">
        <v>80</v>
      </c>
      <c r="H753" s="783"/>
      <c r="I753" s="783"/>
      <c r="J753" s="792">
        <f>ROUND(SUM(J743:J752),0)</f>
        <v>113</v>
      </c>
      <c r="K753" s="1195"/>
      <c r="L753" s="1195"/>
    </row>
    <row r="754" spans="2:12" s="15" customFormat="1" x14ac:dyDescent="0.25">
      <c r="B754" s="16"/>
      <c r="C754" s="16"/>
      <c r="D754" s="19"/>
      <c r="E754" s="26"/>
      <c r="F754" s="18"/>
      <c r="G754" s="55"/>
      <c r="H754" s="55"/>
      <c r="I754" s="55"/>
      <c r="J754" s="549"/>
    </row>
    <row r="755" spans="2:12" x14ac:dyDescent="0.25">
      <c r="D755" s="67" t="s">
        <v>119</v>
      </c>
    </row>
    <row r="757" spans="2:12" ht="15.75" x14ac:dyDescent="0.25">
      <c r="D757" s="626"/>
      <c r="E757" s="1209" t="s">
        <v>78</v>
      </c>
      <c r="F757" s="1210"/>
      <c r="G757" s="1210"/>
      <c r="H757" s="1211"/>
      <c r="I757" s="782" t="s">
        <v>79</v>
      </c>
      <c r="J757" s="54" t="str">
        <f>+P.Detall!F56</f>
        <v>M3</v>
      </c>
      <c r="K757" s="1205" t="s">
        <v>971</v>
      </c>
      <c r="L757" s="1206"/>
    </row>
    <row r="758" spans="2:12" x14ac:dyDescent="0.25">
      <c r="B758" s="629" t="s">
        <v>2</v>
      </c>
      <c r="C758" s="629" t="s">
        <v>2</v>
      </c>
      <c r="D758" s="629" t="s">
        <v>4</v>
      </c>
      <c r="E758" s="629" t="s">
        <v>75</v>
      </c>
      <c r="F758" s="715" t="s">
        <v>76</v>
      </c>
      <c r="G758" s="715" t="s">
        <v>940</v>
      </c>
      <c r="H758" s="715" t="s">
        <v>955</v>
      </c>
      <c r="I758" s="715" t="s">
        <v>941</v>
      </c>
      <c r="J758" s="790" t="s">
        <v>88</v>
      </c>
      <c r="K758" s="1207"/>
      <c r="L758" s="1208"/>
    </row>
    <row r="759" spans="2:12" x14ac:dyDescent="0.25">
      <c r="B759" s="47">
        <v>660.1</v>
      </c>
      <c r="C759" s="20" t="s">
        <v>9</v>
      </c>
      <c r="D759" s="742" t="str">
        <f>+P.Detall!E56</f>
        <v>CUNETA DE CONCRETO FUNDIDA EN EL LUGAR</v>
      </c>
      <c r="E759" s="25"/>
      <c r="F759" s="22"/>
      <c r="G759" s="22"/>
      <c r="H759" s="22"/>
      <c r="I759" s="22"/>
      <c r="J759" s="655"/>
      <c r="K759" s="1195"/>
      <c r="L759" s="1195"/>
    </row>
    <row r="760" spans="2:12" x14ac:dyDescent="0.25">
      <c r="B760" s="20"/>
      <c r="C760" s="20"/>
      <c r="D760" s="32"/>
      <c r="E760" s="25">
        <f>E592</f>
        <v>220</v>
      </c>
      <c r="F760" s="22">
        <v>0.15</v>
      </c>
      <c r="G760" s="22">
        <v>0.7</v>
      </c>
      <c r="H760" s="22">
        <f>+F760*G760</f>
        <v>0.105</v>
      </c>
      <c r="I760" s="22">
        <v>2</v>
      </c>
      <c r="J760" s="654">
        <f>+H760*E760*I760</f>
        <v>46.199999999999996</v>
      </c>
      <c r="K760" s="1195"/>
      <c r="L760" s="1195"/>
    </row>
    <row r="761" spans="2:12" x14ac:dyDescent="0.25">
      <c r="B761" s="20"/>
      <c r="C761" s="20"/>
      <c r="D761" s="32"/>
      <c r="E761" s="25"/>
      <c r="F761" s="22"/>
      <c r="G761" s="22"/>
      <c r="H761" s="655"/>
      <c r="I761" s="655"/>
      <c r="J761" s="654"/>
      <c r="K761" s="1195"/>
      <c r="L761" s="1195"/>
    </row>
    <row r="762" spans="2:12" x14ac:dyDescent="0.25">
      <c r="B762" s="20"/>
      <c r="C762" s="20"/>
      <c r="D762" s="32"/>
      <c r="E762" s="25"/>
      <c r="F762" s="22"/>
      <c r="G762" s="22"/>
      <c r="H762" s="655"/>
      <c r="I762" s="655"/>
      <c r="J762" s="654"/>
      <c r="K762" s="1195"/>
      <c r="L762" s="1195"/>
    </row>
    <row r="763" spans="2:12" x14ac:dyDescent="0.25">
      <c r="B763" s="20"/>
      <c r="C763" s="20"/>
      <c r="D763" s="32"/>
      <c r="E763" s="25"/>
      <c r="F763" s="22"/>
      <c r="G763" s="22"/>
      <c r="H763" s="655"/>
      <c r="I763" s="655"/>
      <c r="J763" s="654"/>
      <c r="K763" s="1195"/>
      <c r="L763" s="1195"/>
    </row>
    <row r="764" spans="2:12" x14ac:dyDescent="0.25">
      <c r="B764" s="20"/>
      <c r="C764" s="20"/>
      <c r="D764" s="32"/>
      <c r="E764" s="25"/>
      <c r="F764" s="22"/>
      <c r="G764" s="22"/>
      <c r="H764" s="655"/>
      <c r="I764" s="655"/>
      <c r="J764" s="654"/>
      <c r="K764" s="1195"/>
      <c r="L764" s="1195"/>
    </row>
    <row r="765" spans="2:12" x14ac:dyDescent="0.25">
      <c r="B765" s="20"/>
      <c r="C765" s="20"/>
      <c r="D765" s="32"/>
      <c r="E765" s="25"/>
      <c r="F765" s="22"/>
      <c r="G765" s="22"/>
      <c r="H765" s="655"/>
      <c r="I765" s="655"/>
      <c r="J765" s="654"/>
      <c r="K765" s="1195"/>
      <c r="L765" s="1195"/>
    </row>
    <row r="766" spans="2:12" x14ac:dyDescent="0.25">
      <c r="B766" s="20"/>
      <c r="C766" s="20"/>
      <c r="D766" s="32"/>
      <c r="E766" s="25"/>
      <c r="F766" s="22"/>
      <c r="G766" s="22"/>
      <c r="H766" s="655"/>
      <c r="I766" s="655"/>
      <c r="J766" s="654"/>
      <c r="K766" s="1195"/>
      <c r="L766" s="1195"/>
    </row>
    <row r="767" spans="2:12" ht="15" customHeight="1" x14ac:dyDescent="0.25">
      <c r="B767" s="1196" t="s">
        <v>973</v>
      </c>
      <c r="C767" s="1197"/>
      <c r="D767" s="1197"/>
      <c r="E767" s="1197"/>
      <c r="F767" s="1198"/>
      <c r="G767" s="22"/>
      <c r="H767" s="655"/>
      <c r="I767" s="655"/>
      <c r="J767" s="655"/>
      <c r="K767" s="1195"/>
      <c r="L767" s="1195"/>
    </row>
    <row r="768" spans="2:12" x14ac:dyDescent="0.25">
      <c r="B768" s="1199"/>
      <c r="C768" s="1200"/>
      <c r="D768" s="1200"/>
      <c r="E768" s="1200"/>
      <c r="F768" s="1201"/>
      <c r="G768" s="22"/>
      <c r="H768" s="655"/>
      <c r="I768" s="655"/>
      <c r="J768" s="655"/>
      <c r="K768" s="1195"/>
      <c r="L768" s="1195"/>
    </row>
    <row r="769" spans="2:12" s="15" customFormat="1" x14ac:dyDescent="0.25">
      <c r="B769" s="1202"/>
      <c r="C769" s="1203"/>
      <c r="D769" s="1203"/>
      <c r="E769" s="1203"/>
      <c r="F769" s="1204"/>
      <c r="G769" s="783" t="s">
        <v>80</v>
      </c>
      <c r="H769" s="783"/>
      <c r="I769" s="783"/>
      <c r="J769" s="792">
        <f>ROUND(SUM(J759:J768),0)</f>
        <v>46</v>
      </c>
      <c r="K769" s="1195"/>
      <c r="L769" s="1195"/>
    </row>
    <row r="771" spans="2:12" s="15" customFormat="1" ht="15.75" x14ac:dyDescent="0.25">
      <c r="B771" s="632"/>
      <c r="C771" s="632"/>
      <c r="D771" s="27"/>
      <c r="E771" s="27"/>
      <c r="F771" s="27"/>
      <c r="H771" s="24"/>
      <c r="I771" s="24"/>
    </row>
    <row r="772" spans="2:12" ht="15.75" x14ac:dyDescent="0.25">
      <c r="D772" s="626"/>
      <c r="E772" s="1209" t="s">
        <v>78</v>
      </c>
      <c r="F772" s="1210"/>
      <c r="G772" s="1210"/>
      <c r="H772" s="1211"/>
      <c r="I772" s="782" t="s">
        <v>79</v>
      </c>
      <c r="J772" s="54" t="str">
        <f>+P.Detall!F57</f>
        <v>M3</v>
      </c>
      <c r="K772" s="1205" t="s">
        <v>971</v>
      </c>
      <c r="L772" s="1206"/>
    </row>
    <row r="773" spans="2:12" ht="27" customHeight="1" x14ac:dyDescent="0.25">
      <c r="B773" s="629" t="s">
        <v>2</v>
      </c>
      <c r="C773" s="629" t="s">
        <v>2</v>
      </c>
      <c r="D773" s="629" t="s">
        <v>4</v>
      </c>
      <c r="E773" s="629" t="s">
        <v>75</v>
      </c>
      <c r="F773" s="715" t="s">
        <v>76</v>
      </c>
      <c r="G773" s="715" t="s">
        <v>940</v>
      </c>
      <c r="H773" s="715" t="s">
        <v>939</v>
      </c>
      <c r="I773" s="715" t="s">
        <v>941</v>
      </c>
      <c r="J773" s="790" t="s">
        <v>88</v>
      </c>
      <c r="K773" s="1207"/>
      <c r="L773" s="1208"/>
    </row>
    <row r="774" spans="2:12" x14ac:dyDescent="0.25">
      <c r="B774" s="47">
        <v>672.1</v>
      </c>
      <c r="C774" s="20" t="s">
        <v>9</v>
      </c>
      <c r="D774" s="742" t="str">
        <f>+P.Detall!E57</f>
        <v>BORDILLOS DE CONCRETO</v>
      </c>
      <c r="E774" s="25"/>
      <c r="F774" s="22"/>
      <c r="G774" s="22"/>
      <c r="H774" s="22"/>
      <c r="I774" s="22"/>
      <c r="J774" s="655"/>
      <c r="K774" s="1195"/>
      <c r="L774" s="1195"/>
    </row>
    <row r="775" spans="2:12" x14ac:dyDescent="0.25">
      <c r="B775" s="20"/>
      <c r="C775" s="20"/>
      <c r="D775" s="32"/>
      <c r="E775" s="25">
        <f>+E760</f>
        <v>220</v>
      </c>
      <c r="F775" s="22">
        <v>0.15</v>
      </c>
      <c r="G775" s="22">
        <v>0.15</v>
      </c>
      <c r="H775" s="656">
        <v>0.03</v>
      </c>
      <c r="I775" s="22">
        <v>2</v>
      </c>
      <c r="J775" s="654">
        <f>+H775*E775*I775</f>
        <v>13.2</v>
      </c>
      <c r="K775" s="1195"/>
      <c r="L775" s="1195"/>
    </row>
    <row r="776" spans="2:12" x14ac:dyDescent="0.25">
      <c r="B776" s="20"/>
      <c r="C776" s="20"/>
      <c r="D776" s="32"/>
      <c r="E776" s="25"/>
      <c r="F776" s="22"/>
      <c r="G776" s="22"/>
      <c r="H776" s="656"/>
      <c r="I776" s="22"/>
      <c r="J776" s="654"/>
      <c r="K776" s="1195"/>
      <c r="L776" s="1195"/>
    </row>
    <row r="777" spans="2:12" x14ac:dyDescent="0.25">
      <c r="B777" s="20"/>
      <c r="C777" s="20"/>
      <c r="D777" s="32"/>
      <c r="E777" s="25"/>
      <c r="F777" s="22"/>
      <c r="G777" s="22"/>
      <c r="H777" s="656"/>
      <c r="I777" s="22"/>
      <c r="J777" s="654"/>
      <c r="K777" s="1195"/>
      <c r="L777" s="1195"/>
    </row>
    <row r="778" spans="2:12" x14ac:dyDescent="0.25">
      <c r="B778" s="20"/>
      <c r="C778" s="20"/>
      <c r="D778" s="32"/>
      <c r="E778" s="25"/>
      <c r="F778" s="22"/>
      <c r="G778" s="22"/>
      <c r="H778" s="656"/>
      <c r="I778" s="22"/>
      <c r="J778" s="654"/>
      <c r="K778" s="1195"/>
      <c r="L778" s="1195"/>
    </row>
    <row r="779" spans="2:12" x14ac:dyDescent="0.25">
      <c r="B779" s="20"/>
      <c r="C779" s="20"/>
      <c r="D779" s="32"/>
      <c r="E779" s="25"/>
      <c r="F779" s="22"/>
      <c r="G779" s="22"/>
      <c r="H779" s="656"/>
      <c r="I779" s="22"/>
      <c r="J779" s="654"/>
      <c r="K779" s="1195"/>
      <c r="L779" s="1195"/>
    </row>
    <row r="780" spans="2:12" x14ac:dyDescent="0.25">
      <c r="B780" s="20"/>
      <c r="C780" s="20"/>
      <c r="D780" s="32"/>
      <c r="E780" s="25"/>
      <c r="F780" s="22"/>
      <c r="G780" s="22"/>
      <c r="H780" s="656"/>
      <c r="I780" s="22"/>
      <c r="J780" s="654"/>
      <c r="K780" s="1195"/>
      <c r="L780" s="1195"/>
    </row>
    <row r="781" spans="2:12" x14ac:dyDescent="0.25">
      <c r="B781" s="20"/>
      <c r="C781" s="20"/>
      <c r="D781" s="32"/>
      <c r="E781" s="25"/>
      <c r="F781" s="22"/>
      <c r="G781" s="22"/>
      <c r="H781" s="656"/>
      <c r="I781" s="22"/>
      <c r="J781" s="654"/>
      <c r="K781" s="1195"/>
      <c r="L781" s="1195"/>
    </row>
    <row r="782" spans="2:12" x14ac:dyDescent="0.25">
      <c r="B782" s="20"/>
      <c r="C782" s="20"/>
      <c r="D782" s="32"/>
      <c r="E782" s="25"/>
      <c r="F782" s="22"/>
      <c r="G782" s="22"/>
      <c r="H782" s="656"/>
      <c r="I782" s="22"/>
      <c r="J782" s="654"/>
      <c r="K782" s="1195"/>
      <c r="L782" s="1195"/>
    </row>
    <row r="783" spans="2:12" x14ac:dyDescent="0.25">
      <c r="B783" s="20"/>
      <c r="C783" s="20"/>
      <c r="D783" s="32"/>
      <c r="E783" s="25"/>
      <c r="F783" s="22"/>
      <c r="G783" s="22"/>
      <c r="H783" s="656"/>
      <c r="I783" s="22"/>
      <c r="J783" s="654"/>
      <c r="K783" s="1195"/>
      <c r="L783" s="1195"/>
    </row>
    <row r="784" spans="2:12" x14ac:dyDescent="0.25">
      <c r="B784" s="20"/>
      <c r="C784" s="20"/>
      <c r="D784" s="32"/>
      <c r="E784" s="25"/>
      <c r="F784" s="22"/>
      <c r="G784" s="22"/>
      <c r="H784" s="656"/>
      <c r="I784" s="22"/>
      <c r="J784" s="654"/>
      <c r="K784" s="1195"/>
      <c r="L784" s="1195"/>
    </row>
    <row r="785" spans="2:12" x14ac:dyDescent="0.25">
      <c r="B785" s="20"/>
      <c r="C785" s="20"/>
      <c r="D785" s="32"/>
      <c r="E785" s="25"/>
      <c r="F785" s="22"/>
      <c r="G785" s="22"/>
      <c r="H785" s="22"/>
      <c r="I785" s="22"/>
      <c r="J785" s="655"/>
      <c r="K785" s="1195"/>
      <c r="L785" s="1195"/>
    </row>
    <row r="786" spans="2:12" ht="15" customHeight="1" x14ac:dyDescent="0.25">
      <c r="B786" s="1196" t="s">
        <v>973</v>
      </c>
      <c r="C786" s="1197"/>
      <c r="D786" s="1197"/>
      <c r="E786" s="1197"/>
      <c r="F786" s="1198"/>
      <c r="G786" s="22"/>
      <c r="H786" s="22"/>
      <c r="I786" s="22"/>
      <c r="J786" s="655"/>
      <c r="K786" s="1195"/>
      <c r="L786" s="1195"/>
    </row>
    <row r="787" spans="2:12" x14ac:dyDescent="0.25">
      <c r="B787" s="1199"/>
      <c r="C787" s="1200"/>
      <c r="D787" s="1200"/>
      <c r="E787" s="1200"/>
      <c r="F787" s="1201"/>
      <c r="G787" s="22"/>
      <c r="H787" s="22"/>
      <c r="I787" s="22"/>
      <c r="J787" s="655"/>
      <c r="K787" s="1195"/>
      <c r="L787" s="1195"/>
    </row>
    <row r="788" spans="2:12" s="15" customFormat="1" x14ac:dyDescent="0.25">
      <c r="B788" s="1202"/>
      <c r="C788" s="1203"/>
      <c r="D788" s="1203"/>
      <c r="E788" s="1203"/>
      <c r="F788" s="1204"/>
      <c r="G788" s="783" t="s">
        <v>80</v>
      </c>
      <c r="H788" s="783"/>
      <c r="I788" s="783"/>
      <c r="J788" s="792">
        <f>ROUND(SUM(J774:J787),0)</f>
        <v>13</v>
      </c>
      <c r="K788" s="1195"/>
      <c r="L788" s="1195"/>
    </row>
    <row r="791" spans="2:12" x14ac:dyDescent="0.25">
      <c r="D791" s="67" t="s">
        <v>120</v>
      </c>
    </row>
    <row r="792" spans="2:12" s="15" customFormat="1" ht="15.75" x14ac:dyDescent="0.25">
      <c r="B792" s="632"/>
      <c r="C792" s="632"/>
      <c r="D792" s="27"/>
      <c r="E792" s="27"/>
      <c r="F792" s="27"/>
      <c r="H792" s="24"/>
      <c r="I792" s="24"/>
    </row>
    <row r="793" spans="2:12" ht="15.75" x14ac:dyDescent="0.25">
      <c r="D793" s="626"/>
      <c r="E793" s="1209" t="s">
        <v>78</v>
      </c>
      <c r="F793" s="1210"/>
      <c r="G793" s="1210"/>
      <c r="H793" s="1211"/>
      <c r="I793" s="782" t="s">
        <v>79</v>
      </c>
      <c r="J793" s="54" t="str">
        <f>+P.Detall!F60</f>
        <v>M2</v>
      </c>
      <c r="K793" s="1205" t="s">
        <v>971</v>
      </c>
      <c r="L793" s="1206"/>
    </row>
    <row r="794" spans="2:12" x14ac:dyDescent="0.25">
      <c r="B794" s="629" t="s">
        <v>2</v>
      </c>
      <c r="C794" s="629" t="s">
        <v>2</v>
      </c>
      <c r="D794" s="629" t="s">
        <v>4</v>
      </c>
      <c r="E794" s="629" t="s">
        <v>75</v>
      </c>
      <c r="F794" s="629" t="s">
        <v>76</v>
      </c>
      <c r="G794" s="629" t="s">
        <v>122</v>
      </c>
      <c r="H794" s="703"/>
      <c r="I794" s="703"/>
      <c r="J794" s="790" t="s">
        <v>88</v>
      </c>
      <c r="K794" s="1207"/>
      <c r="L794" s="1208"/>
    </row>
    <row r="795" spans="2:12" x14ac:dyDescent="0.25">
      <c r="B795" s="47">
        <v>673.1</v>
      </c>
      <c r="C795" s="20" t="s">
        <v>9</v>
      </c>
      <c r="D795" s="742" t="str">
        <f>+P.Detall!E60</f>
        <v xml:space="preserve">GEOTEXTIL </v>
      </c>
      <c r="E795" s="25"/>
      <c r="F795" s="22"/>
      <c r="G795" s="22"/>
      <c r="H795" s="22"/>
      <c r="I795" s="22"/>
      <c r="J795" s="655"/>
      <c r="K795" s="1195"/>
      <c r="L795" s="1195"/>
    </row>
    <row r="796" spans="2:12" x14ac:dyDescent="0.25">
      <c r="B796" s="20"/>
      <c r="C796" s="20"/>
      <c r="D796" s="32" t="s">
        <v>944</v>
      </c>
      <c r="E796" s="25">
        <f>+E775</f>
        <v>220</v>
      </c>
      <c r="F796" s="22">
        <f>+(F16/2)</f>
        <v>2.5</v>
      </c>
      <c r="G796" s="22"/>
      <c r="H796" s="22"/>
      <c r="I796" s="22"/>
      <c r="J796" s="654">
        <f>+F796*E796</f>
        <v>550</v>
      </c>
      <c r="K796" s="1195"/>
      <c r="L796" s="1195"/>
    </row>
    <row r="797" spans="2:12" ht="30" x14ac:dyDescent="0.25">
      <c r="B797" s="20"/>
      <c r="C797" s="20"/>
      <c r="D797" s="32" t="s">
        <v>942</v>
      </c>
      <c r="E797" s="734" t="s">
        <v>914</v>
      </c>
      <c r="F797" s="734" t="s">
        <v>915</v>
      </c>
      <c r="G797" s="735" t="s">
        <v>943</v>
      </c>
      <c r="H797" s="716" t="s">
        <v>916</v>
      </c>
      <c r="I797" s="22"/>
      <c r="J797" s="655">
        <f>+H849</f>
        <v>215.3</v>
      </c>
      <c r="K797" s="1195"/>
      <c r="L797" s="1195"/>
    </row>
    <row r="798" spans="2:12" x14ac:dyDescent="0.25">
      <c r="B798" s="20"/>
      <c r="C798" s="20"/>
      <c r="D798" s="988" t="str">
        <f>+D685</f>
        <v>estructural 1</v>
      </c>
      <c r="E798" s="25">
        <f>+E685</f>
        <v>1</v>
      </c>
      <c r="F798" s="22">
        <f>+F685</f>
        <v>10</v>
      </c>
      <c r="G798" s="22">
        <f>+I441</f>
        <v>4</v>
      </c>
      <c r="H798" s="22">
        <f>+E798*F798*G798</f>
        <v>40</v>
      </c>
      <c r="I798" s="22"/>
      <c r="J798" s="655"/>
      <c r="K798" s="1195"/>
      <c r="L798" s="1195"/>
    </row>
    <row r="799" spans="2:12" x14ac:dyDescent="0.25">
      <c r="B799" s="20"/>
      <c r="C799" s="20"/>
      <c r="D799" s="988" t="str">
        <f t="shared" ref="D799:E799" si="64">+D686</f>
        <v>estructural 2</v>
      </c>
      <c r="E799" s="25">
        <f t="shared" si="64"/>
        <v>1</v>
      </c>
      <c r="F799" s="22">
        <f t="shared" ref="F799" si="65">+F686</f>
        <v>9</v>
      </c>
      <c r="G799" s="22">
        <f>+I442</f>
        <v>8</v>
      </c>
      <c r="H799" s="22">
        <f t="shared" ref="H799:H847" si="66">+E799*F799*G799</f>
        <v>72</v>
      </c>
      <c r="I799" s="22"/>
      <c r="J799" s="655"/>
      <c r="K799" s="1195"/>
      <c r="L799" s="1195"/>
    </row>
    <row r="800" spans="2:12" x14ac:dyDescent="0.25">
      <c r="B800" s="20"/>
      <c r="C800" s="20"/>
      <c r="D800" s="988" t="str">
        <f>+D589</f>
        <v>gavion 1</v>
      </c>
      <c r="E800" s="25">
        <v>1</v>
      </c>
      <c r="F800" s="25">
        <f>+E589</f>
        <v>18</v>
      </c>
      <c r="G800" s="25">
        <f>+F589</f>
        <v>1.85</v>
      </c>
      <c r="H800" s="22">
        <f t="shared" si="66"/>
        <v>33.300000000000004</v>
      </c>
      <c r="I800" s="22"/>
      <c r="J800" s="655"/>
      <c r="K800" s="1195"/>
      <c r="L800" s="1195"/>
    </row>
    <row r="801" spans="2:12" x14ac:dyDescent="0.25">
      <c r="B801" s="20"/>
      <c r="C801" s="20"/>
      <c r="D801" s="988" t="str">
        <f t="shared" ref="D801:D802" si="67">+D590</f>
        <v>gavion 2</v>
      </c>
      <c r="E801" s="25">
        <v>1</v>
      </c>
      <c r="F801" s="25">
        <f t="shared" ref="F801:G802" si="68">+E590</f>
        <v>12</v>
      </c>
      <c r="G801" s="25">
        <f t="shared" si="68"/>
        <v>1.85</v>
      </c>
      <c r="H801" s="22">
        <f t="shared" si="66"/>
        <v>22.200000000000003</v>
      </c>
      <c r="I801" s="22"/>
      <c r="J801" s="655"/>
      <c r="K801" s="1195"/>
      <c r="L801" s="1195"/>
    </row>
    <row r="802" spans="2:12" x14ac:dyDescent="0.25">
      <c r="B802" s="20"/>
      <c r="C802" s="20"/>
      <c r="D802" s="988" t="str">
        <f t="shared" si="67"/>
        <v>gavion 3</v>
      </c>
      <c r="E802" s="25">
        <v>1</v>
      </c>
      <c r="F802" s="25">
        <f t="shared" si="68"/>
        <v>18</v>
      </c>
      <c r="G802" s="25">
        <f t="shared" si="68"/>
        <v>1.85</v>
      </c>
      <c r="H802" s="22">
        <f t="shared" si="66"/>
        <v>33.300000000000004</v>
      </c>
      <c r="I802" s="22"/>
      <c r="J802" s="655"/>
      <c r="K802" s="1195"/>
      <c r="L802" s="1195"/>
    </row>
    <row r="803" spans="2:12" x14ac:dyDescent="0.25">
      <c r="B803" s="20"/>
      <c r="C803" s="20"/>
      <c r="D803" s="988" t="str">
        <f t="shared" ref="D803:F804" si="69">+D689</f>
        <v>Box Coulvert:</v>
      </c>
      <c r="E803" s="25">
        <f t="shared" si="69"/>
        <v>1</v>
      </c>
      <c r="F803" s="22">
        <f t="shared" si="69"/>
        <v>6</v>
      </c>
      <c r="G803" s="22">
        <v>2</v>
      </c>
      <c r="H803" s="22">
        <f t="shared" si="66"/>
        <v>12</v>
      </c>
      <c r="I803" s="22"/>
      <c r="J803" s="655"/>
      <c r="K803" s="1195"/>
      <c r="L803" s="1195"/>
    </row>
    <row r="804" spans="2:12" x14ac:dyDescent="0.25">
      <c r="B804" s="20"/>
      <c r="C804" s="20"/>
      <c r="D804" s="988" t="str">
        <f t="shared" si="69"/>
        <v>Box Coulvert2:</v>
      </c>
      <c r="E804" s="25">
        <f t="shared" si="69"/>
        <v>1</v>
      </c>
      <c r="F804" s="22">
        <f t="shared" si="69"/>
        <v>2.5</v>
      </c>
      <c r="G804" s="22">
        <v>1</v>
      </c>
      <c r="H804" s="22">
        <f t="shared" si="66"/>
        <v>2.5</v>
      </c>
      <c r="I804" s="22"/>
      <c r="J804" s="655"/>
      <c r="K804" s="1195"/>
      <c r="L804" s="1195"/>
    </row>
    <row r="805" spans="2:12" x14ac:dyDescent="0.25">
      <c r="B805" s="20"/>
      <c r="C805" s="20"/>
      <c r="D805" s="988"/>
      <c r="E805" s="25"/>
      <c r="F805" s="22"/>
      <c r="G805" s="22"/>
      <c r="H805" s="22"/>
      <c r="I805" s="22"/>
      <c r="J805" s="655"/>
      <c r="K805" s="1195"/>
      <c r="L805" s="1195"/>
    </row>
    <row r="806" spans="2:12" x14ac:dyDescent="0.25">
      <c r="B806" s="20"/>
      <c r="C806" s="20"/>
      <c r="D806" s="1153">
        <f t="shared" ref="D806:F825" si="70">+D692</f>
        <v>0</v>
      </c>
      <c r="E806" s="1154">
        <f t="shared" si="70"/>
        <v>0</v>
      </c>
      <c r="F806" s="1155">
        <f t="shared" si="70"/>
        <v>0</v>
      </c>
      <c r="G806" s="1155">
        <f t="shared" ref="G806:G847" si="71">+I448</f>
        <v>0</v>
      </c>
      <c r="H806" s="1155">
        <f t="shared" si="66"/>
        <v>0</v>
      </c>
      <c r="I806" s="22"/>
      <c r="J806" s="655"/>
      <c r="K806" s="1195"/>
      <c r="L806" s="1195"/>
    </row>
    <row r="807" spans="2:12" x14ac:dyDescent="0.25">
      <c r="B807" s="20"/>
      <c r="C807" s="20"/>
      <c r="D807" s="1153">
        <f t="shared" si="70"/>
        <v>0</v>
      </c>
      <c r="E807" s="1154">
        <f t="shared" si="70"/>
        <v>0</v>
      </c>
      <c r="F807" s="1155">
        <f t="shared" si="70"/>
        <v>0</v>
      </c>
      <c r="G807" s="1155">
        <f t="shared" si="71"/>
        <v>0</v>
      </c>
      <c r="H807" s="1155">
        <f t="shared" si="66"/>
        <v>0</v>
      </c>
      <c r="I807" s="22"/>
      <c r="J807" s="655"/>
      <c r="K807" s="1195"/>
      <c r="L807" s="1195"/>
    </row>
    <row r="808" spans="2:12" x14ac:dyDescent="0.25">
      <c r="B808" s="20"/>
      <c r="C808" s="20"/>
      <c r="D808" s="1153">
        <f t="shared" si="70"/>
        <v>0</v>
      </c>
      <c r="E808" s="1154">
        <f t="shared" si="70"/>
        <v>0</v>
      </c>
      <c r="F808" s="1155">
        <f t="shared" si="70"/>
        <v>0</v>
      </c>
      <c r="G808" s="1155">
        <f t="shared" si="71"/>
        <v>0</v>
      </c>
      <c r="H808" s="1155">
        <f t="shared" si="66"/>
        <v>0</v>
      </c>
      <c r="I808" s="22"/>
      <c r="J808" s="655"/>
      <c r="K808" s="1195"/>
      <c r="L808" s="1195"/>
    </row>
    <row r="809" spans="2:12" x14ac:dyDescent="0.25">
      <c r="B809" s="20"/>
      <c r="C809" s="20"/>
      <c r="D809" s="1153">
        <f t="shared" si="70"/>
        <v>0</v>
      </c>
      <c r="E809" s="1154">
        <f t="shared" si="70"/>
        <v>0</v>
      </c>
      <c r="F809" s="1155">
        <f t="shared" si="70"/>
        <v>0</v>
      </c>
      <c r="G809" s="1155">
        <f t="shared" si="71"/>
        <v>0</v>
      </c>
      <c r="H809" s="1155">
        <f t="shared" si="66"/>
        <v>0</v>
      </c>
      <c r="I809" s="22"/>
      <c r="J809" s="655"/>
      <c r="K809" s="1195"/>
      <c r="L809" s="1195"/>
    </row>
    <row r="810" spans="2:12" x14ac:dyDescent="0.25">
      <c r="B810" s="20"/>
      <c r="C810" s="20"/>
      <c r="D810" s="1153">
        <f t="shared" si="70"/>
        <v>0</v>
      </c>
      <c r="E810" s="1154">
        <f t="shared" si="70"/>
        <v>0</v>
      </c>
      <c r="F810" s="1155">
        <f t="shared" si="70"/>
        <v>0</v>
      </c>
      <c r="G810" s="1155">
        <f t="shared" si="71"/>
        <v>0</v>
      </c>
      <c r="H810" s="1155">
        <f t="shared" si="66"/>
        <v>0</v>
      </c>
      <c r="I810" s="22"/>
      <c r="J810" s="655"/>
      <c r="K810" s="1195"/>
      <c r="L810" s="1195"/>
    </row>
    <row r="811" spans="2:12" x14ac:dyDescent="0.25">
      <c r="B811" s="20"/>
      <c r="C811" s="20"/>
      <c r="D811" s="1153">
        <f t="shared" si="70"/>
        <v>0</v>
      </c>
      <c r="E811" s="1154">
        <f t="shared" si="70"/>
        <v>0</v>
      </c>
      <c r="F811" s="1155">
        <f t="shared" si="70"/>
        <v>0</v>
      </c>
      <c r="G811" s="1155">
        <f t="shared" si="71"/>
        <v>0</v>
      </c>
      <c r="H811" s="1155">
        <f t="shared" si="66"/>
        <v>0</v>
      </c>
      <c r="I811" s="22"/>
      <c r="J811" s="655"/>
      <c r="K811" s="1195"/>
      <c r="L811" s="1195"/>
    </row>
    <row r="812" spans="2:12" x14ac:dyDescent="0.25">
      <c r="B812" s="20"/>
      <c r="C812" s="20"/>
      <c r="D812" s="1153">
        <f t="shared" si="70"/>
        <v>0</v>
      </c>
      <c r="E812" s="1154">
        <f t="shared" si="70"/>
        <v>0</v>
      </c>
      <c r="F812" s="1155">
        <f t="shared" si="70"/>
        <v>0</v>
      </c>
      <c r="G812" s="1155">
        <f t="shared" si="71"/>
        <v>0</v>
      </c>
      <c r="H812" s="1155">
        <f t="shared" si="66"/>
        <v>0</v>
      </c>
      <c r="I812" s="22"/>
      <c r="J812" s="655"/>
      <c r="K812" s="1195"/>
      <c r="L812" s="1195"/>
    </row>
    <row r="813" spans="2:12" x14ac:dyDescent="0.25">
      <c r="B813" s="20"/>
      <c r="C813" s="20"/>
      <c r="D813" s="1153">
        <f t="shared" si="70"/>
        <v>0</v>
      </c>
      <c r="E813" s="1154">
        <f t="shared" si="70"/>
        <v>0</v>
      </c>
      <c r="F813" s="1155">
        <f t="shared" si="70"/>
        <v>0</v>
      </c>
      <c r="G813" s="1155">
        <f t="shared" si="71"/>
        <v>0</v>
      </c>
      <c r="H813" s="1155">
        <f t="shared" si="66"/>
        <v>0</v>
      </c>
      <c r="I813" s="22"/>
      <c r="J813" s="655"/>
      <c r="K813" s="1195"/>
      <c r="L813" s="1195"/>
    </row>
    <row r="814" spans="2:12" x14ac:dyDescent="0.25">
      <c r="B814" s="20"/>
      <c r="C814" s="20"/>
      <c r="D814" s="1153">
        <f t="shared" si="70"/>
        <v>0</v>
      </c>
      <c r="E814" s="1154">
        <f t="shared" si="70"/>
        <v>0</v>
      </c>
      <c r="F814" s="1155">
        <f t="shared" si="70"/>
        <v>0</v>
      </c>
      <c r="G814" s="1155">
        <f t="shared" si="71"/>
        <v>0</v>
      </c>
      <c r="H814" s="1155">
        <f t="shared" si="66"/>
        <v>0</v>
      </c>
      <c r="I814" s="22"/>
      <c r="J814" s="655"/>
      <c r="K814" s="1195"/>
      <c r="L814" s="1195"/>
    </row>
    <row r="815" spans="2:12" x14ac:dyDescent="0.25">
      <c r="B815" s="20"/>
      <c r="C815" s="20"/>
      <c r="D815" s="1153">
        <f t="shared" si="70"/>
        <v>0</v>
      </c>
      <c r="E815" s="1154">
        <f t="shared" si="70"/>
        <v>0</v>
      </c>
      <c r="F815" s="1155">
        <f t="shared" si="70"/>
        <v>0</v>
      </c>
      <c r="G815" s="1155">
        <f t="shared" si="71"/>
        <v>0</v>
      </c>
      <c r="H815" s="1155">
        <f t="shared" si="66"/>
        <v>0</v>
      </c>
      <c r="I815" s="22"/>
      <c r="J815" s="655"/>
      <c r="K815" s="1195"/>
      <c r="L815" s="1195"/>
    </row>
    <row r="816" spans="2:12" x14ac:dyDescent="0.25">
      <c r="B816" s="20"/>
      <c r="C816" s="20"/>
      <c r="D816" s="1153">
        <f t="shared" si="70"/>
        <v>0</v>
      </c>
      <c r="E816" s="1154">
        <f t="shared" si="70"/>
        <v>0</v>
      </c>
      <c r="F816" s="1155">
        <f t="shared" si="70"/>
        <v>0</v>
      </c>
      <c r="G816" s="1155">
        <f t="shared" si="71"/>
        <v>0</v>
      </c>
      <c r="H816" s="1155">
        <f t="shared" si="66"/>
        <v>0</v>
      </c>
      <c r="I816" s="22"/>
      <c r="J816" s="655"/>
      <c r="K816" s="1195"/>
      <c r="L816" s="1195"/>
    </row>
    <row r="817" spans="2:12" x14ac:dyDescent="0.25">
      <c r="B817" s="20"/>
      <c r="C817" s="20"/>
      <c r="D817" s="1153">
        <f t="shared" si="70"/>
        <v>0</v>
      </c>
      <c r="E817" s="1154">
        <f t="shared" si="70"/>
        <v>0</v>
      </c>
      <c r="F817" s="1155">
        <f t="shared" si="70"/>
        <v>0</v>
      </c>
      <c r="G817" s="1155">
        <f t="shared" si="71"/>
        <v>0</v>
      </c>
      <c r="H817" s="1155">
        <f t="shared" si="66"/>
        <v>0</v>
      </c>
      <c r="I817" s="22"/>
      <c r="J817" s="655"/>
      <c r="K817" s="1195"/>
      <c r="L817" s="1195"/>
    </row>
    <row r="818" spans="2:12" x14ac:dyDescent="0.25">
      <c r="B818" s="20"/>
      <c r="C818" s="20"/>
      <c r="D818" s="1153">
        <f t="shared" si="70"/>
        <v>0</v>
      </c>
      <c r="E818" s="1154">
        <f t="shared" si="70"/>
        <v>0</v>
      </c>
      <c r="F818" s="1155">
        <f t="shared" si="70"/>
        <v>0</v>
      </c>
      <c r="G818" s="1155">
        <f t="shared" si="71"/>
        <v>0</v>
      </c>
      <c r="H818" s="1155">
        <f t="shared" si="66"/>
        <v>0</v>
      </c>
      <c r="I818" s="22"/>
      <c r="J818" s="655"/>
      <c r="K818" s="1195"/>
      <c r="L818" s="1195"/>
    </row>
    <row r="819" spans="2:12" x14ac:dyDescent="0.25">
      <c r="B819" s="20"/>
      <c r="C819" s="20"/>
      <c r="D819" s="1153">
        <f t="shared" si="70"/>
        <v>0</v>
      </c>
      <c r="E819" s="1154">
        <f t="shared" si="70"/>
        <v>0</v>
      </c>
      <c r="F819" s="1155">
        <f t="shared" si="70"/>
        <v>0</v>
      </c>
      <c r="G819" s="1155">
        <f t="shared" si="71"/>
        <v>0</v>
      </c>
      <c r="H819" s="1155">
        <f t="shared" si="66"/>
        <v>0</v>
      </c>
      <c r="I819" s="22"/>
      <c r="J819" s="655"/>
      <c r="K819" s="1195"/>
      <c r="L819" s="1195"/>
    </row>
    <row r="820" spans="2:12" x14ac:dyDescent="0.25">
      <c r="B820" s="20"/>
      <c r="C820" s="20"/>
      <c r="D820" s="1153">
        <f t="shared" si="70"/>
        <v>0</v>
      </c>
      <c r="E820" s="1154">
        <f t="shared" si="70"/>
        <v>0</v>
      </c>
      <c r="F820" s="1155">
        <f t="shared" si="70"/>
        <v>0</v>
      </c>
      <c r="G820" s="1155">
        <f t="shared" si="71"/>
        <v>0</v>
      </c>
      <c r="H820" s="1155">
        <f t="shared" si="66"/>
        <v>0</v>
      </c>
      <c r="I820" s="22"/>
      <c r="J820" s="655"/>
      <c r="K820" s="1195"/>
      <c r="L820" s="1195"/>
    </row>
    <row r="821" spans="2:12" x14ac:dyDescent="0.25">
      <c r="B821" s="20"/>
      <c r="C821" s="20"/>
      <c r="D821" s="1153">
        <f t="shared" si="70"/>
        <v>0</v>
      </c>
      <c r="E821" s="1154">
        <f t="shared" si="70"/>
        <v>0</v>
      </c>
      <c r="F821" s="1155">
        <f t="shared" si="70"/>
        <v>0</v>
      </c>
      <c r="G821" s="1155">
        <f t="shared" si="71"/>
        <v>0</v>
      </c>
      <c r="H821" s="1155">
        <f t="shared" si="66"/>
        <v>0</v>
      </c>
      <c r="I821" s="22"/>
      <c r="J821" s="655"/>
      <c r="K821" s="1195"/>
      <c r="L821" s="1195"/>
    </row>
    <row r="822" spans="2:12" x14ac:dyDescent="0.25">
      <c r="B822" s="20"/>
      <c r="C822" s="20"/>
      <c r="D822" s="1153">
        <f t="shared" si="70"/>
        <v>0</v>
      </c>
      <c r="E822" s="1154">
        <f t="shared" si="70"/>
        <v>0</v>
      </c>
      <c r="F822" s="1155">
        <f t="shared" si="70"/>
        <v>0</v>
      </c>
      <c r="G822" s="1155">
        <f t="shared" si="71"/>
        <v>0</v>
      </c>
      <c r="H822" s="1155">
        <f t="shared" si="66"/>
        <v>0</v>
      </c>
      <c r="I822" s="22"/>
      <c r="J822" s="655"/>
      <c r="K822" s="1195"/>
      <c r="L822" s="1195"/>
    </row>
    <row r="823" spans="2:12" x14ac:dyDescent="0.25">
      <c r="B823" s="20"/>
      <c r="C823" s="20"/>
      <c r="D823" s="1153">
        <f t="shared" si="70"/>
        <v>0</v>
      </c>
      <c r="E823" s="1154">
        <f t="shared" si="70"/>
        <v>0</v>
      </c>
      <c r="F823" s="1155">
        <f t="shared" si="70"/>
        <v>0</v>
      </c>
      <c r="G823" s="1155">
        <f t="shared" si="71"/>
        <v>0</v>
      </c>
      <c r="H823" s="1155">
        <f t="shared" si="66"/>
        <v>0</v>
      </c>
      <c r="I823" s="22"/>
      <c r="J823" s="655"/>
      <c r="K823" s="1195"/>
      <c r="L823" s="1195"/>
    </row>
    <row r="824" spans="2:12" x14ac:dyDescent="0.25">
      <c r="B824" s="20"/>
      <c r="C824" s="20"/>
      <c r="D824" s="1153">
        <f t="shared" si="70"/>
        <v>0</v>
      </c>
      <c r="E824" s="1154">
        <f t="shared" si="70"/>
        <v>0</v>
      </c>
      <c r="F824" s="1155">
        <f t="shared" si="70"/>
        <v>0</v>
      </c>
      <c r="G824" s="1155">
        <f t="shared" si="71"/>
        <v>0</v>
      </c>
      <c r="H824" s="1155">
        <f t="shared" si="66"/>
        <v>0</v>
      </c>
      <c r="I824" s="22"/>
      <c r="J824" s="655"/>
      <c r="K824" s="1195"/>
      <c r="L824" s="1195"/>
    </row>
    <row r="825" spans="2:12" x14ac:dyDescent="0.25">
      <c r="B825" s="20"/>
      <c r="C825" s="20"/>
      <c r="D825" s="1153">
        <f t="shared" si="70"/>
        <v>0</v>
      </c>
      <c r="E825" s="1154">
        <f t="shared" si="70"/>
        <v>0</v>
      </c>
      <c r="F825" s="1155">
        <f t="shared" si="70"/>
        <v>0</v>
      </c>
      <c r="G825" s="1155">
        <f t="shared" si="71"/>
        <v>0</v>
      </c>
      <c r="H825" s="1155">
        <f t="shared" si="66"/>
        <v>0</v>
      </c>
      <c r="I825" s="22"/>
      <c r="J825" s="655"/>
      <c r="K825" s="1195"/>
      <c r="L825" s="1195"/>
    </row>
    <row r="826" spans="2:12" x14ac:dyDescent="0.25">
      <c r="B826" s="20"/>
      <c r="C826" s="20"/>
      <c r="D826" s="1153">
        <f t="shared" ref="D826:F845" si="72">+D712</f>
        <v>0</v>
      </c>
      <c r="E826" s="1154">
        <f t="shared" si="72"/>
        <v>0</v>
      </c>
      <c r="F826" s="1155">
        <f t="shared" si="72"/>
        <v>0</v>
      </c>
      <c r="G826" s="1155">
        <f t="shared" si="71"/>
        <v>0</v>
      </c>
      <c r="H826" s="1155">
        <f t="shared" si="66"/>
        <v>0</v>
      </c>
      <c r="I826" s="22"/>
      <c r="J826" s="655"/>
      <c r="K826" s="1195"/>
      <c r="L826" s="1195"/>
    </row>
    <row r="827" spans="2:12" x14ac:dyDescent="0.25">
      <c r="B827" s="20"/>
      <c r="C827" s="20"/>
      <c r="D827" s="1153">
        <f t="shared" si="72"/>
        <v>0</v>
      </c>
      <c r="E827" s="1154">
        <f t="shared" si="72"/>
        <v>0</v>
      </c>
      <c r="F827" s="1155">
        <f t="shared" si="72"/>
        <v>0</v>
      </c>
      <c r="G827" s="1155">
        <f t="shared" si="71"/>
        <v>0</v>
      </c>
      <c r="H827" s="1155">
        <f t="shared" si="66"/>
        <v>0</v>
      </c>
      <c r="I827" s="22"/>
      <c r="J827" s="655"/>
      <c r="K827" s="1195"/>
      <c r="L827" s="1195"/>
    </row>
    <row r="828" spans="2:12" x14ac:dyDescent="0.25">
      <c r="B828" s="20"/>
      <c r="C828" s="20"/>
      <c r="D828" s="1153">
        <f t="shared" si="72"/>
        <v>0</v>
      </c>
      <c r="E828" s="1154">
        <f t="shared" si="72"/>
        <v>0</v>
      </c>
      <c r="F828" s="1155">
        <f t="shared" si="72"/>
        <v>0</v>
      </c>
      <c r="G828" s="1155">
        <f t="shared" si="71"/>
        <v>0</v>
      </c>
      <c r="H828" s="1155">
        <f t="shared" si="66"/>
        <v>0</v>
      </c>
      <c r="I828" s="22"/>
      <c r="J828" s="655"/>
      <c r="K828" s="1195"/>
      <c r="L828" s="1195"/>
    </row>
    <row r="829" spans="2:12" x14ac:dyDescent="0.25">
      <c r="B829" s="20"/>
      <c r="C829" s="20"/>
      <c r="D829" s="1153">
        <f t="shared" si="72"/>
        <v>0</v>
      </c>
      <c r="E829" s="1154">
        <f t="shared" si="72"/>
        <v>0</v>
      </c>
      <c r="F829" s="1155">
        <f t="shared" si="72"/>
        <v>0</v>
      </c>
      <c r="G829" s="1155">
        <f t="shared" si="71"/>
        <v>0</v>
      </c>
      <c r="H829" s="1155">
        <f t="shared" si="66"/>
        <v>0</v>
      </c>
      <c r="I829" s="22"/>
      <c r="J829" s="655"/>
      <c r="K829" s="1195"/>
      <c r="L829" s="1195"/>
    </row>
    <row r="830" spans="2:12" x14ac:dyDescent="0.25">
      <c r="B830" s="20"/>
      <c r="C830" s="20"/>
      <c r="D830" s="1153">
        <f t="shared" si="72"/>
        <v>0</v>
      </c>
      <c r="E830" s="1154">
        <f t="shared" si="72"/>
        <v>0</v>
      </c>
      <c r="F830" s="1155">
        <f t="shared" si="72"/>
        <v>0</v>
      </c>
      <c r="G830" s="1155">
        <f t="shared" si="71"/>
        <v>0</v>
      </c>
      <c r="H830" s="1155">
        <f t="shared" si="66"/>
        <v>0</v>
      </c>
      <c r="I830" s="22"/>
      <c r="J830" s="655"/>
      <c r="K830" s="1195"/>
      <c r="L830" s="1195"/>
    </row>
    <row r="831" spans="2:12" x14ac:dyDescent="0.25">
      <c r="B831" s="20"/>
      <c r="C831" s="20"/>
      <c r="D831" s="1153">
        <f t="shared" si="72"/>
        <v>0</v>
      </c>
      <c r="E831" s="1154">
        <f t="shared" si="72"/>
        <v>0</v>
      </c>
      <c r="F831" s="1155">
        <f t="shared" si="72"/>
        <v>0</v>
      </c>
      <c r="G831" s="1155">
        <f t="shared" si="71"/>
        <v>0</v>
      </c>
      <c r="H831" s="1155">
        <f t="shared" si="66"/>
        <v>0</v>
      </c>
      <c r="I831" s="22"/>
      <c r="J831" s="655"/>
      <c r="K831" s="1195"/>
      <c r="L831" s="1195"/>
    </row>
    <row r="832" spans="2:12" x14ac:dyDescent="0.25">
      <c r="B832" s="20"/>
      <c r="C832" s="20"/>
      <c r="D832" s="1153">
        <f t="shared" si="72"/>
        <v>0</v>
      </c>
      <c r="E832" s="1154">
        <f t="shared" si="72"/>
        <v>0</v>
      </c>
      <c r="F832" s="1155">
        <f t="shared" si="72"/>
        <v>0</v>
      </c>
      <c r="G832" s="1155">
        <f t="shared" si="71"/>
        <v>0</v>
      </c>
      <c r="H832" s="1155">
        <f t="shared" si="66"/>
        <v>0</v>
      </c>
      <c r="I832" s="22"/>
      <c r="J832" s="655"/>
      <c r="K832" s="1195"/>
      <c r="L832" s="1195"/>
    </row>
    <row r="833" spans="2:12" x14ac:dyDescent="0.25">
      <c r="B833" s="20"/>
      <c r="C833" s="20"/>
      <c r="D833" s="1153">
        <f t="shared" si="72"/>
        <v>0</v>
      </c>
      <c r="E833" s="1154">
        <f t="shared" si="72"/>
        <v>0</v>
      </c>
      <c r="F833" s="1155">
        <f t="shared" si="72"/>
        <v>0</v>
      </c>
      <c r="G833" s="1155">
        <f t="shared" si="71"/>
        <v>0</v>
      </c>
      <c r="H833" s="1155">
        <f t="shared" si="66"/>
        <v>0</v>
      </c>
      <c r="I833" s="22"/>
      <c r="J833" s="655"/>
      <c r="K833" s="1195"/>
      <c r="L833" s="1195"/>
    </row>
    <row r="834" spans="2:12" x14ac:dyDescent="0.25">
      <c r="B834" s="20"/>
      <c r="C834" s="20"/>
      <c r="D834" s="1153">
        <f t="shared" si="72"/>
        <v>0</v>
      </c>
      <c r="E834" s="1154">
        <f t="shared" si="72"/>
        <v>0</v>
      </c>
      <c r="F834" s="1155">
        <f t="shared" si="72"/>
        <v>0</v>
      </c>
      <c r="G834" s="1155">
        <f t="shared" si="71"/>
        <v>0</v>
      </c>
      <c r="H834" s="1155">
        <f>+E834*F834*G834</f>
        <v>0</v>
      </c>
      <c r="I834" s="22"/>
      <c r="J834" s="655"/>
      <c r="K834" s="1195"/>
      <c r="L834" s="1195"/>
    </row>
    <row r="835" spans="2:12" x14ac:dyDescent="0.25">
      <c r="B835" s="20"/>
      <c r="C835" s="20"/>
      <c r="D835" s="1153">
        <f t="shared" si="72"/>
        <v>0</v>
      </c>
      <c r="E835" s="1154">
        <f t="shared" si="72"/>
        <v>0</v>
      </c>
      <c r="F835" s="1155">
        <f t="shared" si="72"/>
        <v>0</v>
      </c>
      <c r="G835" s="1155">
        <f t="shared" si="71"/>
        <v>0</v>
      </c>
      <c r="H835" s="1155">
        <f t="shared" si="66"/>
        <v>0</v>
      </c>
      <c r="I835" s="22"/>
      <c r="J835" s="655"/>
      <c r="K835" s="1195"/>
      <c r="L835" s="1195"/>
    </row>
    <row r="836" spans="2:12" x14ac:dyDescent="0.25">
      <c r="B836" s="20"/>
      <c r="C836" s="20"/>
      <c r="D836" s="1153">
        <f t="shared" si="72"/>
        <v>0</v>
      </c>
      <c r="E836" s="1154">
        <f t="shared" si="72"/>
        <v>0</v>
      </c>
      <c r="F836" s="1155">
        <f t="shared" si="72"/>
        <v>0</v>
      </c>
      <c r="G836" s="1155">
        <f t="shared" si="71"/>
        <v>0</v>
      </c>
      <c r="H836" s="1155">
        <f t="shared" si="66"/>
        <v>0</v>
      </c>
      <c r="I836" s="22"/>
      <c r="J836" s="655"/>
      <c r="K836" s="1195"/>
      <c r="L836" s="1195"/>
    </row>
    <row r="837" spans="2:12" x14ac:dyDescent="0.25">
      <c r="B837" s="20"/>
      <c r="C837" s="20"/>
      <c r="D837" s="1153">
        <f t="shared" si="72"/>
        <v>0</v>
      </c>
      <c r="E837" s="1154">
        <f t="shared" si="72"/>
        <v>0</v>
      </c>
      <c r="F837" s="1155">
        <f t="shared" si="72"/>
        <v>0</v>
      </c>
      <c r="G837" s="1155">
        <f t="shared" si="71"/>
        <v>0</v>
      </c>
      <c r="H837" s="1155">
        <f t="shared" si="66"/>
        <v>0</v>
      </c>
      <c r="I837" s="22"/>
      <c r="J837" s="655"/>
      <c r="K837" s="1195"/>
      <c r="L837" s="1195"/>
    </row>
    <row r="838" spans="2:12" x14ac:dyDescent="0.25">
      <c r="B838" s="20"/>
      <c r="C838" s="20"/>
      <c r="D838" s="1153">
        <f t="shared" si="72"/>
        <v>0</v>
      </c>
      <c r="E838" s="1154">
        <f t="shared" si="72"/>
        <v>0</v>
      </c>
      <c r="F838" s="1155">
        <f t="shared" si="72"/>
        <v>0</v>
      </c>
      <c r="G838" s="1155">
        <f t="shared" si="71"/>
        <v>0</v>
      </c>
      <c r="H838" s="1155">
        <f t="shared" si="66"/>
        <v>0</v>
      </c>
      <c r="I838" s="22"/>
      <c r="J838" s="655"/>
      <c r="K838" s="1195"/>
      <c r="L838" s="1195"/>
    </row>
    <row r="839" spans="2:12" x14ac:dyDescent="0.25">
      <c r="B839" s="20"/>
      <c r="C839" s="20"/>
      <c r="D839" s="1153">
        <f t="shared" si="72"/>
        <v>0</v>
      </c>
      <c r="E839" s="1154">
        <f t="shared" si="72"/>
        <v>0</v>
      </c>
      <c r="F839" s="1155">
        <f t="shared" si="72"/>
        <v>0</v>
      </c>
      <c r="G839" s="1155">
        <f t="shared" si="71"/>
        <v>0</v>
      </c>
      <c r="H839" s="1155">
        <f t="shared" si="66"/>
        <v>0</v>
      </c>
      <c r="I839" s="22"/>
      <c r="J839" s="655"/>
      <c r="K839" s="1195"/>
      <c r="L839" s="1195"/>
    </row>
    <row r="840" spans="2:12" x14ac:dyDescent="0.25">
      <c r="B840" s="20"/>
      <c r="C840" s="20"/>
      <c r="D840" s="1153">
        <f t="shared" si="72"/>
        <v>0</v>
      </c>
      <c r="E840" s="1154">
        <f t="shared" si="72"/>
        <v>0</v>
      </c>
      <c r="F840" s="1155">
        <f t="shared" si="72"/>
        <v>0</v>
      </c>
      <c r="G840" s="1155">
        <f t="shared" si="71"/>
        <v>0</v>
      </c>
      <c r="H840" s="1155">
        <f t="shared" si="66"/>
        <v>0</v>
      </c>
      <c r="I840" s="22"/>
      <c r="J840" s="655"/>
      <c r="K840" s="1195"/>
      <c r="L840" s="1195"/>
    </row>
    <row r="841" spans="2:12" x14ac:dyDescent="0.25">
      <c r="B841" s="20"/>
      <c r="C841" s="20"/>
      <c r="D841" s="1153">
        <f t="shared" si="72"/>
        <v>0</v>
      </c>
      <c r="E841" s="1154">
        <f t="shared" si="72"/>
        <v>0</v>
      </c>
      <c r="F841" s="1155">
        <f t="shared" si="72"/>
        <v>0</v>
      </c>
      <c r="G841" s="1155">
        <f t="shared" si="71"/>
        <v>0</v>
      </c>
      <c r="H841" s="1155">
        <f t="shared" si="66"/>
        <v>0</v>
      </c>
      <c r="I841" s="22"/>
      <c r="J841" s="655"/>
      <c r="K841" s="1195"/>
      <c r="L841" s="1195"/>
    </row>
    <row r="842" spans="2:12" x14ac:dyDescent="0.25">
      <c r="B842" s="20"/>
      <c r="C842" s="20"/>
      <c r="D842" s="1153">
        <f t="shared" si="72"/>
        <v>0</v>
      </c>
      <c r="E842" s="1154">
        <f t="shared" si="72"/>
        <v>0</v>
      </c>
      <c r="F842" s="1155">
        <f t="shared" si="72"/>
        <v>0</v>
      </c>
      <c r="G842" s="1155">
        <f t="shared" si="71"/>
        <v>0</v>
      </c>
      <c r="H842" s="1155">
        <f t="shared" si="66"/>
        <v>0</v>
      </c>
      <c r="I842" s="22"/>
      <c r="J842" s="655"/>
      <c r="K842" s="1195"/>
      <c r="L842" s="1195"/>
    </row>
    <row r="843" spans="2:12" x14ac:dyDescent="0.25">
      <c r="B843" s="20"/>
      <c r="C843" s="20"/>
      <c r="D843" s="1153">
        <f t="shared" si="72"/>
        <v>0</v>
      </c>
      <c r="E843" s="1154">
        <f t="shared" si="72"/>
        <v>0</v>
      </c>
      <c r="F843" s="1155">
        <f t="shared" si="72"/>
        <v>0</v>
      </c>
      <c r="G843" s="1155">
        <f t="shared" si="71"/>
        <v>0</v>
      </c>
      <c r="H843" s="1155">
        <f t="shared" si="66"/>
        <v>0</v>
      </c>
      <c r="I843" s="22"/>
      <c r="J843" s="655"/>
      <c r="K843" s="1195"/>
      <c r="L843" s="1195"/>
    </row>
    <row r="844" spans="2:12" x14ac:dyDescent="0.25">
      <c r="B844" s="20"/>
      <c r="C844" s="20"/>
      <c r="D844" s="1153">
        <f t="shared" si="72"/>
        <v>0</v>
      </c>
      <c r="E844" s="1154">
        <f t="shared" si="72"/>
        <v>0</v>
      </c>
      <c r="F844" s="1155">
        <f t="shared" si="72"/>
        <v>0</v>
      </c>
      <c r="G844" s="1155">
        <f t="shared" si="71"/>
        <v>0</v>
      </c>
      <c r="H844" s="1155">
        <f t="shared" si="66"/>
        <v>0</v>
      </c>
      <c r="I844" s="22"/>
      <c r="J844" s="655"/>
      <c r="K844" s="1195"/>
      <c r="L844" s="1195"/>
    </row>
    <row r="845" spans="2:12" x14ac:dyDescent="0.25">
      <c r="B845" s="20"/>
      <c r="C845" s="20"/>
      <c r="D845" s="1153">
        <f t="shared" si="72"/>
        <v>0</v>
      </c>
      <c r="E845" s="1154">
        <f t="shared" si="72"/>
        <v>0</v>
      </c>
      <c r="F845" s="1155">
        <f t="shared" si="72"/>
        <v>0</v>
      </c>
      <c r="G845" s="1155">
        <f t="shared" si="71"/>
        <v>0</v>
      </c>
      <c r="H845" s="1155">
        <f t="shared" si="66"/>
        <v>0</v>
      </c>
      <c r="I845" s="22"/>
      <c r="J845" s="655"/>
      <c r="K845" s="1195"/>
      <c r="L845" s="1195"/>
    </row>
    <row r="846" spans="2:12" x14ac:dyDescent="0.25">
      <c r="B846" s="20"/>
      <c r="C846" s="20"/>
      <c r="D846" s="1153">
        <f t="shared" ref="D846:F847" si="73">+D732</f>
        <v>0</v>
      </c>
      <c r="E846" s="1154">
        <f t="shared" si="73"/>
        <v>0</v>
      </c>
      <c r="F846" s="1155">
        <f t="shared" si="73"/>
        <v>0</v>
      </c>
      <c r="G846" s="1155">
        <f t="shared" si="71"/>
        <v>0</v>
      </c>
      <c r="H846" s="1155">
        <f t="shared" si="66"/>
        <v>0</v>
      </c>
      <c r="I846" s="22"/>
      <c r="J846" s="655"/>
      <c r="K846" s="1195"/>
      <c r="L846" s="1195"/>
    </row>
    <row r="847" spans="2:12" x14ac:dyDescent="0.25">
      <c r="B847" s="20"/>
      <c r="C847" s="20"/>
      <c r="D847" s="1153">
        <f t="shared" si="73"/>
        <v>0</v>
      </c>
      <c r="E847" s="1154">
        <f t="shared" si="73"/>
        <v>0</v>
      </c>
      <c r="F847" s="1155">
        <f t="shared" si="73"/>
        <v>0</v>
      </c>
      <c r="G847" s="1155">
        <f t="shared" si="71"/>
        <v>0</v>
      </c>
      <c r="H847" s="1155">
        <f t="shared" si="66"/>
        <v>0</v>
      </c>
      <c r="I847" s="22"/>
      <c r="J847" s="655"/>
      <c r="K847" s="1195"/>
      <c r="L847" s="1195"/>
    </row>
    <row r="848" spans="2:12" x14ac:dyDescent="0.25">
      <c r="B848" s="20"/>
      <c r="C848" s="20"/>
      <c r="D848" s="988"/>
      <c r="E848" s="25"/>
      <c r="F848" s="22"/>
      <c r="G848" s="22"/>
      <c r="H848" s="22"/>
      <c r="I848" s="22"/>
      <c r="J848" s="655"/>
      <c r="K848" s="1195"/>
      <c r="L848" s="1195"/>
    </row>
    <row r="849" spans="2:12" x14ac:dyDescent="0.25">
      <c r="B849" s="20"/>
      <c r="C849" s="20"/>
      <c r="D849" s="988"/>
      <c r="E849" s="25"/>
      <c r="F849" s="22"/>
      <c r="G849" s="22"/>
      <c r="H849" s="20">
        <f>SUM(H798:H848)</f>
        <v>215.3</v>
      </c>
      <c r="I849" s="22"/>
      <c r="J849" s="655"/>
      <c r="K849" s="1195"/>
      <c r="L849" s="1195"/>
    </row>
    <row r="850" spans="2:12" x14ac:dyDescent="0.25">
      <c r="B850" s="20"/>
      <c r="C850" s="20"/>
      <c r="D850" s="1073" t="str">
        <f>+D682</f>
        <v>Puentes</v>
      </c>
      <c r="E850" s="1064"/>
      <c r="F850" s="1065"/>
      <c r="G850" s="1065"/>
      <c r="H850" s="1071"/>
      <c r="I850" s="1065"/>
      <c r="J850" s="1066"/>
      <c r="K850" s="1195"/>
      <c r="L850" s="1195"/>
    </row>
    <row r="851" spans="2:12" x14ac:dyDescent="0.25">
      <c r="B851" s="20"/>
      <c r="C851" s="20"/>
      <c r="D851" s="1074" t="s">
        <v>1085</v>
      </c>
      <c r="E851" s="1064">
        <f>4*0</f>
        <v>0</v>
      </c>
      <c r="F851" s="1065">
        <v>10</v>
      </c>
      <c r="G851" s="1065">
        <v>1.5</v>
      </c>
      <c r="H851" s="1071">
        <f>+F851*G851*E851</f>
        <v>0</v>
      </c>
      <c r="I851" s="1065"/>
      <c r="J851" s="1066">
        <f>+H851</f>
        <v>0</v>
      </c>
      <c r="K851" s="1195"/>
      <c r="L851" s="1195"/>
    </row>
    <row r="852" spans="2:12" x14ac:dyDescent="0.25">
      <c r="B852" s="1196" t="s">
        <v>973</v>
      </c>
      <c r="C852" s="1197"/>
      <c r="D852" s="1197"/>
      <c r="E852" s="1197"/>
      <c r="F852" s="1198"/>
      <c r="G852" s="22"/>
      <c r="H852" s="20"/>
      <c r="I852" s="22"/>
      <c r="J852" s="655"/>
      <c r="K852" s="1195"/>
      <c r="L852" s="1195"/>
    </row>
    <row r="853" spans="2:12" x14ac:dyDescent="0.25">
      <c r="B853" s="1199"/>
      <c r="C853" s="1200"/>
      <c r="D853" s="1200"/>
      <c r="E853" s="1200"/>
      <c r="F853" s="1201"/>
      <c r="G853" s="22"/>
      <c r="H853" s="20"/>
      <c r="I853" s="22"/>
      <c r="J853" s="655"/>
      <c r="K853" s="1195"/>
      <c r="L853" s="1195"/>
    </row>
    <row r="854" spans="2:12" s="15" customFormat="1" x14ac:dyDescent="0.25">
      <c r="B854" s="1202"/>
      <c r="C854" s="1203"/>
      <c r="D854" s="1203"/>
      <c r="E854" s="1203"/>
      <c r="F854" s="1204"/>
      <c r="G854" s="783" t="s">
        <v>80</v>
      </c>
      <c r="H854" s="783"/>
      <c r="I854" s="783"/>
      <c r="J854" s="792">
        <f>ROUND(SUM(J795:J853),0)</f>
        <v>765</v>
      </c>
      <c r="K854" s="1195"/>
      <c r="L854" s="1195"/>
    </row>
    <row r="856" spans="2:12" x14ac:dyDescent="0.25">
      <c r="B856" s="1076"/>
      <c r="C856" s="1076"/>
    </row>
    <row r="857" spans="2:12" s="15" customFormat="1" ht="15.75" x14ac:dyDescent="0.25">
      <c r="B857" s="632"/>
      <c r="C857" s="632"/>
      <c r="D857" s="27"/>
      <c r="E857" s="27"/>
      <c r="F857" s="27"/>
      <c r="H857" s="24"/>
      <c r="I857" s="24"/>
    </row>
    <row r="858" spans="2:12" ht="15.75" x14ac:dyDescent="0.25">
      <c r="D858" s="626"/>
      <c r="E858" s="1209" t="s">
        <v>78</v>
      </c>
      <c r="F858" s="1210"/>
      <c r="G858" s="1210"/>
      <c r="H858" s="1211"/>
      <c r="I858" s="782" t="s">
        <v>79</v>
      </c>
      <c r="J858" s="54" t="str">
        <f>+P.Detall!F61</f>
        <v>M3</v>
      </c>
      <c r="K858" s="1205" t="s">
        <v>971</v>
      </c>
      <c r="L858" s="1206"/>
    </row>
    <row r="859" spans="2:12" x14ac:dyDescent="0.25">
      <c r="B859" s="629" t="s">
        <v>2</v>
      </c>
      <c r="C859" s="629" t="s">
        <v>2</v>
      </c>
      <c r="D859" s="629" t="s">
        <v>4</v>
      </c>
      <c r="E859" s="629" t="s">
        <v>75</v>
      </c>
      <c r="F859" s="629" t="s">
        <v>76</v>
      </c>
      <c r="G859" s="629" t="s">
        <v>122</v>
      </c>
      <c r="H859" s="703"/>
      <c r="I859" s="703"/>
      <c r="J859" s="790" t="s">
        <v>88</v>
      </c>
      <c r="K859" s="1207"/>
      <c r="L859" s="1208"/>
    </row>
    <row r="860" spans="2:12" x14ac:dyDescent="0.25">
      <c r="B860" s="47">
        <v>673.2</v>
      </c>
      <c r="C860" s="20" t="s">
        <v>9</v>
      </c>
      <c r="D860" s="742" t="str">
        <f>+P.Detall!E61</f>
        <v>MATERIAL GRANULAR FILTRANTE</v>
      </c>
      <c r="E860" s="25"/>
      <c r="F860" s="22"/>
      <c r="G860" s="22"/>
      <c r="H860" s="22"/>
      <c r="I860" s="22"/>
      <c r="J860" s="655"/>
      <c r="K860" s="1195"/>
      <c r="L860" s="1195"/>
    </row>
    <row r="861" spans="2:12" x14ac:dyDescent="0.25">
      <c r="B861" s="20"/>
      <c r="C861" s="20"/>
      <c r="D861" s="32" t="str">
        <f>+D427</f>
        <v>Filtros der:</v>
      </c>
      <c r="E861" s="25">
        <f>+E796</f>
        <v>220</v>
      </c>
      <c r="F861" s="22">
        <v>0.5</v>
      </c>
      <c r="G861" s="22">
        <v>0.5</v>
      </c>
      <c r="H861" s="22"/>
      <c r="I861" s="22"/>
      <c r="J861" s="654">
        <f>+G861*F861*E861</f>
        <v>55</v>
      </c>
      <c r="K861" s="1195"/>
      <c r="L861" s="1195"/>
    </row>
    <row r="862" spans="2:12" x14ac:dyDescent="0.25">
      <c r="B862" s="20"/>
      <c r="C862" s="20"/>
      <c r="D862" s="32" t="str">
        <f>+D428</f>
        <v>Filtros izq:</v>
      </c>
      <c r="E862" s="25">
        <f>+E861</f>
        <v>220</v>
      </c>
      <c r="F862" s="22">
        <v>0.5</v>
      </c>
      <c r="G862" s="22">
        <v>0.5</v>
      </c>
      <c r="H862" s="22"/>
      <c r="I862" s="22"/>
      <c r="J862" s="654">
        <f t="shared" ref="J862:J864" si="74">+G862*F862*E862</f>
        <v>55</v>
      </c>
      <c r="K862" s="1195"/>
      <c r="L862" s="1195"/>
    </row>
    <row r="863" spans="2:12" x14ac:dyDescent="0.25">
      <c r="B863" s="20"/>
      <c r="C863" s="20"/>
      <c r="D863" s="32" t="s">
        <v>1230</v>
      </c>
      <c r="E863" s="25">
        <v>400</v>
      </c>
      <c r="F863" s="22">
        <f>+F862</f>
        <v>0.5</v>
      </c>
      <c r="G863" s="22">
        <f>+G862</f>
        <v>0.5</v>
      </c>
      <c r="H863" s="22"/>
      <c r="I863" s="22"/>
      <c r="J863" s="654">
        <f t="shared" si="74"/>
        <v>100</v>
      </c>
      <c r="K863" s="1195"/>
      <c r="L863" s="1195"/>
    </row>
    <row r="864" spans="2:12" x14ac:dyDescent="0.25">
      <c r="B864" s="20"/>
      <c r="C864" s="20"/>
      <c r="D864" s="32" t="s">
        <v>1231</v>
      </c>
      <c r="E864" s="25">
        <v>100</v>
      </c>
      <c r="F864" s="22">
        <f>+F863</f>
        <v>0.5</v>
      </c>
      <c r="G864" s="22">
        <f>+G863</f>
        <v>0.5</v>
      </c>
      <c r="H864" s="22"/>
      <c r="I864" s="22"/>
      <c r="J864" s="654">
        <f t="shared" si="74"/>
        <v>25</v>
      </c>
      <c r="K864" s="1195"/>
      <c r="L864" s="1195"/>
    </row>
    <row r="865" spans="2:14" x14ac:dyDescent="0.25">
      <c r="B865" s="20"/>
      <c r="C865" s="20"/>
      <c r="D865" s="32"/>
      <c r="E865" s="25"/>
      <c r="F865" s="22"/>
      <c r="G865" s="22"/>
      <c r="H865" s="22"/>
      <c r="I865" s="22"/>
      <c r="J865" s="654"/>
      <c r="K865" s="1195"/>
      <c r="L865" s="1195"/>
    </row>
    <row r="866" spans="2:14" x14ac:dyDescent="0.25">
      <c r="B866" s="20"/>
      <c r="C866" s="20"/>
      <c r="D866" s="32"/>
      <c r="E866" s="25"/>
      <c r="F866" s="22"/>
      <c r="G866" s="22"/>
      <c r="H866" s="22"/>
      <c r="I866" s="22"/>
      <c r="J866" s="654"/>
      <c r="K866" s="1195"/>
      <c r="L866" s="1195"/>
    </row>
    <row r="867" spans="2:14" x14ac:dyDescent="0.25">
      <c r="B867" s="20"/>
      <c r="C867" s="20"/>
      <c r="D867" s="32"/>
      <c r="E867" s="25"/>
      <c r="F867" s="22"/>
      <c r="G867" s="22"/>
      <c r="H867" s="22"/>
      <c r="I867" s="22"/>
      <c r="J867" s="654"/>
      <c r="K867" s="1195"/>
      <c r="L867" s="1195"/>
    </row>
    <row r="868" spans="2:14" x14ac:dyDescent="0.25">
      <c r="B868" s="20"/>
      <c r="C868" s="20"/>
      <c r="D868" s="32"/>
      <c r="E868" s="25"/>
      <c r="F868" s="22"/>
      <c r="G868" s="22"/>
      <c r="H868" s="22"/>
      <c r="I868" s="22"/>
      <c r="J868" s="654"/>
      <c r="K868" s="1195"/>
      <c r="L868" s="1195"/>
    </row>
    <row r="869" spans="2:14" x14ac:dyDescent="0.25">
      <c r="B869" s="20"/>
      <c r="C869" s="20"/>
      <c r="D869" s="32"/>
      <c r="E869" s="25"/>
      <c r="F869" s="22"/>
      <c r="G869" s="22"/>
      <c r="H869" s="22"/>
      <c r="I869" s="22"/>
      <c r="J869" s="654"/>
      <c r="K869" s="1195"/>
      <c r="L869" s="1195"/>
    </row>
    <row r="870" spans="2:14" x14ac:dyDescent="0.25">
      <c r="B870" s="20"/>
      <c r="C870" s="20"/>
      <c r="D870" s="32"/>
      <c r="E870" s="25"/>
      <c r="F870" s="22"/>
      <c r="G870" s="22"/>
      <c r="H870" s="22"/>
      <c r="I870" s="22"/>
      <c r="J870" s="654"/>
      <c r="K870" s="1195"/>
      <c r="L870" s="1195"/>
    </row>
    <row r="871" spans="2:14" x14ac:dyDescent="0.25">
      <c r="B871" s="20"/>
      <c r="C871" s="20"/>
      <c r="D871" s="32"/>
      <c r="E871" s="25"/>
      <c r="F871" s="22"/>
      <c r="G871" s="22"/>
      <c r="H871" s="22"/>
      <c r="I871" s="22"/>
      <c r="J871" s="654"/>
      <c r="K871" s="1195"/>
      <c r="L871" s="1195"/>
    </row>
    <row r="872" spans="2:14" x14ac:dyDescent="0.25">
      <c r="B872" s="20"/>
      <c r="C872" s="20"/>
      <c r="D872" s="25"/>
      <c r="E872" s="25"/>
      <c r="F872" s="22"/>
      <c r="G872" s="22"/>
      <c r="H872" s="22"/>
      <c r="I872" s="22"/>
      <c r="J872" s="655"/>
      <c r="K872" s="1195"/>
      <c r="L872" s="1195"/>
    </row>
    <row r="873" spans="2:14" ht="15" customHeight="1" x14ac:dyDescent="0.25">
      <c r="B873" s="1196" t="s">
        <v>973</v>
      </c>
      <c r="C873" s="1197"/>
      <c r="D873" s="1197"/>
      <c r="E873" s="1197"/>
      <c r="F873" s="1198"/>
      <c r="G873" s="22"/>
      <c r="H873" s="22"/>
      <c r="I873" s="22"/>
      <c r="J873" s="655"/>
      <c r="K873" s="1195"/>
      <c r="L873" s="1195"/>
    </row>
    <row r="874" spans="2:14" x14ac:dyDescent="0.25">
      <c r="B874" s="1199"/>
      <c r="C874" s="1200"/>
      <c r="D874" s="1200"/>
      <c r="E874" s="1200"/>
      <c r="F874" s="1201"/>
      <c r="G874" s="22"/>
      <c r="H874" s="22"/>
      <c r="I874" s="22"/>
      <c r="J874" s="655"/>
      <c r="K874" s="1195"/>
      <c r="L874" s="1195"/>
    </row>
    <row r="875" spans="2:14" s="15" customFormat="1" x14ac:dyDescent="0.25">
      <c r="B875" s="1202"/>
      <c r="C875" s="1203"/>
      <c r="D875" s="1203"/>
      <c r="E875" s="1203"/>
      <c r="F875" s="1204"/>
      <c r="G875" s="783" t="s">
        <v>80</v>
      </c>
      <c r="H875" s="783"/>
      <c r="I875" s="783"/>
      <c r="J875" s="792">
        <f>ROUND(SUM(J860:J872),0)</f>
        <v>235</v>
      </c>
      <c r="K875" s="1195"/>
      <c r="L875" s="1195"/>
    </row>
    <row r="876" spans="2:14" s="15" customFormat="1" x14ac:dyDescent="0.25">
      <c r="B876" s="16"/>
      <c r="C876" s="16"/>
      <c r="D876" s="19"/>
      <c r="E876" s="26"/>
      <c r="F876" s="18"/>
      <c r="G876" s="55"/>
      <c r="H876" s="55"/>
      <c r="I876" s="55"/>
      <c r="J876" s="549"/>
    </row>
    <row r="877" spans="2:14" s="15" customFormat="1" ht="15.75" x14ac:dyDescent="0.25">
      <c r="B877" s="632"/>
      <c r="C877" s="632"/>
      <c r="D877" s="27"/>
      <c r="E877" s="27"/>
      <c r="F877" s="27"/>
      <c r="H877" s="24"/>
      <c r="I877" s="24"/>
    </row>
    <row r="878" spans="2:14" ht="15.75" x14ac:dyDescent="0.25">
      <c r="D878" s="626"/>
      <c r="E878" s="1209" t="s">
        <v>78</v>
      </c>
      <c r="F878" s="1210"/>
      <c r="G878" s="1210"/>
      <c r="H878" s="1211"/>
      <c r="I878" s="782" t="s">
        <v>79</v>
      </c>
      <c r="J878" s="54" t="str">
        <f>+P.Detall!F62</f>
        <v>ML</v>
      </c>
      <c r="K878" s="1205" t="s">
        <v>971</v>
      </c>
      <c r="L878" s="1206"/>
    </row>
    <row r="879" spans="2:14" x14ac:dyDescent="0.25">
      <c r="B879" s="629" t="s">
        <v>2</v>
      </c>
      <c r="C879" s="629" t="s">
        <v>2</v>
      </c>
      <c r="D879" s="629" t="s">
        <v>4</v>
      </c>
      <c r="E879" s="629" t="s">
        <v>75</v>
      </c>
      <c r="F879" s="629" t="s">
        <v>941</v>
      </c>
      <c r="G879" s="629" t="s">
        <v>925</v>
      </c>
      <c r="H879" s="703"/>
      <c r="I879" s="703"/>
      <c r="J879" s="790" t="s">
        <v>88</v>
      </c>
      <c r="K879" s="1207"/>
      <c r="L879" s="1208"/>
    </row>
    <row r="880" spans="2:14" ht="26.25" customHeight="1" x14ac:dyDescent="0.25">
      <c r="B880" s="47">
        <v>674.2</v>
      </c>
      <c r="C880" s="20" t="s">
        <v>9</v>
      </c>
      <c r="D880" s="742" t="str">
        <f>+P.Detall!E62</f>
        <v>DREN HORIZONTAL DE LONGITUD MAYOR A DIEZ METROS</v>
      </c>
      <c r="E880" s="25"/>
      <c r="F880" s="22"/>
      <c r="G880" s="22"/>
      <c r="H880" s="22"/>
      <c r="I880" s="22"/>
      <c r="J880" s="655"/>
      <c r="K880" s="1195"/>
      <c r="L880" s="1195"/>
      <c r="M880">
        <v>1922</v>
      </c>
      <c r="N880">
        <v>6036</v>
      </c>
    </row>
    <row r="881" spans="2:14" x14ac:dyDescent="0.25">
      <c r="B881" s="20"/>
      <c r="C881" s="20"/>
      <c r="D881" s="714" t="s">
        <v>945</v>
      </c>
      <c r="E881" s="25"/>
      <c r="F881" s="22"/>
      <c r="G881" s="22"/>
      <c r="H881" s="22"/>
      <c r="I881" s="22"/>
      <c r="J881" s="655">
        <f>+G933</f>
        <v>75.5</v>
      </c>
      <c r="K881" s="1195"/>
      <c r="L881" s="1195"/>
      <c r="M881">
        <f>+(N881*M880)/N880</f>
        <v>70.053015241882036</v>
      </c>
      <c r="N881" s="68">
        <f>+E861</f>
        <v>220</v>
      </c>
    </row>
    <row r="882" spans="2:14" x14ac:dyDescent="0.25">
      <c r="B882" s="20"/>
      <c r="C882" s="20"/>
      <c r="D882" s="988" t="str">
        <f t="shared" ref="D882:D888" si="75">+D798</f>
        <v>estructural 1</v>
      </c>
      <c r="E882" s="25">
        <f t="shared" ref="E882:E888" si="76">+F798</f>
        <v>10</v>
      </c>
      <c r="F882" s="22">
        <f t="shared" ref="F882:F888" si="77">+E798</f>
        <v>1</v>
      </c>
      <c r="G882" s="22">
        <f>+E882*F882</f>
        <v>10</v>
      </c>
      <c r="H882" s="22"/>
      <c r="I882" s="22"/>
      <c r="J882" s="654"/>
      <c r="K882" s="1195"/>
      <c r="L882" s="1195"/>
      <c r="N882" s="68"/>
    </row>
    <row r="883" spans="2:14" x14ac:dyDescent="0.25">
      <c r="B883" s="20"/>
      <c r="C883" s="20"/>
      <c r="D883" s="988" t="str">
        <f t="shared" si="75"/>
        <v>estructural 2</v>
      </c>
      <c r="E883" s="25">
        <f t="shared" si="76"/>
        <v>9</v>
      </c>
      <c r="F883" s="22">
        <f t="shared" si="77"/>
        <v>1</v>
      </c>
      <c r="G883" s="22">
        <f t="shared" ref="G883:G931" si="78">+E883*F883</f>
        <v>9</v>
      </c>
      <c r="H883" s="22"/>
      <c r="I883" s="22"/>
      <c r="J883" s="654"/>
      <c r="K883" s="1195"/>
      <c r="L883" s="1195"/>
      <c r="N883" s="68"/>
    </row>
    <row r="884" spans="2:14" x14ac:dyDescent="0.25">
      <c r="B884" s="20"/>
      <c r="C884" s="20"/>
      <c r="D884" s="988" t="str">
        <f t="shared" si="75"/>
        <v>gavion 1</v>
      </c>
      <c r="E884" s="25">
        <f t="shared" si="76"/>
        <v>18</v>
      </c>
      <c r="F884" s="22">
        <f t="shared" si="77"/>
        <v>1</v>
      </c>
      <c r="G884" s="22">
        <f t="shared" si="78"/>
        <v>18</v>
      </c>
      <c r="H884" s="22"/>
      <c r="I884" s="22"/>
      <c r="J884" s="654"/>
      <c r="K884" s="1195"/>
      <c r="L884" s="1195"/>
      <c r="N884" s="68"/>
    </row>
    <row r="885" spans="2:14" x14ac:dyDescent="0.25">
      <c r="B885" s="20"/>
      <c r="C885" s="20"/>
      <c r="D885" s="988" t="str">
        <f t="shared" si="75"/>
        <v>gavion 2</v>
      </c>
      <c r="E885" s="25">
        <f t="shared" si="76"/>
        <v>12</v>
      </c>
      <c r="F885" s="22">
        <f t="shared" si="77"/>
        <v>1</v>
      </c>
      <c r="G885" s="22">
        <f t="shared" si="78"/>
        <v>12</v>
      </c>
      <c r="H885" s="22"/>
      <c r="I885" s="22"/>
      <c r="J885" s="654"/>
      <c r="K885" s="1195"/>
      <c r="L885" s="1195"/>
      <c r="N885" s="744"/>
    </row>
    <row r="886" spans="2:14" x14ac:dyDescent="0.25">
      <c r="B886" s="20"/>
      <c r="C886" s="20"/>
      <c r="D886" s="988" t="str">
        <f t="shared" si="75"/>
        <v>gavion 3</v>
      </c>
      <c r="E886" s="25">
        <f t="shared" si="76"/>
        <v>18</v>
      </c>
      <c r="F886" s="22">
        <f t="shared" si="77"/>
        <v>1</v>
      </c>
      <c r="G886" s="22">
        <f t="shared" si="78"/>
        <v>18</v>
      </c>
      <c r="H886" s="22"/>
      <c r="I886" s="22"/>
      <c r="J886" s="654"/>
      <c r="K886" s="1195"/>
      <c r="L886" s="1195"/>
      <c r="N886" s="68"/>
    </row>
    <row r="887" spans="2:14" x14ac:dyDescent="0.25">
      <c r="B887" s="20"/>
      <c r="C887" s="20"/>
      <c r="D887" s="988" t="str">
        <f t="shared" si="75"/>
        <v>Box Coulvert:</v>
      </c>
      <c r="E887" s="25">
        <f t="shared" si="76"/>
        <v>6</v>
      </c>
      <c r="F887" s="22">
        <f t="shared" si="77"/>
        <v>1</v>
      </c>
      <c r="G887" s="22">
        <f t="shared" si="78"/>
        <v>6</v>
      </c>
      <c r="H887" s="22"/>
      <c r="I887" s="22"/>
      <c r="J887" s="654"/>
      <c r="K887" s="1195"/>
      <c r="L887" s="1195"/>
      <c r="N887" s="68"/>
    </row>
    <row r="888" spans="2:14" x14ac:dyDescent="0.25">
      <c r="B888" s="20"/>
      <c r="C888" s="20"/>
      <c r="D888" s="988" t="str">
        <f t="shared" si="75"/>
        <v>Box Coulvert2:</v>
      </c>
      <c r="E888" s="25">
        <f t="shared" si="76"/>
        <v>2.5</v>
      </c>
      <c r="F888" s="22">
        <f t="shared" si="77"/>
        <v>1</v>
      </c>
      <c r="G888" s="22">
        <f t="shared" si="78"/>
        <v>2.5</v>
      </c>
      <c r="H888" s="22"/>
      <c r="I888" s="22"/>
      <c r="J888" s="654"/>
      <c r="K888" s="1195"/>
      <c r="L888" s="1195"/>
      <c r="N888" s="68"/>
    </row>
    <row r="889" spans="2:14" x14ac:dyDescent="0.25">
      <c r="B889" s="20"/>
      <c r="C889" s="20"/>
      <c r="D889" s="988"/>
      <c r="E889" s="25"/>
      <c r="F889" s="22"/>
      <c r="G889" s="22"/>
      <c r="H889" s="22"/>
      <c r="I889" s="22"/>
      <c r="J889" s="654"/>
      <c r="K889" s="1195"/>
      <c r="L889" s="1195"/>
      <c r="N889" s="744"/>
    </row>
    <row r="890" spans="2:14" x14ac:dyDescent="0.25">
      <c r="B890" s="20"/>
      <c r="C890" s="20"/>
      <c r="D890" s="1153">
        <f t="shared" ref="D890:D931" si="79">+D806</f>
        <v>0</v>
      </c>
      <c r="E890" s="1154">
        <f t="shared" ref="E890:E931" si="80">+F806</f>
        <v>0</v>
      </c>
      <c r="F890" s="1155">
        <f t="shared" ref="F890:F931" si="81">+E806</f>
        <v>0</v>
      </c>
      <c r="G890" s="1155">
        <f t="shared" si="78"/>
        <v>0</v>
      </c>
      <c r="H890" s="22"/>
      <c r="I890" s="22"/>
      <c r="J890" s="654"/>
      <c r="K890" s="1195"/>
      <c r="L890" s="1195"/>
      <c r="N890" s="744"/>
    </row>
    <row r="891" spans="2:14" x14ac:dyDescent="0.25">
      <c r="B891" s="20"/>
      <c r="C891" s="20"/>
      <c r="D891" s="1153">
        <f t="shared" si="79"/>
        <v>0</v>
      </c>
      <c r="E891" s="1154">
        <f t="shared" si="80"/>
        <v>0</v>
      </c>
      <c r="F891" s="1155">
        <f t="shared" si="81"/>
        <v>0</v>
      </c>
      <c r="G891" s="1155">
        <f t="shared" si="78"/>
        <v>0</v>
      </c>
      <c r="H891" s="22"/>
      <c r="I891" s="22"/>
      <c r="J891" s="654"/>
      <c r="K891" s="1195"/>
      <c r="L891" s="1195"/>
      <c r="N891" s="744"/>
    </row>
    <row r="892" spans="2:14" x14ac:dyDescent="0.25">
      <c r="B892" s="20"/>
      <c r="C892" s="20"/>
      <c r="D892" s="1153">
        <f t="shared" si="79"/>
        <v>0</v>
      </c>
      <c r="E892" s="1154">
        <f t="shared" si="80"/>
        <v>0</v>
      </c>
      <c r="F892" s="1155">
        <f t="shared" si="81"/>
        <v>0</v>
      </c>
      <c r="G892" s="1155">
        <f t="shared" si="78"/>
        <v>0</v>
      </c>
      <c r="H892" s="22"/>
      <c r="I892" s="22"/>
      <c r="J892" s="654"/>
      <c r="K892" s="1195"/>
      <c r="L892" s="1195"/>
      <c r="N892" s="744"/>
    </row>
    <row r="893" spans="2:14" x14ac:dyDescent="0.25">
      <c r="B893" s="20"/>
      <c r="C893" s="20"/>
      <c r="D893" s="1153">
        <f t="shared" si="79"/>
        <v>0</v>
      </c>
      <c r="E893" s="1154">
        <f t="shared" si="80"/>
        <v>0</v>
      </c>
      <c r="F893" s="1155">
        <f t="shared" si="81"/>
        <v>0</v>
      </c>
      <c r="G893" s="1155">
        <f t="shared" si="78"/>
        <v>0</v>
      </c>
      <c r="H893" s="22"/>
      <c r="I893" s="22"/>
      <c r="J893" s="654"/>
      <c r="K893" s="1195"/>
      <c r="L893" s="1195"/>
      <c r="N893" s="744"/>
    </row>
    <row r="894" spans="2:14" x14ac:dyDescent="0.25">
      <c r="B894" s="20"/>
      <c r="C894" s="20"/>
      <c r="D894" s="1153">
        <f t="shared" si="79"/>
        <v>0</v>
      </c>
      <c r="E894" s="1154">
        <f t="shared" si="80"/>
        <v>0</v>
      </c>
      <c r="F894" s="1155">
        <f t="shared" si="81"/>
        <v>0</v>
      </c>
      <c r="G894" s="1155">
        <f t="shared" si="78"/>
        <v>0</v>
      </c>
      <c r="H894" s="22"/>
      <c r="I894" s="22"/>
      <c r="J894" s="654"/>
      <c r="K894" s="1195"/>
      <c r="L894" s="1195"/>
      <c r="N894" s="744"/>
    </row>
    <row r="895" spans="2:14" x14ac:dyDescent="0.25">
      <c r="B895" s="20"/>
      <c r="C895" s="20"/>
      <c r="D895" s="1153">
        <f t="shared" si="79"/>
        <v>0</v>
      </c>
      <c r="E895" s="1154">
        <f t="shared" si="80"/>
        <v>0</v>
      </c>
      <c r="F895" s="1155">
        <f t="shared" si="81"/>
        <v>0</v>
      </c>
      <c r="G895" s="1155">
        <f t="shared" si="78"/>
        <v>0</v>
      </c>
      <c r="H895" s="22"/>
      <c r="I895" s="22"/>
      <c r="J895" s="654"/>
      <c r="K895" s="1195"/>
      <c r="L895" s="1195"/>
      <c r="N895" s="744"/>
    </row>
    <row r="896" spans="2:14" x14ac:dyDescent="0.25">
      <c r="B896" s="20"/>
      <c r="C896" s="20"/>
      <c r="D896" s="1153">
        <f t="shared" si="79"/>
        <v>0</v>
      </c>
      <c r="E896" s="1154">
        <f t="shared" si="80"/>
        <v>0</v>
      </c>
      <c r="F896" s="1155">
        <f t="shared" si="81"/>
        <v>0</v>
      </c>
      <c r="G896" s="1155">
        <f t="shared" si="78"/>
        <v>0</v>
      </c>
      <c r="H896" s="22"/>
      <c r="I896" s="22"/>
      <c r="J896" s="654"/>
      <c r="K896" s="1195"/>
      <c r="L896" s="1195"/>
      <c r="N896" s="744"/>
    </row>
    <row r="897" spans="2:14" x14ac:dyDescent="0.25">
      <c r="B897" s="20"/>
      <c r="C897" s="20"/>
      <c r="D897" s="1153">
        <f t="shared" si="79"/>
        <v>0</v>
      </c>
      <c r="E897" s="1154">
        <f t="shared" si="80"/>
        <v>0</v>
      </c>
      <c r="F897" s="1155">
        <f t="shared" si="81"/>
        <v>0</v>
      </c>
      <c r="G897" s="1155">
        <f t="shared" si="78"/>
        <v>0</v>
      </c>
      <c r="H897" s="22"/>
      <c r="I897" s="22"/>
      <c r="J897" s="654"/>
      <c r="K897" s="1195"/>
      <c r="L897" s="1195"/>
      <c r="N897" s="744"/>
    </row>
    <row r="898" spans="2:14" x14ac:dyDescent="0.25">
      <c r="B898" s="20"/>
      <c r="C898" s="20"/>
      <c r="D898" s="1153">
        <f t="shared" si="79"/>
        <v>0</v>
      </c>
      <c r="E898" s="1154">
        <f t="shared" si="80"/>
        <v>0</v>
      </c>
      <c r="F898" s="1155">
        <f t="shared" si="81"/>
        <v>0</v>
      </c>
      <c r="G898" s="1155">
        <f t="shared" si="78"/>
        <v>0</v>
      </c>
      <c r="H898" s="22"/>
      <c r="I898" s="22"/>
      <c r="J898" s="654"/>
      <c r="K898" s="1195"/>
      <c r="L898" s="1195"/>
      <c r="N898" s="744"/>
    </row>
    <row r="899" spans="2:14" x14ac:dyDescent="0.25">
      <c r="B899" s="20"/>
      <c r="C899" s="20"/>
      <c r="D899" s="1153">
        <f t="shared" si="79"/>
        <v>0</v>
      </c>
      <c r="E899" s="1154">
        <f t="shared" si="80"/>
        <v>0</v>
      </c>
      <c r="F899" s="1155">
        <f t="shared" si="81"/>
        <v>0</v>
      </c>
      <c r="G899" s="1155">
        <f t="shared" si="78"/>
        <v>0</v>
      </c>
      <c r="H899" s="22"/>
      <c r="I899" s="22"/>
      <c r="J899" s="654"/>
      <c r="K899" s="1195"/>
      <c r="L899" s="1195"/>
      <c r="N899" s="744"/>
    </row>
    <row r="900" spans="2:14" x14ac:dyDescent="0.25">
      <c r="B900" s="20"/>
      <c r="C900" s="20"/>
      <c r="D900" s="1153">
        <f t="shared" si="79"/>
        <v>0</v>
      </c>
      <c r="E900" s="1154">
        <f t="shared" si="80"/>
        <v>0</v>
      </c>
      <c r="F900" s="1155">
        <f t="shared" si="81"/>
        <v>0</v>
      </c>
      <c r="G900" s="1155">
        <f t="shared" si="78"/>
        <v>0</v>
      </c>
      <c r="H900" s="22"/>
      <c r="I900" s="22"/>
      <c r="J900" s="654"/>
      <c r="K900" s="1195"/>
      <c r="L900" s="1195"/>
      <c r="N900" s="744"/>
    </row>
    <row r="901" spans="2:14" x14ac:dyDescent="0.25">
      <c r="B901" s="20"/>
      <c r="C901" s="20"/>
      <c r="D901" s="1153">
        <f t="shared" si="79"/>
        <v>0</v>
      </c>
      <c r="E901" s="1154">
        <f t="shared" si="80"/>
        <v>0</v>
      </c>
      <c r="F901" s="1155">
        <f t="shared" si="81"/>
        <v>0</v>
      </c>
      <c r="G901" s="1155">
        <f t="shared" si="78"/>
        <v>0</v>
      </c>
      <c r="H901" s="22"/>
      <c r="I901" s="22"/>
      <c r="J901" s="654"/>
      <c r="K901" s="1195"/>
      <c r="L901" s="1195"/>
      <c r="N901" s="744"/>
    </row>
    <row r="902" spans="2:14" x14ac:dyDescent="0.25">
      <c r="B902" s="20"/>
      <c r="C902" s="20"/>
      <c r="D902" s="1153">
        <f t="shared" si="79"/>
        <v>0</v>
      </c>
      <c r="E902" s="1154">
        <f t="shared" si="80"/>
        <v>0</v>
      </c>
      <c r="F902" s="1155">
        <f t="shared" si="81"/>
        <v>0</v>
      </c>
      <c r="G902" s="1155">
        <f t="shared" si="78"/>
        <v>0</v>
      </c>
      <c r="H902" s="22"/>
      <c r="I902" s="22"/>
      <c r="J902" s="654"/>
      <c r="K902" s="1195"/>
      <c r="L902" s="1195"/>
      <c r="N902" s="744"/>
    </row>
    <row r="903" spans="2:14" x14ac:dyDescent="0.25">
      <c r="B903" s="20"/>
      <c r="C903" s="20"/>
      <c r="D903" s="1153">
        <f t="shared" si="79"/>
        <v>0</v>
      </c>
      <c r="E903" s="1154">
        <f t="shared" si="80"/>
        <v>0</v>
      </c>
      <c r="F903" s="1155">
        <f t="shared" si="81"/>
        <v>0</v>
      </c>
      <c r="G903" s="1155">
        <f t="shared" si="78"/>
        <v>0</v>
      </c>
      <c r="H903" s="22"/>
      <c r="I903" s="22"/>
      <c r="J903" s="654"/>
      <c r="K903" s="1195"/>
      <c r="L903" s="1195"/>
      <c r="N903" s="744"/>
    </row>
    <row r="904" spans="2:14" x14ac:dyDescent="0.25">
      <c r="B904" s="20"/>
      <c r="C904" s="20"/>
      <c r="D904" s="1153">
        <f t="shared" si="79"/>
        <v>0</v>
      </c>
      <c r="E904" s="1154">
        <f t="shared" si="80"/>
        <v>0</v>
      </c>
      <c r="F904" s="1155">
        <f t="shared" si="81"/>
        <v>0</v>
      </c>
      <c r="G904" s="1155">
        <f t="shared" si="78"/>
        <v>0</v>
      </c>
      <c r="H904" s="22"/>
      <c r="I904" s="22"/>
      <c r="J904" s="654"/>
      <c r="K904" s="1195"/>
      <c r="L904" s="1195"/>
      <c r="N904" s="744"/>
    </row>
    <row r="905" spans="2:14" x14ac:dyDescent="0.25">
      <c r="B905" s="20"/>
      <c r="C905" s="20"/>
      <c r="D905" s="1153">
        <f t="shared" si="79"/>
        <v>0</v>
      </c>
      <c r="E905" s="1154">
        <f t="shared" si="80"/>
        <v>0</v>
      </c>
      <c r="F905" s="1155">
        <f t="shared" si="81"/>
        <v>0</v>
      </c>
      <c r="G905" s="1155">
        <f t="shared" si="78"/>
        <v>0</v>
      </c>
      <c r="H905" s="22"/>
      <c r="I905" s="22"/>
      <c r="J905" s="654"/>
      <c r="K905" s="1195"/>
      <c r="L905" s="1195"/>
      <c r="N905" s="744"/>
    </row>
    <row r="906" spans="2:14" x14ac:dyDescent="0.25">
      <c r="B906" s="20"/>
      <c r="C906" s="20"/>
      <c r="D906" s="1153">
        <f t="shared" si="79"/>
        <v>0</v>
      </c>
      <c r="E906" s="1154">
        <f t="shared" si="80"/>
        <v>0</v>
      </c>
      <c r="F906" s="1155">
        <f t="shared" si="81"/>
        <v>0</v>
      </c>
      <c r="G906" s="1155">
        <f t="shared" si="78"/>
        <v>0</v>
      </c>
      <c r="H906" s="22"/>
      <c r="I906" s="22"/>
      <c r="J906" s="654"/>
      <c r="K906" s="1195"/>
      <c r="L906" s="1195"/>
      <c r="N906" s="744"/>
    </row>
    <row r="907" spans="2:14" x14ac:dyDescent="0.25">
      <c r="B907" s="20"/>
      <c r="C907" s="20"/>
      <c r="D907" s="1153">
        <f t="shared" si="79"/>
        <v>0</v>
      </c>
      <c r="E907" s="1154">
        <f t="shared" si="80"/>
        <v>0</v>
      </c>
      <c r="F907" s="1155">
        <f t="shared" si="81"/>
        <v>0</v>
      </c>
      <c r="G907" s="1155">
        <f t="shared" si="78"/>
        <v>0</v>
      </c>
      <c r="H907" s="22"/>
      <c r="I907" s="22"/>
      <c r="J907" s="654"/>
      <c r="K907" s="1195"/>
      <c r="L907" s="1195"/>
      <c r="N907" s="744"/>
    </row>
    <row r="908" spans="2:14" x14ac:dyDescent="0.25">
      <c r="B908" s="20"/>
      <c r="C908" s="20"/>
      <c r="D908" s="1153">
        <f t="shared" si="79"/>
        <v>0</v>
      </c>
      <c r="E908" s="1154">
        <f t="shared" si="80"/>
        <v>0</v>
      </c>
      <c r="F908" s="1155">
        <f t="shared" si="81"/>
        <v>0</v>
      </c>
      <c r="G908" s="1155">
        <f t="shared" si="78"/>
        <v>0</v>
      </c>
      <c r="H908" s="22"/>
      <c r="I908" s="22"/>
      <c r="J908" s="654"/>
      <c r="K908" s="1195"/>
      <c r="L908" s="1195"/>
      <c r="N908" s="744"/>
    </row>
    <row r="909" spans="2:14" x14ac:dyDescent="0.25">
      <c r="B909" s="20"/>
      <c r="C909" s="20"/>
      <c r="D909" s="1153">
        <f t="shared" si="79"/>
        <v>0</v>
      </c>
      <c r="E909" s="1154">
        <f t="shared" si="80"/>
        <v>0</v>
      </c>
      <c r="F909" s="1155">
        <f t="shared" si="81"/>
        <v>0</v>
      </c>
      <c r="G909" s="1155">
        <f t="shared" si="78"/>
        <v>0</v>
      </c>
      <c r="H909" s="22"/>
      <c r="I909" s="22"/>
      <c r="J909" s="654"/>
      <c r="K909" s="1195"/>
      <c r="L909" s="1195"/>
      <c r="N909" s="744"/>
    </row>
    <row r="910" spans="2:14" x14ac:dyDescent="0.25">
      <c r="B910" s="20"/>
      <c r="C910" s="20"/>
      <c r="D910" s="1153">
        <f t="shared" si="79"/>
        <v>0</v>
      </c>
      <c r="E910" s="1154">
        <f t="shared" si="80"/>
        <v>0</v>
      </c>
      <c r="F910" s="1155">
        <f t="shared" si="81"/>
        <v>0</v>
      </c>
      <c r="G910" s="1155">
        <f t="shared" si="78"/>
        <v>0</v>
      </c>
      <c r="H910" s="22"/>
      <c r="I910" s="22"/>
      <c r="J910" s="654"/>
      <c r="K910" s="1195"/>
      <c r="L910" s="1195"/>
      <c r="N910" s="744"/>
    </row>
    <row r="911" spans="2:14" x14ac:dyDescent="0.25">
      <c r="B911" s="20"/>
      <c r="C911" s="20"/>
      <c r="D911" s="1153">
        <f t="shared" si="79"/>
        <v>0</v>
      </c>
      <c r="E911" s="1154">
        <f t="shared" si="80"/>
        <v>0</v>
      </c>
      <c r="F911" s="1155">
        <f t="shared" si="81"/>
        <v>0</v>
      </c>
      <c r="G911" s="1155">
        <f t="shared" si="78"/>
        <v>0</v>
      </c>
      <c r="H911" s="22"/>
      <c r="I911" s="22"/>
      <c r="J911" s="654"/>
      <c r="K911" s="1195"/>
      <c r="L911" s="1195"/>
      <c r="N911" s="744"/>
    </row>
    <row r="912" spans="2:14" x14ac:dyDescent="0.25">
      <c r="B912" s="20"/>
      <c r="C912" s="20"/>
      <c r="D912" s="1153">
        <f t="shared" si="79"/>
        <v>0</v>
      </c>
      <c r="E912" s="1154">
        <f t="shared" si="80"/>
        <v>0</v>
      </c>
      <c r="F912" s="1155">
        <f t="shared" si="81"/>
        <v>0</v>
      </c>
      <c r="G912" s="1155">
        <f t="shared" si="78"/>
        <v>0</v>
      </c>
      <c r="H912" s="22"/>
      <c r="I912" s="22"/>
      <c r="J912" s="654"/>
      <c r="K912" s="1195"/>
      <c r="L912" s="1195"/>
      <c r="N912" s="744"/>
    </row>
    <row r="913" spans="2:14" x14ac:dyDescent="0.25">
      <c r="B913" s="20"/>
      <c r="C913" s="20"/>
      <c r="D913" s="1153">
        <f t="shared" si="79"/>
        <v>0</v>
      </c>
      <c r="E913" s="1154">
        <f t="shared" si="80"/>
        <v>0</v>
      </c>
      <c r="F913" s="1155">
        <f t="shared" si="81"/>
        <v>0</v>
      </c>
      <c r="G913" s="1155">
        <f t="shared" si="78"/>
        <v>0</v>
      </c>
      <c r="H913" s="22"/>
      <c r="I913" s="22"/>
      <c r="J913" s="654"/>
      <c r="K913" s="1195"/>
      <c r="L913" s="1195"/>
      <c r="N913" s="744"/>
    </row>
    <row r="914" spans="2:14" x14ac:dyDescent="0.25">
      <c r="B914" s="20"/>
      <c r="C914" s="20"/>
      <c r="D914" s="1153">
        <f t="shared" si="79"/>
        <v>0</v>
      </c>
      <c r="E914" s="1154">
        <f t="shared" si="80"/>
        <v>0</v>
      </c>
      <c r="F914" s="1155">
        <f t="shared" si="81"/>
        <v>0</v>
      </c>
      <c r="G914" s="1155">
        <f t="shared" si="78"/>
        <v>0</v>
      </c>
      <c r="H914" s="22"/>
      <c r="I914" s="22"/>
      <c r="J914" s="654"/>
      <c r="K914" s="1195"/>
      <c r="L914" s="1195"/>
      <c r="N914" s="744"/>
    </row>
    <row r="915" spans="2:14" x14ac:dyDescent="0.25">
      <c r="B915" s="20"/>
      <c r="C915" s="20"/>
      <c r="D915" s="1153">
        <f t="shared" si="79"/>
        <v>0</v>
      </c>
      <c r="E915" s="1154">
        <f t="shared" si="80"/>
        <v>0</v>
      </c>
      <c r="F915" s="1155">
        <f t="shared" si="81"/>
        <v>0</v>
      </c>
      <c r="G915" s="1155">
        <f t="shared" si="78"/>
        <v>0</v>
      </c>
      <c r="H915" s="22"/>
      <c r="I915" s="22"/>
      <c r="J915" s="654"/>
      <c r="K915" s="1195"/>
      <c r="L915" s="1195"/>
      <c r="N915" s="744"/>
    </row>
    <row r="916" spans="2:14" x14ac:dyDescent="0.25">
      <c r="B916" s="20"/>
      <c r="C916" s="20"/>
      <c r="D916" s="1153">
        <f t="shared" si="79"/>
        <v>0</v>
      </c>
      <c r="E916" s="1154">
        <f t="shared" si="80"/>
        <v>0</v>
      </c>
      <c r="F916" s="1155">
        <f t="shared" si="81"/>
        <v>0</v>
      </c>
      <c r="G916" s="1155">
        <f t="shared" si="78"/>
        <v>0</v>
      </c>
      <c r="H916" s="22"/>
      <c r="I916" s="22"/>
      <c r="J916" s="654"/>
      <c r="K916" s="1195"/>
      <c r="L916" s="1195"/>
      <c r="N916" s="744"/>
    </row>
    <row r="917" spans="2:14" x14ac:dyDescent="0.25">
      <c r="B917" s="20"/>
      <c r="C917" s="20"/>
      <c r="D917" s="1153">
        <f t="shared" si="79"/>
        <v>0</v>
      </c>
      <c r="E917" s="1154">
        <f t="shared" si="80"/>
        <v>0</v>
      </c>
      <c r="F917" s="1155">
        <f t="shared" si="81"/>
        <v>0</v>
      </c>
      <c r="G917" s="1155">
        <f t="shared" si="78"/>
        <v>0</v>
      </c>
      <c r="H917" s="22"/>
      <c r="I917" s="22"/>
      <c r="J917" s="654"/>
      <c r="K917" s="1195"/>
      <c r="L917" s="1195"/>
      <c r="N917" s="744"/>
    </row>
    <row r="918" spans="2:14" x14ac:dyDescent="0.25">
      <c r="B918" s="20"/>
      <c r="C918" s="20"/>
      <c r="D918" s="1153">
        <f t="shared" si="79"/>
        <v>0</v>
      </c>
      <c r="E918" s="1154">
        <f t="shared" si="80"/>
        <v>0</v>
      </c>
      <c r="F918" s="1155">
        <f t="shared" si="81"/>
        <v>0</v>
      </c>
      <c r="G918" s="1155">
        <f t="shared" si="78"/>
        <v>0</v>
      </c>
      <c r="H918" s="22"/>
      <c r="I918" s="22"/>
      <c r="J918" s="654"/>
      <c r="K918" s="1195"/>
      <c r="L918" s="1195"/>
      <c r="N918" s="744"/>
    </row>
    <row r="919" spans="2:14" x14ac:dyDescent="0.25">
      <c r="B919" s="20"/>
      <c r="C919" s="20"/>
      <c r="D919" s="1153">
        <f t="shared" si="79"/>
        <v>0</v>
      </c>
      <c r="E919" s="1154">
        <f t="shared" si="80"/>
        <v>0</v>
      </c>
      <c r="F919" s="1155">
        <f t="shared" si="81"/>
        <v>0</v>
      </c>
      <c r="G919" s="1155">
        <f t="shared" si="78"/>
        <v>0</v>
      </c>
      <c r="H919" s="22"/>
      <c r="I919" s="22"/>
      <c r="J919" s="654"/>
      <c r="K919" s="1195"/>
      <c r="L919" s="1195"/>
      <c r="N919" s="744"/>
    </row>
    <row r="920" spans="2:14" x14ac:dyDescent="0.25">
      <c r="B920" s="20"/>
      <c r="C920" s="20"/>
      <c r="D920" s="1153">
        <f t="shared" si="79"/>
        <v>0</v>
      </c>
      <c r="E920" s="1154">
        <f t="shared" si="80"/>
        <v>0</v>
      </c>
      <c r="F920" s="1155">
        <f t="shared" si="81"/>
        <v>0</v>
      </c>
      <c r="G920" s="1155">
        <f t="shared" si="78"/>
        <v>0</v>
      </c>
      <c r="H920" s="22"/>
      <c r="I920" s="22"/>
      <c r="J920" s="654"/>
      <c r="K920" s="1195"/>
      <c r="L920" s="1195"/>
      <c r="N920" s="744"/>
    </row>
    <row r="921" spans="2:14" x14ac:dyDescent="0.25">
      <c r="B921" s="20"/>
      <c r="C921" s="20"/>
      <c r="D921" s="1153">
        <f t="shared" si="79"/>
        <v>0</v>
      </c>
      <c r="E921" s="1154">
        <f t="shared" si="80"/>
        <v>0</v>
      </c>
      <c r="F921" s="1155">
        <f t="shared" si="81"/>
        <v>0</v>
      </c>
      <c r="G921" s="1155">
        <f t="shared" si="78"/>
        <v>0</v>
      </c>
      <c r="H921" s="22"/>
      <c r="I921" s="22"/>
      <c r="J921" s="654"/>
      <c r="K921" s="1195"/>
      <c r="L921" s="1195"/>
      <c r="N921" s="744"/>
    </row>
    <row r="922" spans="2:14" x14ac:dyDescent="0.25">
      <c r="B922" s="20"/>
      <c r="C922" s="20"/>
      <c r="D922" s="1153">
        <f t="shared" si="79"/>
        <v>0</v>
      </c>
      <c r="E922" s="1154">
        <f t="shared" si="80"/>
        <v>0</v>
      </c>
      <c r="F922" s="1155">
        <f t="shared" si="81"/>
        <v>0</v>
      </c>
      <c r="G922" s="1155">
        <f t="shared" si="78"/>
        <v>0</v>
      </c>
      <c r="H922" s="22"/>
      <c r="I922" s="22"/>
      <c r="J922" s="654"/>
      <c r="K922" s="1195"/>
      <c r="L922" s="1195"/>
      <c r="N922" s="744"/>
    </row>
    <row r="923" spans="2:14" x14ac:dyDescent="0.25">
      <c r="B923" s="20"/>
      <c r="C923" s="20"/>
      <c r="D923" s="1153">
        <f t="shared" si="79"/>
        <v>0</v>
      </c>
      <c r="E923" s="1154">
        <f t="shared" si="80"/>
        <v>0</v>
      </c>
      <c r="F923" s="1155">
        <f t="shared" si="81"/>
        <v>0</v>
      </c>
      <c r="G923" s="1155">
        <f t="shared" si="78"/>
        <v>0</v>
      </c>
      <c r="H923" s="22"/>
      <c r="I923" s="22"/>
      <c r="J923" s="654"/>
      <c r="K923" s="1195"/>
      <c r="L923" s="1195"/>
      <c r="N923" s="744"/>
    </row>
    <row r="924" spans="2:14" x14ac:dyDescent="0.25">
      <c r="B924" s="20"/>
      <c r="C924" s="20"/>
      <c r="D924" s="1153">
        <f t="shared" si="79"/>
        <v>0</v>
      </c>
      <c r="E924" s="1154">
        <f t="shared" si="80"/>
        <v>0</v>
      </c>
      <c r="F924" s="1155">
        <f t="shared" si="81"/>
        <v>0</v>
      </c>
      <c r="G924" s="1155">
        <f t="shared" si="78"/>
        <v>0</v>
      </c>
      <c r="H924" s="22"/>
      <c r="I924" s="22"/>
      <c r="J924" s="654"/>
      <c r="K924" s="1195"/>
      <c r="L924" s="1195"/>
      <c r="N924" s="744"/>
    </row>
    <row r="925" spans="2:14" x14ac:dyDescent="0.25">
      <c r="B925" s="20"/>
      <c r="C925" s="20"/>
      <c r="D925" s="1153">
        <f t="shared" si="79"/>
        <v>0</v>
      </c>
      <c r="E925" s="1154">
        <f t="shared" si="80"/>
        <v>0</v>
      </c>
      <c r="F925" s="1155">
        <f t="shared" si="81"/>
        <v>0</v>
      </c>
      <c r="G925" s="1155">
        <f t="shared" si="78"/>
        <v>0</v>
      </c>
      <c r="H925" s="22"/>
      <c r="I925" s="22"/>
      <c r="J925" s="654"/>
      <c r="K925" s="1195"/>
      <c r="L925" s="1195"/>
      <c r="N925" s="744"/>
    </row>
    <row r="926" spans="2:14" x14ac:dyDescent="0.25">
      <c r="B926" s="20"/>
      <c r="C926" s="20"/>
      <c r="D926" s="1153">
        <f t="shared" si="79"/>
        <v>0</v>
      </c>
      <c r="E926" s="1154">
        <f t="shared" si="80"/>
        <v>0</v>
      </c>
      <c r="F926" s="1155">
        <f t="shared" si="81"/>
        <v>0</v>
      </c>
      <c r="G926" s="1155">
        <f t="shared" si="78"/>
        <v>0</v>
      </c>
      <c r="H926" s="22"/>
      <c r="I926" s="22"/>
      <c r="J926" s="654"/>
      <c r="K926" s="1195"/>
      <c r="L926" s="1195"/>
      <c r="N926" s="744"/>
    </row>
    <row r="927" spans="2:14" x14ac:dyDescent="0.25">
      <c r="B927" s="20"/>
      <c r="C927" s="20"/>
      <c r="D927" s="1153">
        <f t="shared" si="79"/>
        <v>0</v>
      </c>
      <c r="E927" s="1154">
        <f t="shared" si="80"/>
        <v>0</v>
      </c>
      <c r="F927" s="1155">
        <f t="shared" si="81"/>
        <v>0</v>
      </c>
      <c r="G927" s="1155">
        <f t="shared" si="78"/>
        <v>0</v>
      </c>
      <c r="H927" s="22"/>
      <c r="I927" s="22"/>
      <c r="J927" s="654"/>
      <c r="K927" s="1195"/>
      <c r="L927" s="1195"/>
      <c r="N927" s="744"/>
    </row>
    <row r="928" spans="2:14" x14ac:dyDescent="0.25">
      <c r="B928" s="20"/>
      <c r="C928" s="20"/>
      <c r="D928" s="1153">
        <f t="shared" si="79"/>
        <v>0</v>
      </c>
      <c r="E928" s="1154">
        <f t="shared" si="80"/>
        <v>0</v>
      </c>
      <c r="F928" s="1155">
        <f t="shared" si="81"/>
        <v>0</v>
      </c>
      <c r="G928" s="1155">
        <f t="shared" si="78"/>
        <v>0</v>
      </c>
      <c r="H928" s="22"/>
      <c r="I928" s="22"/>
      <c r="J928" s="654"/>
      <c r="K928" s="1195"/>
      <c r="L928" s="1195"/>
      <c r="N928" s="744"/>
    </row>
    <row r="929" spans="2:14" x14ac:dyDescent="0.25">
      <c r="B929" s="20"/>
      <c r="C929" s="20"/>
      <c r="D929" s="1153">
        <f t="shared" si="79"/>
        <v>0</v>
      </c>
      <c r="E929" s="1154">
        <f t="shared" si="80"/>
        <v>0</v>
      </c>
      <c r="F929" s="1155">
        <f t="shared" si="81"/>
        <v>0</v>
      </c>
      <c r="G929" s="1155">
        <f t="shared" si="78"/>
        <v>0</v>
      </c>
      <c r="H929" s="22"/>
      <c r="I929" s="22"/>
      <c r="J929" s="654"/>
      <c r="K929" s="1195"/>
      <c r="L929" s="1195"/>
      <c r="N929" s="744"/>
    </row>
    <row r="930" spans="2:14" x14ac:dyDescent="0.25">
      <c r="B930" s="20"/>
      <c r="C930" s="20"/>
      <c r="D930" s="1153">
        <f t="shared" si="79"/>
        <v>0</v>
      </c>
      <c r="E930" s="1154">
        <f t="shared" si="80"/>
        <v>0</v>
      </c>
      <c r="F930" s="1155">
        <f t="shared" si="81"/>
        <v>0</v>
      </c>
      <c r="G930" s="1155">
        <f t="shared" si="78"/>
        <v>0</v>
      </c>
      <c r="H930" s="22"/>
      <c r="I930" s="22"/>
      <c r="J930" s="654"/>
      <c r="K930" s="1195"/>
      <c r="L930" s="1195"/>
      <c r="N930" s="744"/>
    </row>
    <row r="931" spans="2:14" x14ac:dyDescent="0.25">
      <c r="B931" s="20"/>
      <c r="C931" s="20"/>
      <c r="D931" s="1153">
        <f t="shared" si="79"/>
        <v>0</v>
      </c>
      <c r="E931" s="1154">
        <f t="shared" si="80"/>
        <v>0</v>
      </c>
      <c r="F931" s="1155">
        <f t="shared" si="81"/>
        <v>0</v>
      </c>
      <c r="G931" s="1155">
        <f t="shared" si="78"/>
        <v>0</v>
      </c>
      <c r="H931" s="22"/>
      <c r="I931" s="22"/>
      <c r="J931" s="654"/>
      <c r="K931" s="1195"/>
      <c r="L931" s="1195"/>
      <c r="N931" s="744"/>
    </row>
    <row r="932" spans="2:14" x14ac:dyDescent="0.25">
      <c r="B932" s="20"/>
      <c r="C932" s="20"/>
      <c r="D932" s="988"/>
      <c r="E932" s="25"/>
      <c r="F932" s="22"/>
      <c r="G932" s="22"/>
      <c r="H932" s="22"/>
      <c r="I932" s="22"/>
      <c r="J932" s="654"/>
      <c r="K932" s="1195"/>
      <c r="L932" s="1195"/>
      <c r="N932" s="744"/>
    </row>
    <row r="933" spans="2:14" x14ac:dyDescent="0.25">
      <c r="B933" s="20"/>
      <c r="C933" s="20"/>
      <c r="D933" s="32"/>
      <c r="E933" s="25"/>
      <c r="F933" s="22"/>
      <c r="G933" s="20">
        <f>SUM(G882:G932)</f>
        <v>75.5</v>
      </c>
      <c r="H933" s="22"/>
      <c r="I933" s="22"/>
      <c r="J933" s="654"/>
      <c r="K933" s="1195"/>
      <c r="L933" s="1195"/>
      <c r="N933" s="68"/>
    </row>
    <row r="934" spans="2:14" x14ac:dyDescent="0.25">
      <c r="B934" s="20"/>
      <c r="C934" s="20"/>
      <c r="D934" s="714" t="str">
        <f>+D744</f>
        <v>Alcantarillas reemplazar:</v>
      </c>
      <c r="E934" s="25">
        <f>3.7*2</f>
        <v>7.4</v>
      </c>
      <c r="F934" s="22">
        <f>+E744</f>
        <v>5</v>
      </c>
      <c r="G934" s="20">
        <f>+E934*F934</f>
        <v>37</v>
      </c>
      <c r="H934" s="22"/>
      <c r="I934" s="22"/>
      <c r="J934" s="655">
        <f>+G934</f>
        <v>37</v>
      </c>
      <c r="K934" s="1195"/>
      <c r="L934" s="1195"/>
      <c r="N934" s="68"/>
    </row>
    <row r="935" spans="2:14" x14ac:dyDescent="0.25">
      <c r="B935" s="20"/>
      <c r="C935" s="20"/>
      <c r="D935" s="714" t="str">
        <f>+D745</f>
        <v>Alcantarillas nuevas:</v>
      </c>
      <c r="E935" s="25">
        <f>3.7*2</f>
        <v>7.4</v>
      </c>
      <c r="F935" s="22">
        <f>+E745</f>
        <v>10</v>
      </c>
      <c r="G935" s="20">
        <f>+E935*F935</f>
        <v>74</v>
      </c>
      <c r="H935" s="22"/>
      <c r="I935" s="22"/>
      <c r="J935" s="655">
        <f>+G935</f>
        <v>74</v>
      </c>
      <c r="K935" s="1195"/>
      <c r="L935" s="1195"/>
      <c r="N935" s="744"/>
    </row>
    <row r="936" spans="2:14" ht="15" customHeight="1" x14ac:dyDescent="0.25">
      <c r="B936" s="1196" t="s">
        <v>973</v>
      </c>
      <c r="C936" s="1197"/>
      <c r="D936" s="1197"/>
      <c r="E936" s="1197"/>
      <c r="F936" s="1198"/>
      <c r="G936" s="20"/>
      <c r="H936" s="22"/>
      <c r="I936" s="22"/>
      <c r="J936" s="655"/>
      <c r="K936" s="1195"/>
      <c r="L936" s="1195"/>
      <c r="N936" s="744"/>
    </row>
    <row r="937" spans="2:14" x14ac:dyDescent="0.25">
      <c r="B937" s="1199"/>
      <c r="C937" s="1200"/>
      <c r="D937" s="1200"/>
      <c r="E937" s="1200"/>
      <c r="F937" s="1201"/>
      <c r="G937" s="20"/>
      <c r="H937" s="22"/>
      <c r="I937" s="22"/>
      <c r="J937" s="655"/>
      <c r="K937" s="1195"/>
      <c r="L937" s="1195"/>
      <c r="N937" s="744"/>
    </row>
    <row r="938" spans="2:14" s="15" customFormat="1" x14ac:dyDescent="0.25">
      <c r="B938" s="1202"/>
      <c r="C938" s="1203"/>
      <c r="D938" s="1203"/>
      <c r="E938" s="1203"/>
      <c r="F938" s="1204"/>
      <c r="G938" s="783" t="s">
        <v>80</v>
      </c>
      <c r="H938" s="783"/>
      <c r="I938" s="783"/>
      <c r="J938" s="792">
        <f>ROUNDUP(SUM(J880:J934),0)</f>
        <v>113</v>
      </c>
      <c r="K938" s="1195"/>
      <c r="L938" s="1195"/>
    </row>
    <row r="940" spans="2:14" x14ac:dyDescent="0.25">
      <c r="D940" s="1" t="str">
        <f>+P.Detall!E65</f>
        <v>ELEMENTOS AUXILIARES DE CONTENCIÓN</v>
      </c>
    </row>
    <row r="941" spans="2:14" s="15" customFormat="1" ht="15.75" x14ac:dyDescent="0.25">
      <c r="B941" s="632"/>
      <c r="C941" s="632"/>
      <c r="D941" s="27"/>
      <c r="E941" s="27"/>
      <c r="F941" s="27"/>
      <c r="H941" s="24"/>
      <c r="I941" s="24"/>
    </row>
    <row r="942" spans="2:14" ht="15.75" x14ac:dyDescent="0.25">
      <c r="D942" s="626"/>
      <c r="E942" s="1209" t="s">
        <v>78</v>
      </c>
      <c r="F942" s="1210"/>
      <c r="G942" s="1210"/>
      <c r="H942" s="1211"/>
      <c r="I942" s="782" t="s">
        <v>79</v>
      </c>
      <c r="J942" s="54" t="str">
        <f>+P.Detall!F66</f>
        <v>M3</v>
      </c>
      <c r="K942" s="1205" t="s">
        <v>971</v>
      </c>
      <c r="L942" s="1206"/>
    </row>
    <row r="943" spans="2:14" x14ac:dyDescent="0.25">
      <c r="B943" s="629" t="s">
        <v>2</v>
      </c>
      <c r="C943" s="629" t="s">
        <v>2</v>
      </c>
      <c r="D943" s="629" t="s">
        <v>4</v>
      </c>
      <c r="E943" s="629" t="s">
        <v>75</v>
      </c>
      <c r="F943" s="629" t="s">
        <v>76</v>
      </c>
      <c r="G943" s="629" t="s">
        <v>122</v>
      </c>
      <c r="H943" s="703"/>
      <c r="I943" s="703"/>
      <c r="J943" s="790" t="s">
        <v>88</v>
      </c>
      <c r="K943" s="1207"/>
      <c r="L943" s="1208"/>
    </row>
    <row r="944" spans="2:14" x14ac:dyDescent="0.25">
      <c r="B944" s="47">
        <v>681.13</v>
      </c>
      <c r="C944" s="20" t="s">
        <v>9</v>
      </c>
      <c r="D944" s="742" t="str">
        <f>+P.Detall!E66</f>
        <v>GAVIÓN</v>
      </c>
      <c r="E944" s="25"/>
      <c r="F944" s="22"/>
      <c r="G944" s="22"/>
      <c r="H944" s="22"/>
      <c r="I944" s="22"/>
      <c r="J944" s="655"/>
      <c r="K944" s="1195"/>
      <c r="L944" s="1195"/>
    </row>
    <row r="945" spans="2:14" x14ac:dyDescent="0.25">
      <c r="B945" s="20"/>
      <c r="C945" s="20"/>
      <c r="D945" s="32" t="str">
        <f>+D589</f>
        <v>gavion 1</v>
      </c>
      <c r="E945" s="25">
        <f>+E589</f>
        <v>18</v>
      </c>
      <c r="F945" s="25">
        <f>+F589</f>
        <v>1.85</v>
      </c>
      <c r="G945" s="25">
        <f>+G589</f>
        <v>3</v>
      </c>
      <c r="H945" s="22"/>
      <c r="I945" s="22"/>
      <c r="J945" s="654">
        <f>+G945*F945*E945</f>
        <v>99.9</v>
      </c>
      <c r="K945" s="1195"/>
      <c r="L945" s="1195"/>
      <c r="M945">
        <v>100</v>
      </c>
      <c r="N945">
        <v>6036</v>
      </c>
    </row>
    <row r="946" spans="2:14" x14ac:dyDescent="0.25">
      <c r="B946" s="20"/>
      <c r="C946" s="20"/>
      <c r="D946" s="32" t="str">
        <f t="shared" ref="D946:G947" si="82">+D590</f>
        <v>gavion 2</v>
      </c>
      <c r="E946" s="25">
        <f t="shared" si="82"/>
        <v>12</v>
      </c>
      <c r="F946" s="25">
        <f t="shared" si="82"/>
        <v>1.85</v>
      </c>
      <c r="G946" s="25">
        <f t="shared" si="82"/>
        <v>3</v>
      </c>
      <c r="H946" s="22"/>
      <c r="I946" s="22"/>
      <c r="J946" s="654">
        <f t="shared" ref="J946:J947" si="83">+G946*F946*E946</f>
        <v>66.600000000000009</v>
      </c>
      <c r="K946" s="1195"/>
      <c r="L946" s="1195"/>
      <c r="M946">
        <f>+(N946*M945)/N945</f>
        <v>3.6447978793903246</v>
      </c>
      <c r="N946" s="68">
        <f>+E861</f>
        <v>220</v>
      </c>
    </row>
    <row r="947" spans="2:14" x14ac:dyDescent="0.25">
      <c r="B947" s="20"/>
      <c r="C947" s="20"/>
      <c r="D947" s="32" t="str">
        <f t="shared" si="82"/>
        <v>gavion 3</v>
      </c>
      <c r="E947" s="25">
        <f t="shared" si="82"/>
        <v>18</v>
      </c>
      <c r="F947" s="25">
        <f t="shared" si="82"/>
        <v>1.85</v>
      </c>
      <c r="G947" s="25">
        <f t="shared" si="82"/>
        <v>3</v>
      </c>
      <c r="H947" s="22"/>
      <c r="I947" s="22"/>
      <c r="J947" s="654">
        <f t="shared" si="83"/>
        <v>99.9</v>
      </c>
      <c r="K947" s="1195"/>
      <c r="L947" s="1195"/>
    </row>
    <row r="948" spans="2:14" x14ac:dyDescent="0.25">
      <c r="B948" s="20"/>
      <c r="C948" s="20"/>
      <c r="D948" s="25"/>
      <c r="E948" s="25"/>
      <c r="F948" s="22"/>
      <c r="G948" s="22"/>
      <c r="H948" s="22"/>
      <c r="I948" s="22"/>
      <c r="J948" s="655"/>
      <c r="K948" s="1195"/>
      <c r="L948" s="1195"/>
    </row>
    <row r="949" spans="2:14" x14ac:dyDescent="0.25">
      <c r="B949" s="20"/>
      <c r="C949" s="20"/>
      <c r="D949" s="25"/>
      <c r="E949" s="25"/>
      <c r="F949" s="22"/>
      <c r="G949" s="22"/>
      <c r="H949" s="22"/>
      <c r="I949" s="22"/>
      <c r="J949" s="655"/>
      <c r="K949" s="1195"/>
      <c r="L949" s="1195"/>
    </row>
    <row r="950" spans="2:14" x14ac:dyDescent="0.25">
      <c r="B950" s="20"/>
      <c r="C950" s="20"/>
      <c r="D950" s="25"/>
      <c r="E950" s="25"/>
      <c r="F950" s="22"/>
      <c r="G950" s="22"/>
      <c r="H950" s="22"/>
      <c r="I950" s="22"/>
      <c r="J950" s="655"/>
      <c r="K950" s="1195"/>
      <c r="L950" s="1195"/>
    </row>
    <row r="951" spans="2:14" ht="15" customHeight="1" x14ac:dyDescent="0.25">
      <c r="B951" s="1196" t="s">
        <v>973</v>
      </c>
      <c r="C951" s="1197"/>
      <c r="D951" s="1197"/>
      <c r="E951" s="1197"/>
      <c r="F951" s="1198"/>
      <c r="G951" s="22"/>
      <c r="H951" s="22"/>
      <c r="I951" s="22"/>
      <c r="J951" s="655"/>
      <c r="K951" s="1195"/>
      <c r="L951" s="1195"/>
    </row>
    <row r="952" spans="2:14" x14ac:dyDescent="0.25">
      <c r="B952" s="1199"/>
      <c r="C952" s="1200"/>
      <c r="D952" s="1200"/>
      <c r="E952" s="1200"/>
      <c r="F952" s="1201"/>
      <c r="G952" s="22"/>
      <c r="H952" s="22"/>
      <c r="I952" s="22"/>
      <c r="J952" s="655"/>
      <c r="K952" s="1195"/>
      <c r="L952" s="1195"/>
    </row>
    <row r="953" spans="2:14" s="15" customFormat="1" x14ac:dyDescent="0.25">
      <c r="B953" s="1202"/>
      <c r="C953" s="1203"/>
      <c r="D953" s="1203"/>
      <c r="E953" s="1203"/>
      <c r="F953" s="1204"/>
      <c r="G953" s="783" t="s">
        <v>80</v>
      </c>
      <c r="H953" s="783"/>
      <c r="I953" s="783"/>
      <c r="J953" s="792">
        <f>ROUND(SUM(J944:J947),0)</f>
        <v>266</v>
      </c>
      <c r="K953" s="1195"/>
      <c r="L953" s="1195"/>
    </row>
    <row r="955" spans="2:14" x14ac:dyDescent="0.25">
      <c r="B955" s="1134"/>
      <c r="C955" s="1134"/>
    </row>
    <row r="956" spans="2:14" ht="15.75" x14ac:dyDescent="0.25">
      <c r="B956" s="1134"/>
      <c r="C956" s="1134"/>
      <c r="D956" s="793" t="s">
        <v>1237</v>
      </c>
    </row>
    <row r="957" spans="2:14" x14ac:dyDescent="0.25">
      <c r="B957" s="1134"/>
      <c r="C957" s="1134"/>
    </row>
    <row r="958" spans="2:14" ht="15.75" x14ac:dyDescent="0.25">
      <c r="B958" s="1134"/>
      <c r="C958" s="1134"/>
      <c r="D958" s="1134"/>
      <c r="E958" s="1209" t="s">
        <v>78</v>
      </c>
      <c r="F958" s="1210"/>
      <c r="G958" s="1210"/>
      <c r="H958" s="1211"/>
      <c r="I958" s="782" t="s">
        <v>79</v>
      </c>
      <c r="J958" s="650" t="s">
        <v>874</v>
      </c>
      <c r="K958" s="1205" t="s">
        <v>971</v>
      </c>
      <c r="L958" s="1206"/>
    </row>
    <row r="959" spans="2:14" x14ac:dyDescent="0.25">
      <c r="B959" s="1137" t="s">
        <v>2</v>
      </c>
      <c r="C959" s="1137" t="s">
        <v>2</v>
      </c>
      <c r="D959" s="1137" t="s">
        <v>4</v>
      </c>
      <c r="E959" s="1137" t="s">
        <v>75</v>
      </c>
      <c r="F959" s="1137" t="s">
        <v>76</v>
      </c>
      <c r="G959" s="1137" t="s">
        <v>1246</v>
      </c>
      <c r="H959" s="1137" t="s">
        <v>628</v>
      </c>
      <c r="I959" s="1137"/>
      <c r="J959" s="1138" t="s">
        <v>88</v>
      </c>
      <c r="K959" s="1207"/>
      <c r="L959" s="1208"/>
    </row>
    <row r="960" spans="2:14" x14ac:dyDescent="0.25">
      <c r="B960" s="47" t="s">
        <v>164</v>
      </c>
      <c r="C960" s="20" t="s">
        <v>9</v>
      </c>
      <c r="D960" s="742" t="str">
        <f>+P.Detall!E73</f>
        <v>BACHEO</v>
      </c>
      <c r="E960" s="25"/>
      <c r="F960" s="22"/>
      <c r="G960" s="22"/>
      <c r="H960" s="22"/>
      <c r="I960" s="22"/>
      <c r="J960" s="655"/>
      <c r="K960" s="1195"/>
      <c r="L960" s="1195"/>
    </row>
    <row r="961" spans="2:15" x14ac:dyDescent="0.25">
      <c r="B961" s="20"/>
      <c r="C961" s="20"/>
      <c r="D961" s="1148"/>
      <c r="E961" s="25">
        <f>+E15-E193</f>
        <v>19980</v>
      </c>
      <c r="F961" s="22">
        <v>4.5</v>
      </c>
      <c r="G961" s="1058">
        <v>3.2000000000000001E-2</v>
      </c>
      <c r="H961" s="22">
        <f>+G961*F961*E961</f>
        <v>2877.1200000000003</v>
      </c>
      <c r="I961" s="22"/>
      <c r="J961" s="655">
        <f>+H961</f>
        <v>2877.1200000000003</v>
      </c>
      <c r="K961" s="1195"/>
      <c r="L961" s="1195"/>
    </row>
    <row r="962" spans="2:15" x14ac:dyDescent="0.25">
      <c r="B962" s="20"/>
      <c r="C962" s="20"/>
      <c r="D962" s="1148"/>
      <c r="E962" s="25"/>
      <c r="F962" s="22"/>
      <c r="G962" s="22"/>
      <c r="H962" s="22"/>
      <c r="I962" s="22"/>
      <c r="J962" s="655"/>
      <c r="K962" s="1195"/>
      <c r="L962" s="1195"/>
    </row>
    <row r="963" spans="2:15" x14ac:dyDescent="0.25">
      <c r="B963" s="20"/>
      <c r="C963" s="20"/>
      <c r="D963" s="1148"/>
      <c r="E963" s="25"/>
      <c r="F963" s="22"/>
      <c r="G963" s="22"/>
      <c r="H963" s="22"/>
      <c r="I963" s="22"/>
      <c r="J963" s="655"/>
      <c r="K963" s="1195"/>
      <c r="L963" s="1195"/>
    </row>
    <row r="964" spans="2:15" x14ac:dyDescent="0.25">
      <c r="B964" s="20"/>
      <c r="C964" s="20"/>
      <c r="D964" s="1148"/>
      <c r="E964" s="25"/>
      <c r="F964" s="22"/>
      <c r="G964" s="22"/>
      <c r="H964" s="22"/>
      <c r="I964" s="22"/>
      <c r="J964" s="655"/>
      <c r="K964" s="1195"/>
      <c r="L964" s="1195"/>
    </row>
    <row r="965" spans="2:15" x14ac:dyDescent="0.25">
      <c r="B965" s="20"/>
      <c r="C965" s="20"/>
      <c r="D965" s="1148"/>
      <c r="E965" s="25"/>
      <c r="F965" s="22"/>
      <c r="G965" s="22"/>
      <c r="H965" s="22"/>
      <c r="I965" s="22"/>
      <c r="J965" s="655"/>
      <c r="K965" s="1195"/>
      <c r="L965" s="1195"/>
    </row>
    <row r="966" spans="2:15" x14ac:dyDescent="0.25">
      <c r="B966" s="20"/>
      <c r="C966" s="20"/>
      <c r="D966" s="1148"/>
      <c r="E966" s="25"/>
      <c r="F966" s="22"/>
      <c r="G966" s="22"/>
      <c r="H966" s="22"/>
      <c r="I966" s="22"/>
      <c r="J966" s="655"/>
      <c r="K966" s="1195"/>
      <c r="L966" s="1195"/>
    </row>
    <row r="967" spans="2:15" x14ac:dyDescent="0.25">
      <c r="B967" s="20"/>
      <c r="C967" s="20"/>
      <c r="D967" s="1148"/>
      <c r="E967" s="25"/>
      <c r="F967" s="22"/>
      <c r="G967" s="22"/>
      <c r="H967" s="22"/>
      <c r="I967" s="22"/>
      <c r="J967" s="655"/>
      <c r="K967" s="1195"/>
      <c r="L967" s="1195"/>
    </row>
    <row r="968" spans="2:15" x14ac:dyDescent="0.25">
      <c r="B968" s="20"/>
      <c r="C968" s="20"/>
      <c r="D968" s="1148"/>
      <c r="E968" s="25"/>
      <c r="F968" s="22"/>
      <c r="G968" s="22"/>
      <c r="H968" s="22"/>
      <c r="I968" s="22"/>
      <c r="J968" s="655"/>
      <c r="K968" s="1195"/>
      <c r="L968" s="1195"/>
    </row>
    <row r="969" spans="2:15" x14ac:dyDescent="0.25">
      <c r="B969" s="20"/>
      <c r="C969" s="20"/>
      <c r="D969" s="1148"/>
      <c r="E969" s="25"/>
      <c r="F969" s="22"/>
      <c r="G969" s="22"/>
      <c r="H969" s="22"/>
      <c r="I969" s="22"/>
      <c r="J969" s="655"/>
      <c r="K969" s="1195"/>
      <c r="L969" s="1195"/>
    </row>
    <row r="970" spans="2:15" x14ac:dyDescent="0.25">
      <c r="B970" s="20"/>
      <c r="C970" s="20"/>
      <c r="D970" s="32"/>
      <c r="E970" s="25"/>
      <c r="F970" s="22"/>
      <c r="G970" s="22"/>
      <c r="H970" s="22"/>
      <c r="I970" s="22"/>
      <c r="J970" s="654"/>
      <c r="K970" s="1195"/>
      <c r="L970" s="1195"/>
    </row>
    <row r="971" spans="2:15" x14ac:dyDescent="0.25">
      <c r="B971" s="20"/>
      <c r="C971" s="20"/>
      <c r="D971" s="32"/>
      <c r="E971" s="25"/>
      <c r="F971" s="22"/>
      <c r="G971" s="22"/>
      <c r="H971" s="22"/>
      <c r="I971" s="22"/>
      <c r="J971" s="654"/>
      <c r="K971" s="1195"/>
      <c r="L971" s="1195"/>
      <c r="O971" s="744">
        <f>'Presup '!I110</f>
        <v>769722365</v>
      </c>
    </row>
    <row r="972" spans="2:15" x14ac:dyDescent="0.25">
      <c r="B972" s="20"/>
      <c r="C972" s="20"/>
      <c r="D972" s="32"/>
      <c r="E972" s="25"/>
      <c r="F972" s="22"/>
      <c r="G972" s="22"/>
      <c r="H972" s="22"/>
      <c r="I972" s="22"/>
      <c r="J972" s="654"/>
      <c r="K972" s="1195"/>
      <c r="L972" s="1195"/>
      <c r="O972">
        <v>770000000</v>
      </c>
    </row>
    <row r="973" spans="2:15" x14ac:dyDescent="0.25">
      <c r="B973" s="20"/>
      <c r="C973" s="20"/>
      <c r="D973" s="32"/>
      <c r="E973" s="25"/>
      <c r="F973" s="22"/>
      <c r="G973" s="22"/>
      <c r="H973" s="22"/>
      <c r="I973" s="22"/>
      <c r="J973" s="654"/>
      <c r="K973" s="1195"/>
      <c r="L973" s="1195"/>
      <c r="O973" s="744">
        <f>O972-O971</f>
        <v>277635</v>
      </c>
    </row>
    <row r="974" spans="2:15" x14ac:dyDescent="0.25">
      <c r="B974" s="1196" t="s">
        <v>973</v>
      </c>
      <c r="C974" s="1197"/>
      <c r="D974" s="1197"/>
      <c r="E974" s="1197"/>
      <c r="F974" s="1198"/>
      <c r="G974" s="22"/>
      <c r="H974" s="22"/>
      <c r="I974" s="22"/>
      <c r="J974" s="655"/>
      <c r="K974" s="1195"/>
      <c r="L974" s="1195"/>
    </row>
    <row r="975" spans="2:15" x14ac:dyDescent="0.25">
      <c r="B975" s="1199"/>
      <c r="C975" s="1200"/>
      <c r="D975" s="1200"/>
      <c r="E975" s="1200"/>
      <c r="F975" s="1201"/>
      <c r="G975" s="22"/>
      <c r="H975" s="22"/>
      <c r="I975" s="22"/>
      <c r="J975" s="655"/>
      <c r="K975" s="1195"/>
      <c r="L975" s="1195"/>
    </row>
    <row r="976" spans="2:15" x14ac:dyDescent="0.25">
      <c r="B976" s="1202"/>
      <c r="C976" s="1203"/>
      <c r="D976" s="1203"/>
      <c r="E976" s="1203"/>
      <c r="F976" s="1204"/>
      <c r="G976" s="783" t="s">
        <v>80</v>
      </c>
      <c r="H976" s="783"/>
      <c r="I976" s="783"/>
      <c r="J976" s="792">
        <f>ROUND(SUM(J960:J975),0)</f>
        <v>2877</v>
      </c>
      <c r="K976" s="1195"/>
      <c r="L976" s="1195"/>
    </row>
    <row r="977" spans="2:12" x14ac:dyDescent="0.25">
      <c r="B977" s="16"/>
      <c r="C977" s="16"/>
      <c r="D977" s="19"/>
      <c r="E977" s="26"/>
      <c r="F977" s="18"/>
      <c r="G977" s="55"/>
      <c r="H977" s="55"/>
      <c r="I977" s="55"/>
      <c r="J977" s="549"/>
    </row>
    <row r="980" spans="2:12" ht="15.75" x14ac:dyDescent="0.25">
      <c r="D980" s="793" t="s">
        <v>162</v>
      </c>
    </row>
    <row r="982" spans="2:12" ht="15.75" x14ac:dyDescent="0.25">
      <c r="D982" s="626"/>
      <c r="E982" s="1209" t="s">
        <v>78</v>
      </c>
      <c r="F982" s="1210"/>
      <c r="G982" s="1210"/>
      <c r="H982" s="1211"/>
      <c r="I982" s="782" t="s">
        <v>79</v>
      </c>
      <c r="J982" s="650" t="str">
        <f>+P.Detall!F79</f>
        <v>M3</v>
      </c>
      <c r="K982" s="1205" t="s">
        <v>971</v>
      </c>
      <c r="L982" s="1206"/>
    </row>
    <row r="983" spans="2:12" x14ac:dyDescent="0.25">
      <c r="B983" s="629" t="s">
        <v>2</v>
      </c>
      <c r="C983" s="629" t="s">
        <v>2</v>
      </c>
      <c r="D983" s="629" t="s">
        <v>4</v>
      </c>
      <c r="E983" s="629" t="s">
        <v>75</v>
      </c>
      <c r="F983" s="629" t="s">
        <v>76</v>
      </c>
      <c r="G983" s="629" t="s">
        <v>628</v>
      </c>
      <c r="H983" s="703"/>
      <c r="I983" s="703"/>
      <c r="J983" s="790" t="s">
        <v>88</v>
      </c>
      <c r="K983" s="1207"/>
      <c r="L983" s="1208"/>
    </row>
    <row r="984" spans="2:12" x14ac:dyDescent="0.25">
      <c r="B984" s="47" t="s">
        <v>164</v>
      </c>
      <c r="C984" s="20" t="s">
        <v>9</v>
      </c>
      <c r="D984" s="742" t="str">
        <f>+P.Detall!E79</f>
        <v>CONFORMACION DE DEPÓSITO DE MATERIAL SOBRANTE</v>
      </c>
      <c r="E984" s="25"/>
      <c r="F984" s="22"/>
      <c r="G984" s="22"/>
      <c r="H984" s="22"/>
      <c r="I984" s="22"/>
      <c r="J984" s="655"/>
      <c r="K984" s="1195"/>
      <c r="L984" s="1195"/>
    </row>
    <row r="985" spans="2:12" x14ac:dyDescent="0.25">
      <c r="B985" s="20"/>
      <c r="C985" s="20"/>
      <c r="D985" s="1148" t="str">
        <f>+D134</f>
        <v>VOLUMEN DE CORTE TRAMO:_______________</v>
      </c>
      <c r="E985" s="25"/>
      <c r="F985" s="22"/>
      <c r="G985" s="22">
        <f>+J134</f>
        <v>36.359999999999992</v>
      </c>
      <c r="H985" s="22"/>
      <c r="I985" s="22"/>
      <c r="J985" s="655">
        <f>+G985</f>
        <v>36.359999999999992</v>
      </c>
      <c r="K985" s="1195"/>
      <c r="L985" s="1195"/>
    </row>
    <row r="986" spans="2:12" x14ac:dyDescent="0.25">
      <c r="B986" s="20"/>
      <c r="C986" s="20"/>
      <c r="D986" s="1148" t="str">
        <f>+D135</f>
        <v>Pie de Talud de corte:</v>
      </c>
      <c r="E986" s="25"/>
      <c r="F986" s="22"/>
      <c r="G986" s="22">
        <f>+J135</f>
        <v>3</v>
      </c>
      <c r="H986" s="22"/>
      <c r="I986" s="22"/>
      <c r="J986" s="655">
        <f t="shared" ref="J986:J993" si="84">+G986</f>
        <v>3</v>
      </c>
      <c r="K986" s="1195"/>
      <c r="L986" s="1195"/>
    </row>
    <row r="987" spans="2:12" x14ac:dyDescent="0.25">
      <c r="B987" s="20"/>
      <c r="C987" s="20"/>
      <c r="D987" s="1148" t="str">
        <f>+D70</f>
        <v>DEMOLICIÓN DE ESTRUCTURAS</v>
      </c>
      <c r="E987" s="25"/>
      <c r="F987" s="22"/>
      <c r="G987" s="22">
        <f>+J112</f>
        <v>38</v>
      </c>
      <c r="H987" s="22"/>
      <c r="I987" s="22"/>
      <c r="J987" s="655">
        <f t="shared" si="84"/>
        <v>38</v>
      </c>
      <c r="K987" s="1195"/>
      <c r="L987" s="1195"/>
    </row>
    <row r="988" spans="2:12" x14ac:dyDescent="0.25">
      <c r="B988" s="20"/>
      <c r="C988" s="20"/>
      <c r="D988" s="1148" t="str">
        <f>+D152</f>
        <v>EXCAVACION EN ROCA DE LA EXPLANACION Y CANALES</v>
      </c>
      <c r="E988" s="25"/>
      <c r="F988" s="22"/>
      <c r="G988" s="22">
        <f>+J169</f>
        <v>10</v>
      </c>
      <c r="H988" s="22"/>
      <c r="I988" s="22"/>
      <c r="J988" s="655">
        <f t="shared" si="84"/>
        <v>10</v>
      </c>
      <c r="K988" s="1195"/>
      <c r="L988" s="1195"/>
    </row>
    <row r="989" spans="2:12" x14ac:dyDescent="0.25">
      <c r="B989" s="20"/>
      <c r="C989" s="20"/>
      <c r="D989" s="1148" t="str">
        <f>+D174</f>
        <v>REMOCION DE DERRUMBES</v>
      </c>
      <c r="E989" s="25"/>
      <c r="F989" s="22"/>
      <c r="G989" s="22">
        <f>+J187</f>
        <v>4</v>
      </c>
      <c r="H989" s="22"/>
      <c r="I989" s="22"/>
      <c r="J989" s="655">
        <f t="shared" si="84"/>
        <v>4</v>
      </c>
      <c r="K989" s="1195"/>
      <c r="L989" s="1195"/>
    </row>
    <row r="990" spans="2:12" x14ac:dyDescent="0.25">
      <c r="B990" s="20"/>
      <c r="C990" s="20"/>
      <c r="D990" s="1148" t="str">
        <f>+D292</f>
        <v>EXCAVACIONES VARIAS SIN CLASIFICAR</v>
      </c>
      <c r="E990" s="25"/>
      <c r="F990" s="22"/>
      <c r="G990" s="22">
        <f>+J392</f>
        <v>952</v>
      </c>
      <c r="H990" s="22"/>
      <c r="I990" s="22"/>
      <c r="J990" s="655">
        <f t="shared" si="84"/>
        <v>952</v>
      </c>
      <c r="K990" s="1195"/>
      <c r="L990" s="1195"/>
    </row>
    <row r="991" spans="2:12" x14ac:dyDescent="0.25">
      <c r="B991" s="20"/>
      <c r="C991" s="20"/>
      <c r="D991" s="1148" t="str">
        <f>+D397</f>
        <v>EXCAVACIONES VARIAS EN ROCA EN SECO</v>
      </c>
      <c r="E991" s="25"/>
      <c r="F991" s="22"/>
      <c r="G991" s="22">
        <f>+J405</f>
        <v>238</v>
      </c>
      <c r="H991" s="22"/>
      <c r="I991" s="22"/>
      <c r="J991" s="655">
        <f t="shared" si="84"/>
        <v>238</v>
      </c>
      <c r="K991" s="1195"/>
      <c r="L991" s="1195"/>
    </row>
    <row r="992" spans="2:12" x14ac:dyDescent="0.25">
      <c r="B992" s="20"/>
      <c r="C992" s="20"/>
      <c r="D992" s="1148" t="str">
        <f>+D411</f>
        <v>EXCAVACIONES VARIAS EN ROCA BAJO AGUA</v>
      </c>
      <c r="E992" s="25"/>
      <c r="F992" s="22"/>
      <c r="G992" s="22">
        <f>+J419</f>
        <v>48</v>
      </c>
      <c r="H992" s="22"/>
      <c r="I992" s="22"/>
      <c r="J992" s="655">
        <f t="shared" si="84"/>
        <v>48</v>
      </c>
      <c r="K992" s="1195"/>
      <c r="L992" s="1195"/>
    </row>
    <row r="993" spans="2:14" x14ac:dyDescent="0.25">
      <c r="B993" s="20"/>
      <c r="C993" s="20"/>
      <c r="D993" s="1148" t="str">
        <f>+D424</f>
        <v>EXCAVACIONES VARIAS EN MATERIAL COMÚN BAJO AGUA</v>
      </c>
      <c r="E993" s="25"/>
      <c r="F993" s="22"/>
      <c r="G993" s="22">
        <f>+J432</f>
        <v>10</v>
      </c>
      <c r="H993" s="22"/>
      <c r="I993" s="22"/>
      <c r="J993" s="655">
        <f t="shared" si="84"/>
        <v>10</v>
      </c>
      <c r="K993" s="1195"/>
      <c r="L993" s="1195"/>
    </row>
    <row r="994" spans="2:14" ht="18" customHeight="1" x14ac:dyDescent="0.25">
      <c r="B994" s="20"/>
      <c r="C994" s="20"/>
      <c r="D994" s="32"/>
      <c r="E994" s="25"/>
      <c r="F994" s="22"/>
      <c r="G994" s="22"/>
      <c r="H994" s="22"/>
      <c r="I994" s="22"/>
      <c r="J994" s="654"/>
      <c r="K994" s="1195"/>
      <c r="L994" s="1195"/>
    </row>
    <row r="995" spans="2:14" ht="18" customHeight="1" x14ac:dyDescent="0.25">
      <c r="B995" s="20"/>
      <c r="C995" s="20"/>
      <c r="D995" s="32"/>
      <c r="E995" s="25"/>
      <c r="F995" s="22"/>
      <c r="G995" s="22"/>
      <c r="H995" s="22"/>
      <c r="I995" s="22"/>
      <c r="J995" s="654"/>
      <c r="K995" s="1195"/>
      <c r="L995" s="1195"/>
    </row>
    <row r="996" spans="2:14" ht="15.75" customHeight="1" x14ac:dyDescent="0.25">
      <c r="B996" s="20"/>
      <c r="C996" s="20"/>
      <c r="D996" s="32"/>
      <c r="E996" s="25"/>
      <c r="F996" s="22"/>
      <c r="G996" s="22"/>
      <c r="H996" s="22"/>
      <c r="I996" s="22"/>
      <c r="J996" s="654"/>
      <c r="K996" s="1195"/>
      <c r="L996" s="1195"/>
    </row>
    <row r="997" spans="2:14" ht="15.75" customHeight="1" x14ac:dyDescent="0.25">
      <c r="B997" s="20"/>
      <c r="C997" s="20"/>
      <c r="D997" s="32"/>
      <c r="E997" s="25"/>
      <c r="F997" s="22"/>
      <c r="G997" s="22"/>
      <c r="H997" s="22"/>
      <c r="I997" s="22"/>
      <c r="J997" s="654"/>
      <c r="K997" s="1195"/>
      <c r="L997" s="1195"/>
    </row>
    <row r="998" spans="2:14" ht="15" customHeight="1" x14ac:dyDescent="0.25">
      <c r="B998" s="1196" t="s">
        <v>973</v>
      </c>
      <c r="C998" s="1197"/>
      <c r="D998" s="1197"/>
      <c r="E998" s="1197"/>
      <c r="F998" s="1198"/>
      <c r="G998" s="22"/>
      <c r="H998" s="22"/>
      <c r="I998" s="22"/>
      <c r="J998" s="655"/>
      <c r="K998" s="1195"/>
      <c r="L998" s="1195"/>
    </row>
    <row r="999" spans="2:14" x14ac:dyDescent="0.25">
      <c r="B999" s="1199"/>
      <c r="C999" s="1200"/>
      <c r="D999" s="1200"/>
      <c r="E999" s="1200"/>
      <c r="F999" s="1201"/>
      <c r="G999" s="22"/>
      <c r="H999" s="22"/>
      <c r="I999" s="22"/>
      <c r="J999" s="655"/>
      <c r="K999" s="1195"/>
      <c r="L999" s="1195"/>
    </row>
    <row r="1000" spans="2:14" s="15" customFormat="1" x14ac:dyDescent="0.25">
      <c r="B1000" s="1202"/>
      <c r="C1000" s="1203"/>
      <c r="D1000" s="1203"/>
      <c r="E1000" s="1203"/>
      <c r="F1000" s="1204"/>
      <c r="G1000" s="783" t="s">
        <v>80</v>
      </c>
      <c r="H1000" s="783"/>
      <c r="I1000" s="783"/>
      <c r="J1000" s="792">
        <f>ROUND(SUM(J984:J999),0)</f>
        <v>1339</v>
      </c>
      <c r="K1000" s="1195"/>
      <c r="L1000" s="1195"/>
    </row>
    <row r="1001" spans="2:14" s="15" customFormat="1" x14ac:dyDescent="0.25">
      <c r="B1001" s="16"/>
      <c r="C1001" s="16"/>
      <c r="D1001" s="19"/>
      <c r="E1001" s="26"/>
      <c r="F1001" s="18"/>
      <c r="G1001" s="55"/>
      <c r="H1001" s="55"/>
      <c r="I1001" s="55"/>
      <c r="J1001" s="549"/>
    </row>
    <row r="1002" spans="2:14" s="15" customFormat="1" ht="15.75" hidden="1" x14ac:dyDescent="0.25">
      <c r="B1002" s="16"/>
      <c r="C1002" s="16"/>
      <c r="D1002" s="19"/>
      <c r="E1002" s="26"/>
      <c r="F1002" s="18"/>
      <c r="H1002" s="24"/>
      <c r="I1002" s="24"/>
    </row>
    <row r="1003" spans="2:14" ht="15.75" hidden="1" x14ac:dyDescent="0.25">
      <c r="D1003" s="626"/>
      <c r="E1003" s="1209" t="s">
        <v>78</v>
      </c>
      <c r="F1003" s="1210"/>
      <c r="G1003" s="1210"/>
      <c r="H1003" s="1211"/>
      <c r="I1003" s="782" t="s">
        <v>79</v>
      </c>
      <c r="J1003" s="650" t="s">
        <v>15</v>
      </c>
      <c r="K1003" s="1205" t="s">
        <v>971</v>
      </c>
      <c r="L1003" s="1206"/>
    </row>
    <row r="1004" spans="2:14" hidden="1" x14ac:dyDescent="0.25">
      <c r="B1004" s="629" t="s">
        <v>2</v>
      </c>
      <c r="C1004" s="629" t="s">
        <v>2</v>
      </c>
      <c r="D1004" s="629" t="s">
        <v>4</v>
      </c>
      <c r="E1004" s="629" t="s">
        <v>169</v>
      </c>
      <c r="F1004" s="629" t="s">
        <v>75</v>
      </c>
      <c r="G1004" s="629"/>
      <c r="H1004" s="703"/>
      <c r="I1004" s="703"/>
      <c r="J1004" s="790" t="s">
        <v>88</v>
      </c>
      <c r="K1004" s="1207"/>
      <c r="L1004" s="1208"/>
      <c r="N1004">
        <v>40</v>
      </c>
    </row>
    <row r="1005" spans="2:14" ht="25.5" hidden="1" x14ac:dyDescent="0.25">
      <c r="B1005" s="47" t="s">
        <v>796</v>
      </c>
      <c r="C1005" s="20" t="s">
        <v>9</v>
      </c>
      <c r="D1005" s="9" t="e">
        <f>+#REF!</f>
        <v>#REF!</v>
      </c>
      <c r="E1005" s="25"/>
      <c r="F1005" s="22"/>
      <c r="G1005" s="22"/>
      <c r="H1005" s="22"/>
      <c r="I1005" s="22"/>
      <c r="J1005" s="655"/>
      <c r="K1005" s="1195"/>
      <c r="L1005" s="1195"/>
      <c r="N1005">
        <f>+N1004/1</f>
        <v>40</v>
      </c>
    </row>
    <row r="1006" spans="2:14" hidden="1" x14ac:dyDescent="0.25">
      <c r="B1006" s="20"/>
      <c r="C1006" s="20"/>
      <c r="D1006" s="634" t="s">
        <v>804</v>
      </c>
      <c r="E1006" s="25"/>
      <c r="F1006" s="22">
        <f>200*0</f>
        <v>0</v>
      </c>
      <c r="G1006" s="22"/>
      <c r="H1006" s="22"/>
      <c r="I1006" s="22"/>
      <c r="J1006" s="654">
        <f>+F1006</f>
        <v>0</v>
      </c>
      <c r="K1006" s="1195"/>
      <c r="L1006" s="1195"/>
      <c r="N1006">
        <f>+N1005*20</f>
        <v>800</v>
      </c>
    </row>
    <row r="1007" spans="2:14" hidden="1" x14ac:dyDescent="0.25">
      <c r="B1007" s="20"/>
      <c r="C1007" s="20"/>
      <c r="D1007" s="634" t="s">
        <v>852</v>
      </c>
      <c r="E1007" s="25"/>
      <c r="F1007" s="22">
        <f>2400-2400</f>
        <v>0</v>
      </c>
      <c r="G1007" s="22"/>
      <c r="H1007" s="22"/>
      <c r="I1007" s="22"/>
      <c r="J1007" s="654">
        <f>+F1007</f>
        <v>0</v>
      </c>
      <c r="K1007" s="1195"/>
      <c r="L1007" s="1195"/>
      <c r="N1007">
        <f>+N1006*2</f>
        <v>1600</v>
      </c>
    </row>
    <row r="1008" spans="2:14" hidden="1" x14ac:dyDescent="0.25">
      <c r="B1008" s="20"/>
      <c r="C1008" s="20"/>
      <c r="D1008" s="634" t="s">
        <v>805</v>
      </c>
      <c r="E1008" s="25"/>
      <c r="F1008" s="22">
        <f>4000-4000</f>
        <v>0</v>
      </c>
      <c r="G1008" s="22"/>
      <c r="H1008" s="22"/>
      <c r="I1008" s="22"/>
      <c r="J1008" s="654">
        <f>+F1008</f>
        <v>0</v>
      </c>
      <c r="K1008" s="1195"/>
      <c r="L1008" s="1195"/>
    </row>
    <row r="1009" spans="2:16" hidden="1" x14ac:dyDescent="0.25">
      <c r="B1009" s="1196" t="s">
        <v>973</v>
      </c>
      <c r="C1009" s="1197"/>
      <c r="D1009" s="1197"/>
      <c r="E1009" s="1197"/>
      <c r="F1009" s="1198"/>
      <c r="G1009" s="22"/>
      <c r="H1009" s="22"/>
      <c r="I1009" s="22"/>
      <c r="J1009" s="654">
        <f>+F1009</f>
        <v>0</v>
      </c>
      <c r="K1009" s="1195"/>
      <c r="L1009" s="1195"/>
    </row>
    <row r="1010" spans="2:16" hidden="1" x14ac:dyDescent="0.25">
      <c r="B1010" s="1199"/>
      <c r="C1010" s="1200"/>
      <c r="D1010" s="1200"/>
      <c r="E1010" s="1200"/>
      <c r="F1010" s="1201"/>
      <c r="G1010" s="22"/>
      <c r="H1010" s="22"/>
      <c r="I1010" s="22"/>
      <c r="J1010" s="654">
        <f>+F1010</f>
        <v>0</v>
      </c>
      <c r="K1010" s="1195"/>
      <c r="L1010" s="1195"/>
    </row>
    <row r="1011" spans="2:16" hidden="1" x14ac:dyDescent="0.25">
      <c r="B1011" s="1202"/>
      <c r="C1011" s="1203"/>
      <c r="D1011" s="1203"/>
      <c r="E1011" s="1203"/>
      <c r="F1011" s="1204"/>
      <c r="G1011" s="783" t="s">
        <v>80</v>
      </c>
      <c r="H1011" s="783"/>
      <c r="I1011" s="783"/>
      <c r="J1011" s="792">
        <f>ROUND(SUM(J1005:J1010),0)</f>
        <v>0</v>
      </c>
      <c r="K1011" s="1195"/>
      <c r="L1011" s="1195"/>
    </row>
    <row r="1012" spans="2:16" x14ac:dyDescent="0.25">
      <c r="B1012" s="16"/>
      <c r="C1012" s="16"/>
      <c r="D1012" s="19"/>
      <c r="E1012" s="26"/>
      <c r="F1012" s="18"/>
      <c r="G1012" s="55"/>
      <c r="H1012" s="55"/>
      <c r="I1012" s="55"/>
      <c r="J1012" s="549"/>
    </row>
    <row r="1013" spans="2:16" x14ac:dyDescent="0.25">
      <c r="B1013" s="16"/>
      <c r="C1013" s="16"/>
      <c r="D1013" s="19"/>
      <c r="E1013" s="26"/>
      <c r="F1013" s="18"/>
      <c r="G1013" s="55"/>
      <c r="H1013" s="55"/>
      <c r="I1013" s="55"/>
      <c r="J1013" s="549"/>
    </row>
    <row r="1014" spans="2:16" x14ac:dyDescent="0.25">
      <c r="B1014" s="16"/>
      <c r="C1014" s="16"/>
      <c r="D1014" s="19"/>
      <c r="E1014" s="26"/>
      <c r="F1014" s="18"/>
      <c r="G1014" s="55"/>
      <c r="H1014" s="55"/>
      <c r="I1014" s="55"/>
      <c r="J1014" s="549"/>
    </row>
    <row r="1015" spans="2:16" ht="15.75" x14ac:dyDescent="0.25">
      <c r="D1015" s="31" t="s">
        <v>168</v>
      </c>
    </row>
    <row r="1016" spans="2:16" s="15" customFormat="1" ht="15.75" x14ac:dyDescent="0.25">
      <c r="B1016" s="632"/>
      <c r="C1016" s="632"/>
      <c r="D1016" s="27"/>
      <c r="E1016" s="27"/>
      <c r="F1016" s="27"/>
      <c r="H1016" s="24"/>
      <c r="I1016" s="24"/>
    </row>
    <row r="1017" spans="2:16" ht="15.75" x14ac:dyDescent="0.25">
      <c r="D1017" s="626"/>
      <c r="E1017" s="1209" t="s">
        <v>78</v>
      </c>
      <c r="F1017" s="1210"/>
      <c r="G1017" s="1210"/>
      <c r="H1017" s="1211"/>
      <c r="I1017" s="782" t="s">
        <v>79</v>
      </c>
      <c r="J1017" s="650" t="str">
        <f>+P.Detall!F84</f>
        <v>M3-KM</v>
      </c>
      <c r="K1017" s="1205" t="s">
        <v>971</v>
      </c>
      <c r="L1017" s="1206"/>
    </row>
    <row r="1018" spans="2:16" ht="42.75" x14ac:dyDescent="0.25">
      <c r="B1018" s="629" t="s">
        <v>2</v>
      </c>
      <c r="C1018" s="629" t="s">
        <v>2</v>
      </c>
      <c r="D1018" s="629" t="s">
        <v>4</v>
      </c>
      <c r="E1018" s="738" t="s">
        <v>962</v>
      </c>
      <c r="F1018" s="738" t="s">
        <v>951</v>
      </c>
      <c r="G1018" s="738" t="s">
        <v>950</v>
      </c>
      <c r="H1018" s="738" t="s">
        <v>949</v>
      </c>
      <c r="I1018" s="736" t="s">
        <v>1122</v>
      </c>
      <c r="J1018" s="790" t="s">
        <v>88</v>
      </c>
      <c r="K1018" s="1207"/>
      <c r="L1018" s="1208"/>
    </row>
    <row r="1019" spans="2:16" ht="51.75" customHeight="1" x14ac:dyDescent="0.25">
      <c r="B1019" s="47" t="s">
        <v>67</v>
      </c>
      <c r="C1019" s="20" t="s">
        <v>9</v>
      </c>
      <c r="D1019" s="742" t="str">
        <f>+P.Detall!E84</f>
        <v>TRANSPORTE DE MATERIALES PROVENIENTES DE LA EXCAVACIÓN DE LA EXPLANACIÓN, CANALES Y PRÉSTAMOS PARA DISTANCIAS MAYORES DE MIL METROS (1000 M), MEDIDO A PARTIR DE CIEN METROS (100M).</v>
      </c>
      <c r="E1019" s="25"/>
      <c r="F1019" s="22"/>
      <c r="G1019" s="22"/>
      <c r="H1019" s="22"/>
      <c r="I1019" s="22"/>
      <c r="J1019" s="655"/>
      <c r="K1019" s="1195"/>
      <c r="L1019" s="1195"/>
    </row>
    <row r="1020" spans="2:16" x14ac:dyDescent="0.25">
      <c r="B1020" s="47"/>
      <c r="C1020" s="20"/>
      <c r="D1020" s="43"/>
      <c r="E1020" s="25"/>
      <c r="F1020" s="22"/>
      <c r="G1020" s="22"/>
      <c r="H1020" s="22">
        <f>+G989+G987+G985</f>
        <v>78.359999999999985</v>
      </c>
      <c r="I1020" s="22">
        <f>+E1020+F1020+G1020+H1020</f>
        <v>78.359999999999985</v>
      </c>
      <c r="J1020" s="655"/>
      <c r="K1020" s="1195"/>
      <c r="L1020" s="1195"/>
    </row>
    <row r="1021" spans="2:16" ht="30" customHeight="1" x14ac:dyDescent="0.25">
      <c r="B1021" s="20"/>
      <c r="C1021" s="20"/>
      <c r="D1021" s="32" t="s">
        <v>948</v>
      </c>
      <c r="E1021" s="25"/>
      <c r="F1021" s="22"/>
      <c r="G1021" s="22"/>
      <c r="H1021" s="69"/>
      <c r="I1021" s="22"/>
      <c r="J1021" s="655">
        <f>+(H1020+G1020+F1020)*E1023</f>
        <v>274.25999999999993</v>
      </c>
      <c r="K1021" s="1195"/>
      <c r="L1021" s="1195"/>
      <c r="O1021">
        <v>10649</v>
      </c>
      <c r="P1021" t="e">
        <f>+#REF!</f>
        <v>#REF!</v>
      </c>
    </row>
    <row r="1022" spans="2:16" x14ac:dyDescent="0.25">
      <c r="B1022" s="20"/>
      <c r="C1022" s="20"/>
      <c r="D1022" s="32" t="s">
        <v>963</v>
      </c>
      <c r="E1022" s="25">
        <f>+I1020*0.25*1.3</f>
        <v>25.466999999999995</v>
      </c>
      <c r="F1022" s="22"/>
      <c r="G1022" s="22"/>
      <c r="H1022" s="22"/>
      <c r="I1022" s="22">
        <f>+E1022</f>
        <v>25.466999999999995</v>
      </c>
      <c r="J1022" s="655">
        <f>+I1022*E1023</f>
        <v>89.134499999999989</v>
      </c>
      <c r="K1022" s="1195"/>
      <c r="L1022" s="1195"/>
      <c r="O1022" t="e">
        <f>+(P1022*O1021)/P1021</f>
        <v>#REF!</v>
      </c>
      <c r="P1022" s="68" t="e">
        <f>+#REF!</f>
        <v>#REF!</v>
      </c>
    </row>
    <row r="1023" spans="2:16" x14ac:dyDescent="0.25">
      <c r="B1023" s="20"/>
      <c r="C1023" s="20"/>
      <c r="D1023" s="25" t="s">
        <v>964</v>
      </c>
      <c r="E1023" s="25">
        <v>3.5</v>
      </c>
      <c r="F1023" s="22"/>
      <c r="G1023" s="22"/>
      <c r="H1023" s="22"/>
      <c r="I1023" s="22"/>
      <c r="J1023" s="655"/>
      <c r="K1023" s="1195"/>
      <c r="L1023" s="1195"/>
    </row>
    <row r="1024" spans="2:16" x14ac:dyDescent="0.25">
      <c r="B1024" s="20"/>
      <c r="C1024" s="20"/>
      <c r="D1024" s="25"/>
      <c r="E1024" s="25"/>
      <c r="F1024" s="22"/>
      <c r="G1024" s="22"/>
      <c r="H1024" s="22"/>
      <c r="I1024" s="22"/>
      <c r="J1024" s="655"/>
      <c r="K1024" s="1195"/>
      <c r="L1024" s="1195"/>
    </row>
    <row r="1025" spans="2:12" x14ac:dyDescent="0.25">
      <c r="B1025" s="20"/>
      <c r="C1025" s="20"/>
      <c r="D1025" s="25"/>
      <c r="E1025" s="25"/>
      <c r="F1025" s="22"/>
      <c r="G1025" s="22"/>
      <c r="H1025" s="22"/>
      <c r="I1025" s="22"/>
      <c r="J1025" s="655"/>
      <c r="K1025" s="1195"/>
      <c r="L1025" s="1195"/>
    </row>
    <row r="1026" spans="2:12" x14ac:dyDescent="0.25">
      <c r="B1026" s="20"/>
      <c r="C1026" s="20"/>
      <c r="D1026" s="25"/>
      <c r="E1026" s="25"/>
      <c r="F1026" s="22"/>
      <c r="G1026" s="22"/>
      <c r="H1026" s="22"/>
      <c r="I1026" s="22"/>
      <c r="J1026" s="655"/>
      <c r="K1026" s="1195"/>
      <c r="L1026" s="1195"/>
    </row>
    <row r="1027" spans="2:12" x14ac:dyDescent="0.25">
      <c r="B1027" s="20"/>
      <c r="C1027" s="20"/>
      <c r="D1027" s="25"/>
      <c r="E1027" s="25"/>
      <c r="F1027" s="22"/>
      <c r="G1027" s="22"/>
      <c r="H1027" s="22"/>
      <c r="I1027" s="22"/>
      <c r="J1027" s="655"/>
      <c r="K1027" s="1195"/>
      <c r="L1027" s="1195"/>
    </row>
    <row r="1028" spans="2:12" x14ac:dyDescent="0.25">
      <c r="B1028" s="20"/>
      <c r="C1028" s="20"/>
      <c r="D1028" s="25"/>
      <c r="E1028" s="25"/>
      <c r="F1028" s="22"/>
      <c r="G1028" s="22"/>
      <c r="H1028" s="22"/>
      <c r="I1028" s="22"/>
      <c r="J1028" s="655"/>
      <c r="K1028" s="1195"/>
      <c r="L1028" s="1195"/>
    </row>
    <row r="1029" spans="2:12" x14ac:dyDescent="0.25">
      <c r="B1029" s="20"/>
      <c r="C1029" s="20"/>
      <c r="D1029" s="25"/>
      <c r="E1029" s="25"/>
      <c r="F1029" s="22"/>
      <c r="G1029" s="22"/>
      <c r="H1029" s="22"/>
      <c r="I1029" s="22"/>
      <c r="J1029" s="655"/>
      <c r="K1029" s="1195"/>
      <c r="L1029" s="1195"/>
    </row>
    <row r="1030" spans="2:12" x14ac:dyDescent="0.25">
      <c r="B1030" s="20"/>
      <c r="C1030" s="20"/>
      <c r="D1030" s="25"/>
      <c r="E1030" s="25"/>
      <c r="F1030" s="22"/>
      <c r="G1030" s="22"/>
      <c r="H1030" s="22"/>
      <c r="I1030" s="22"/>
      <c r="J1030" s="655"/>
      <c r="K1030" s="1195"/>
      <c r="L1030" s="1195"/>
    </row>
    <row r="1031" spans="2:12" x14ac:dyDescent="0.25">
      <c r="B1031" s="20"/>
      <c r="C1031" s="20"/>
      <c r="D1031" s="25"/>
      <c r="E1031" s="25"/>
      <c r="F1031" s="22"/>
      <c r="G1031" s="22"/>
      <c r="H1031" s="22"/>
      <c r="I1031" s="22"/>
      <c r="J1031" s="655"/>
      <c r="K1031" s="1195"/>
      <c r="L1031" s="1195"/>
    </row>
    <row r="1032" spans="2:12" x14ac:dyDescent="0.25">
      <c r="B1032" s="20"/>
      <c r="C1032" s="20"/>
      <c r="D1032" s="25"/>
      <c r="E1032" s="25"/>
      <c r="F1032" s="22"/>
      <c r="G1032" s="22"/>
      <c r="H1032" s="22"/>
      <c r="I1032" s="22"/>
      <c r="J1032" s="655"/>
      <c r="K1032" s="1195"/>
      <c r="L1032" s="1195"/>
    </row>
    <row r="1033" spans="2:12" x14ac:dyDescent="0.25">
      <c r="B1033" s="20"/>
      <c r="C1033" s="20"/>
      <c r="D1033" s="25"/>
      <c r="E1033" s="25"/>
      <c r="F1033" s="22"/>
      <c r="G1033" s="22"/>
      <c r="H1033" s="22"/>
      <c r="I1033" s="22"/>
      <c r="J1033" s="655"/>
      <c r="K1033" s="1195"/>
      <c r="L1033" s="1195"/>
    </row>
    <row r="1034" spans="2:12" x14ac:dyDescent="0.25">
      <c r="B1034" s="1196" t="s">
        <v>973</v>
      </c>
      <c r="C1034" s="1197"/>
      <c r="D1034" s="1197"/>
      <c r="E1034" s="1197"/>
      <c r="F1034" s="1198"/>
      <c r="G1034" s="22"/>
      <c r="H1034" s="22"/>
      <c r="I1034" s="22"/>
      <c r="J1034" s="655"/>
      <c r="K1034" s="1195"/>
      <c r="L1034" s="1195"/>
    </row>
    <row r="1035" spans="2:12" x14ac:dyDescent="0.25">
      <c r="B1035" s="1199"/>
      <c r="C1035" s="1200"/>
      <c r="D1035" s="1200"/>
      <c r="E1035" s="1200"/>
      <c r="F1035" s="1201"/>
      <c r="G1035" s="22"/>
      <c r="H1035" s="22"/>
      <c r="I1035" s="22"/>
      <c r="J1035" s="655"/>
      <c r="K1035" s="1195"/>
      <c r="L1035" s="1195"/>
    </row>
    <row r="1036" spans="2:12" s="15" customFormat="1" x14ac:dyDescent="0.25">
      <c r="B1036" s="1202"/>
      <c r="C1036" s="1203"/>
      <c r="D1036" s="1203"/>
      <c r="E1036" s="1203"/>
      <c r="F1036" s="1204"/>
      <c r="G1036" s="783" t="s">
        <v>80</v>
      </c>
      <c r="H1036" s="783"/>
      <c r="I1036" s="783"/>
      <c r="J1036" s="792">
        <f>ROUND(SUM(J1019:J1023),0)</f>
        <v>363</v>
      </c>
      <c r="K1036" s="1195"/>
      <c r="L1036" s="1195"/>
    </row>
    <row r="1039" spans="2:12" ht="15.75" x14ac:dyDescent="0.25">
      <c r="D1039" s="31" t="s">
        <v>685</v>
      </c>
    </row>
    <row r="1040" spans="2:12" ht="15.75" x14ac:dyDescent="0.25">
      <c r="B1040" s="632"/>
      <c r="C1040" s="632"/>
      <c r="D1040" s="27"/>
      <c r="E1040" s="27"/>
      <c r="F1040" s="27"/>
      <c r="H1040" s="24"/>
      <c r="I1040" s="24"/>
    </row>
    <row r="1041" spans="2:12" x14ac:dyDescent="0.25">
      <c r="B1041" s="632"/>
      <c r="C1041" s="632"/>
      <c r="D1041" s="27"/>
      <c r="E1041" s="27"/>
      <c r="F1041" s="27"/>
      <c r="G1041" s="27"/>
      <c r="H1041" s="27"/>
      <c r="I1041" s="27"/>
      <c r="J1041" s="27"/>
    </row>
    <row r="1042" spans="2:12" ht="15.75" x14ac:dyDescent="0.25">
      <c r="D1042" s="626"/>
      <c r="E1042" s="1209" t="s">
        <v>78</v>
      </c>
      <c r="F1042" s="1210"/>
      <c r="G1042" s="1210"/>
      <c r="H1042" s="1211"/>
      <c r="I1042" s="782" t="s">
        <v>79</v>
      </c>
      <c r="J1042" s="650" t="s">
        <v>15</v>
      </c>
      <c r="K1042" s="1205" t="s">
        <v>971</v>
      </c>
      <c r="L1042" s="1206"/>
    </row>
    <row r="1043" spans="2:12" x14ac:dyDescent="0.25">
      <c r="B1043" s="629" t="s">
        <v>2</v>
      </c>
      <c r="C1043" s="629" t="s">
        <v>2</v>
      </c>
      <c r="D1043" s="629" t="s">
        <v>4</v>
      </c>
      <c r="E1043" s="629" t="s">
        <v>169</v>
      </c>
      <c r="F1043" s="629" t="s">
        <v>170</v>
      </c>
      <c r="G1043" s="629"/>
      <c r="H1043" s="703"/>
      <c r="I1043" s="703"/>
      <c r="J1043" s="790" t="s">
        <v>88</v>
      </c>
      <c r="K1043" s="1207"/>
      <c r="L1043" s="1208"/>
    </row>
    <row r="1044" spans="2:12" ht="28.5" customHeight="1" x14ac:dyDescent="0.25">
      <c r="B1044" s="47" t="s">
        <v>686</v>
      </c>
      <c r="C1044" s="20" t="s">
        <v>9</v>
      </c>
      <c r="D1044" s="9" t="s">
        <v>687</v>
      </c>
      <c r="E1044" s="25"/>
      <c r="F1044" s="22"/>
      <c r="G1044" s="22"/>
      <c r="H1044" s="22"/>
      <c r="I1044" s="22"/>
      <c r="J1044" s="655"/>
      <c r="K1044" s="1195"/>
      <c r="L1044" s="1195"/>
    </row>
    <row r="1045" spans="2:12" x14ac:dyDescent="0.25">
      <c r="B1045" s="20"/>
      <c r="C1045" s="20"/>
      <c r="D1045" s="32" t="s">
        <v>688</v>
      </c>
      <c r="E1045" s="25"/>
      <c r="F1045" s="22">
        <f>((1360-1150)*0)+100</f>
        <v>100</v>
      </c>
      <c r="G1045" s="22"/>
      <c r="H1045" s="22"/>
      <c r="I1045" s="22"/>
      <c r="J1045" s="654">
        <f>+F1045</f>
        <v>100</v>
      </c>
      <c r="K1045" s="1195"/>
      <c r="L1045" s="1195"/>
    </row>
    <row r="1046" spans="2:12" x14ac:dyDescent="0.25">
      <c r="B1046" s="20"/>
      <c r="C1046" s="20"/>
      <c r="D1046" s="32" t="s">
        <v>689</v>
      </c>
      <c r="E1046" s="25"/>
      <c r="F1046" s="22">
        <f>+(400*0)+100</f>
        <v>100</v>
      </c>
      <c r="G1046" s="22"/>
      <c r="H1046" s="22"/>
      <c r="I1046" s="22"/>
      <c r="J1046" s="654">
        <f>+F1046</f>
        <v>100</v>
      </c>
      <c r="K1046" s="1195"/>
      <c r="L1046" s="1195"/>
    </row>
    <row r="1047" spans="2:12" x14ac:dyDescent="0.25">
      <c r="B1047" s="20"/>
      <c r="C1047" s="20"/>
      <c r="D1047" s="32"/>
      <c r="E1047" s="25"/>
      <c r="F1047" s="22"/>
      <c r="G1047" s="22"/>
      <c r="H1047" s="22"/>
      <c r="I1047" s="22"/>
      <c r="J1047" s="654"/>
      <c r="K1047" s="1195"/>
      <c r="L1047" s="1195"/>
    </row>
    <row r="1048" spans="2:12" x14ac:dyDescent="0.25">
      <c r="B1048" s="20"/>
      <c r="C1048" s="20"/>
      <c r="D1048" s="32"/>
      <c r="E1048" s="25"/>
      <c r="F1048" s="22"/>
      <c r="G1048" s="22"/>
      <c r="H1048" s="22"/>
      <c r="I1048" s="22"/>
      <c r="J1048" s="654"/>
      <c r="K1048" s="1195"/>
      <c r="L1048" s="1195"/>
    </row>
    <row r="1049" spans="2:12" x14ac:dyDescent="0.25">
      <c r="B1049" s="20"/>
      <c r="C1049" s="20"/>
      <c r="D1049" s="32"/>
      <c r="E1049" s="25"/>
      <c r="F1049" s="22"/>
      <c r="G1049" s="22"/>
      <c r="H1049" s="22"/>
      <c r="I1049" s="22"/>
      <c r="J1049" s="654"/>
      <c r="K1049" s="1195"/>
      <c r="L1049" s="1195"/>
    </row>
    <row r="1050" spans="2:12" x14ac:dyDescent="0.25">
      <c r="B1050" s="20"/>
      <c r="C1050" s="20"/>
      <c r="D1050" s="32"/>
      <c r="E1050" s="25"/>
      <c r="F1050" s="22"/>
      <c r="G1050" s="22"/>
      <c r="H1050" s="22"/>
      <c r="I1050" s="22"/>
      <c r="J1050" s="654"/>
      <c r="K1050" s="1195"/>
      <c r="L1050" s="1195"/>
    </row>
    <row r="1051" spans="2:12" x14ac:dyDescent="0.25">
      <c r="B1051" s="20"/>
      <c r="C1051" s="20"/>
      <c r="D1051" s="32"/>
      <c r="E1051" s="25"/>
      <c r="F1051" s="22"/>
      <c r="G1051" s="22"/>
      <c r="H1051" s="22"/>
      <c r="I1051" s="22"/>
      <c r="J1051" s="654"/>
      <c r="K1051" s="1195"/>
      <c r="L1051" s="1195"/>
    </row>
    <row r="1052" spans="2:12" x14ac:dyDescent="0.25">
      <c r="B1052" s="20"/>
      <c r="C1052" s="20"/>
      <c r="D1052" s="32"/>
      <c r="E1052" s="25"/>
      <c r="F1052" s="22"/>
      <c r="G1052" s="22"/>
      <c r="H1052" s="22"/>
      <c r="I1052" s="22"/>
      <c r="J1052" s="654"/>
      <c r="K1052" s="1195"/>
      <c r="L1052" s="1195"/>
    </row>
    <row r="1053" spans="2:12" x14ac:dyDescent="0.25">
      <c r="B1053" s="20"/>
      <c r="C1053" s="20"/>
      <c r="D1053" s="32"/>
      <c r="E1053" s="25"/>
      <c r="F1053" s="22"/>
      <c r="G1053" s="22"/>
      <c r="H1053" s="22"/>
      <c r="I1053" s="22"/>
      <c r="J1053" s="654"/>
      <c r="K1053" s="1195"/>
      <c r="L1053" s="1195"/>
    </row>
    <row r="1054" spans="2:12" x14ac:dyDescent="0.25">
      <c r="B1054" s="20"/>
      <c r="C1054" s="20"/>
      <c r="D1054" s="32"/>
      <c r="E1054" s="25"/>
      <c r="F1054" s="22"/>
      <c r="G1054" s="22"/>
      <c r="H1054" s="22"/>
      <c r="I1054" s="22"/>
      <c r="J1054" s="654"/>
      <c r="K1054" s="1195"/>
      <c r="L1054" s="1195"/>
    </row>
    <row r="1055" spans="2:12" x14ac:dyDescent="0.25">
      <c r="B1055" s="20"/>
      <c r="C1055" s="20"/>
      <c r="D1055" s="32"/>
      <c r="E1055" s="25"/>
      <c r="F1055" s="22"/>
      <c r="G1055" s="22"/>
      <c r="H1055" s="22"/>
      <c r="I1055" s="22"/>
      <c r="J1055" s="654"/>
      <c r="K1055" s="1195"/>
      <c r="L1055" s="1195"/>
    </row>
    <row r="1056" spans="2:12" x14ac:dyDescent="0.25">
      <c r="B1056" s="20"/>
      <c r="C1056" s="20"/>
      <c r="D1056" s="32"/>
      <c r="E1056" s="25"/>
      <c r="F1056" s="22"/>
      <c r="G1056" s="22"/>
      <c r="H1056" s="22"/>
      <c r="I1056" s="22"/>
      <c r="J1056" s="654"/>
      <c r="K1056" s="1195"/>
      <c r="L1056" s="1195"/>
    </row>
    <row r="1057" spans="2:12" x14ac:dyDescent="0.25">
      <c r="B1057" s="20"/>
      <c r="C1057" s="20"/>
      <c r="D1057" s="32"/>
      <c r="E1057" s="25"/>
      <c r="F1057" s="22"/>
      <c r="G1057" s="22"/>
      <c r="H1057" s="22"/>
      <c r="I1057" s="22"/>
      <c r="J1057" s="654"/>
      <c r="K1057" s="1195"/>
      <c r="L1057" s="1195"/>
    </row>
    <row r="1058" spans="2:12" x14ac:dyDescent="0.25">
      <c r="B1058" s="20"/>
      <c r="C1058" s="20"/>
      <c r="D1058" s="32"/>
      <c r="E1058" s="25"/>
      <c r="F1058" s="22"/>
      <c r="G1058" s="22"/>
      <c r="H1058" s="22"/>
      <c r="I1058" s="22"/>
      <c r="J1058" s="654"/>
      <c r="K1058" s="1195"/>
      <c r="L1058" s="1195"/>
    </row>
    <row r="1059" spans="2:12" x14ac:dyDescent="0.25">
      <c r="B1059" s="20"/>
      <c r="C1059" s="20"/>
      <c r="D1059" s="32"/>
      <c r="E1059" s="25"/>
      <c r="F1059" s="22"/>
      <c r="G1059" s="22"/>
      <c r="H1059" s="22"/>
      <c r="I1059" s="22"/>
      <c r="J1059" s="654"/>
      <c r="K1059" s="1195"/>
      <c r="L1059" s="1195"/>
    </row>
    <row r="1060" spans="2:12" x14ac:dyDescent="0.25">
      <c r="B1060" s="20"/>
      <c r="C1060" s="20"/>
      <c r="D1060" s="32"/>
      <c r="E1060" s="25"/>
      <c r="F1060" s="22"/>
      <c r="G1060" s="22"/>
      <c r="H1060" s="22"/>
      <c r="I1060" s="22"/>
      <c r="J1060" s="654"/>
      <c r="K1060" s="1195"/>
      <c r="L1060" s="1195"/>
    </row>
    <row r="1061" spans="2:12" x14ac:dyDescent="0.25">
      <c r="B1061" s="20"/>
      <c r="C1061" s="20"/>
      <c r="D1061" s="32"/>
      <c r="E1061" s="25"/>
      <c r="F1061" s="22"/>
      <c r="G1061" s="22"/>
      <c r="H1061" s="22"/>
      <c r="I1061" s="22"/>
      <c r="J1061" s="654"/>
      <c r="K1061" s="1195"/>
      <c r="L1061" s="1195"/>
    </row>
    <row r="1062" spans="2:12" x14ac:dyDescent="0.25">
      <c r="B1062" s="20"/>
      <c r="C1062" s="20"/>
      <c r="D1062" s="32"/>
      <c r="E1062" s="25"/>
      <c r="F1062" s="22"/>
      <c r="G1062" s="22"/>
      <c r="H1062" s="22"/>
      <c r="I1062" s="22"/>
      <c r="J1062" s="654"/>
      <c r="K1062" s="1195"/>
      <c r="L1062" s="1195"/>
    </row>
    <row r="1063" spans="2:12" x14ac:dyDescent="0.25">
      <c r="B1063" s="20"/>
      <c r="C1063" s="20"/>
      <c r="D1063" s="32"/>
      <c r="E1063" s="25"/>
      <c r="F1063" s="22"/>
      <c r="G1063" s="22"/>
      <c r="H1063" s="22"/>
      <c r="I1063" s="22"/>
      <c r="J1063" s="654"/>
      <c r="K1063" s="1195"/>
      <c r="L1063" s="1195"/>
    </row>
    <row r="1064" spans="2:12" x14ac:dyDescent="0.25">
      <c r="B1064" s="20"/>
      <c r="C1064" s="20"/>
      <c r="D1064" s="32"/>
      <c r="E1064" s="25"/>
      <c r="F1064" s="22"/>
      <c r="G1064" s="22"/>
      <c r="H1064" s="22"/>
      <c r="I1064" s="22"/>
      <c r="J1064" s="654"/>
      <c r="K1064" s="1195"/>
      <c r="L1064" s="1195"/>
    </row>
    <row r="1065" spans="2:12" x14ac:dyDescent="0.25">
      <c r="B1065" s="20"/>
      <c r="C1065" s="20"/>
      <c r="D1065" s="32"/>
      <c r="E1065" s="25"/>
      <c r="F1065" s="22"/>
      <c r="G1065" s="22"/>
      <c r="H1065" s="22"/>
      <c r="I1065" s="22"/>
      <c r="J1065" s="654"/>
      <c r="K1065" s="1195"/>
      <c r="L1065" s="1195"/>
    </row>
    <row r="1066" spans="2:12" x14ac:dyDescent="0.25">
      <c r="B1066" s="20"/>
      <c r="C1066" s="20"/>
      <c r="D1066" s="32"/>
      <c r="E1066" s="25"/>
      <c r="F1066" s="22"/>
      <c r="G1066" s="22"/>
      <c r="H1066" s="22"/>
      <c r="I1066" s="22"/>
      <c r="J1066" s="654"/>
      <c r="K1066" s="1195"/>
      <c r="L1066" s="1195"/>
    </row>
    <row r="1067" spans="2:12" x14ac:dyDescent="0.25">
      <c r="B1067" s="20"/>
      <c r="C1067" s="20"/>
      <c r="D1067" s="32"/>
      <c r="E1067" s="25"/>
      <c r="F1067" s="22"/>
      <c r="G1067" s="22"/>
      <c r="H1067" s="22"/>
      <c r="I1067" s="22"/>
      <c r="J1067" s="654"/>
      <c r="K1067" s="1195"/>
      <c r="L1067" s="1195"/>
    </row>
    <row r="1068" spans="2:12" x14ac:dyDescent="0.25">
      <c r="B1068" s="20"/>
      <c r="C1068" s="20"/>
      <c r="D1068" s="25"/>
      <c r="E1068" s="25"/>
      <c r="F1068" s="22"/>
      <c r="G1068" s="22"/>
      <c r="H1068" s="22"/>
      <c r="I1068" s="22"/>
      <c r="J1068" s="655"/>
      <c r="K1068" s="1195"/>
      <c r="L1068" s="1195"/>
    </row>
    <row r="1069" spans="2:12" x14ac:dyDescent="0.25">
      <c r="B1069" s="1196" t="s">
        <v>973</v>
      </c>
      <c r="C1069" s="1197"/>
      <c r="D1069" s="1197"/>
      <c r="E1069" s="1197"/>
      <c r="F1069" s="1198"/>
      <c r="G1069" s="22"/>
      <c r="H1069" s="22"/>
      <c r="I1069" s="22"/>
      <c r="J1069" s="655"/>
      <c r="K1069" s="1195"/>
      <c r="L1069" s="1195"/>
    </row>
    <row r="1070" spans="2:12" x14ac:dyDescent="0.25">
      <c r="B1070" s="1199"/>
      <c r="C1070" s="1200"/>
      <c r="D1070" s="1200"/>
      <c r="E1070" s="1200"/>
      <c r="F1070" s="1201"/>
      <c r="G1070" s="22"/>
      <c r="H1070" s="22"/>
      <c r="I1070" s="22"/>
      <c r="J1070" s="655"/>
      <c r="K1070" s="1195"/>
      <c r="L1070" s="1195"/>
    </row>
    <row r="1071" spans="2:12" x14ac:dyDescent="0.25">
      <c r="B1071" s="1202"/>
      <c r="C1071" s="1203"/>
      <c r="D1071" s="1203"/>
      <c r="E1071" s="1203"/>
      <c r="F1071" s="1204"/>
      <c r="G1071" s="783" t="s">
        <v>80</v>
      </c>
      <c r="H1071" s="783"/>
      <c r="I1071" s="783"/>
      <c r="J1071" s="792">
        <f>ROUND(SUM(J1044:J1068),0)</f>
        <v>200</v>
      </c>
      <c r="K1071" s="1195"/>
      <c r="L1071" s="1195"/>
    </row>
    <row r="1077" spans="5:10" x14ac:dyDescent="0.25">
      <c r="E1077" s="967"/>
      <c r="F1077" s="967"/>
      <c r="G1077" s="967"/>
      <c r="H1077" s="967"/>
      <c r="I1077" s="967"/>
      <c r="J1077" s="967"/>
    </row>
    <row r="1078" spans="5:10" x14ac:dyDescent="0.25">
      <c r="E1078" s="1220" t="str">
        <f>+'Presup '!$F$118</f>
        <v xml:space="preserve">ING. MIGUEL ANTONIO VILLACRES MARTINEZ. </v>
      </c>
      <c r="F1078" s="1220"/>
      <c r="G1078" s="1220"/>
      <c r="H1078" s="1220"/>
      <c r="I1078" s="1220"/>
      <c r="J1078" s="1220"/>
    </row>
    <row r="1079" spans="5:10" x14ac:dyDescent="0.25">
      <c r="E1079" s="1220" t="str">
        <f>+'Presup '!$F$119</f>
        <v>M.P. 52202-090508 NRÑ</v>
      </c>
      <c r="F1079" s="1220"/>
      <c r="G1079" s="1220"/>
      <c r="H1079" s="1220"/>
      <c r="I1079" s="1220"/>
      <c r="J1079" s="1220"/>
    </row>
  </sheetData>
  <mergeCells count="149">
    <mergeCell ref="B664:F666"/>
    <mergeCell ref="K605:L666"/>
    <mergeCell ref="E1079:J1079"/>
    <mergeCell ref="E1042:H1042"/>
    <mergeCell ref="E1078:J1078"/>
    <mergeCell ref="K669:L670"/>
    <mergeCell ref="K671:L738"/>
    <mergeCell ref="B736:F738"/>
    <mergeCell ref="K741:L742"/>
    <mergeCell ref="K743:L753"/>
    <mergeCell ref="B751:F753"/>
    <mergeCell ref="K757:L758"/>
    <mergeCell ref="K759:L769"/>
    <mergeCell ref="E669:H669"/>
    <mergeCell ref="E741:H741"/>
    <mergeCell ref="E757:H757"/>
    <mergeCell ref="K772:L773"/>
    <mergeCell ref="K774:L788"/>
    <mergeCell ref="B767:F769"/>
    <mergeCell ref="B786:F788"/>
    <mergeCell ref="K793:L794"/>
    <mergeCell ref="K795:L854"/>
    <mergeCell ref="B852:F854"/>
    <mergeCell ref="K858:L859"/>
    <mergeCell ref="B5:L6"/>
    <mergeCell ref="B7:L7"/>
    <mergeCell ref="K13:L14"/>
    <mergeCell ref="K15:L31"/>
    <mergeCell ref="B29:F31"/>
    <mergeCell ref="K190:L191"/>
    <mergeCell ref="K192:L202"/>
    <mergeCell ref="B200:F202"/>
    <mergeCell ref="K117:L129"/>
    <mergeCell ref="B63:F65"/>
    <mergeCell ref="K34:L35"/>
    <mergeCell ref="K36:L65"/>
    <mergeCell ref="K68:L69"/>
    <mergeCell ref="B9:K9"/>
    <mergeCell ref="K205:L206"/>
    <mergeCell ref="K207:L217"/>
    <mergeCell ref="B215:F217"/>
    <mergeCell ref="K152:L169"/>
    <mergeCell ref="B167:F169"/>
    <mergeCell ref="K172:L173"/>
    <mergeCell ref="K174:L187"/>
    <mergeCell ref="B185:F187"/>
    <mergeCell ref="E188:G188"/>
    <mergeCell ref="K290:L291"/>
    <mergeCell ref="K220:L221"/>
    <mergeCell ref="K222:L239"/>
    <mergeCell ref="B237:F239"/>
    <mergeCell ref="K244:L245"/>
    <mergeCell ref="K246:L256"/>
    <mergeCell ref="B254:F256"/>
    <mergeCell ref="K259:L260"/>
    <mergeCell ref="B1:L1"/>
    <mergeCell ref="B2:L2"/>
    <mergeCell ref="B3:L3"/>
    <mergeCell ref="K261:L270"/>
    <mergeCell ref="B268:F270"/>
    <mergeCell ref="K274:L275"/>
    <mergeCell ref="K276:L284"/>
    <mergeCell ref="B282:F284"/>
    <mergeCell ref="K131:L132"/>
    <mergeCell ref="K133:L147"/>
    <mergeCell ref="B145:F147"/>
    <mergeCell ref="K150:L151"/>
    <mergeCell ref="B110:F112"/>
    <mergeCell ref="K70:L112"/>
    <mergeCell ref="K115:L116"/>
    <mergeCell ref="B126:F128"/>
    <mergeCell ref="K424:L432"/>
    <mergeCell ref="B430:F432"/>
    <mergeCell ref="K437:L438"/>
    <mergeCell ref="K439:L498"/>
    <mergeCell ref="B496:F498"/>
    <mergeCell ref="K501:L502"/>
    <mergeCell ref="K503:L514"/>
    <mergeCell ref="B512:F514"/>
    <mergeCell ref="K292:L392"/>
    <mergeCell ref="B390:F392"/>
    <mergeCell ref="K395:L396"/>
    <mergeCell ref="B403:F405"/>
    <mergeCell ref="K397:L405"/>
    <mergeCell ref="K409:L410"/>
    <mergeCell ref="K411:L419"/>
    <mergeCell ref="B417:F419"/>
    <mergeCell ref="K422:L423"/>
    <mergeCell ref="K517:L518"/>
    <mergeCell ref="B580:F582"/>
    <mergeCell ref="K519:L582"/>
    <mergeCell ref="K585:L586"/>
    <mergeCell ref="B597:F599"/>
    <mergeCell ref="K587:L599"/>
    <mergeCell ref="K603:L604"/>
    <mergeCell ref="E517:H517"/>
    <mergeCell ref="E585:H585"/>
    <mergeCell ref="E603:H603"/>
    <mergeCell ref="K860:L875"/>
    <mergeCell ref="B873:F875"/>
    <mergeCell ref="E772:H772"/>
    <mergeCell ref="E793:H793"/>
    <mergeCell ref="E858:H858"/>
    <mergeCell ref="K878:L879"/>
    <mergeCell ref="K880:L938"/>
    <mergeCell ref="B936:F938"/>
    <mergeCell ref="K942:L943"/>
    <mergeCell ref="K944:L953"/>
    <mergeCell ref="B951:F953"/>
    <mergeCell ref="E878:H878"/>
    <mergeCell ref="E942:H942"/>
    <mergeCell ref="E958:H958"/>
    <mergeCell ref="K958:L959"/>
    <mergeCell ref="K960:L976"/>
    <mergeCell ref="B974:F976"/>
    <mergeCell ref="K982:L983"/>
    <mergeCell ref="K984:L1000"/>
    <mergeCell ref="B998:F1000"/>
    <mergeCell ref="K1003:L1004"/>
    <mergeCell ref="K1005:L1011"/>
    <mergeCell ref="B1009:F1011"/>
    <mergeCell ref="K1017:L1018"/>
    <mergeCell ref="E982:H982"/>
    <mergeCell ref="E1003:H1003"/>
    <mergeCell ref="E1017:H1017"/>
    <mergeCell ref="K1019:L1036"/>
    <mergeCell ref="B1034:F1036"/>
    <mergeCell ref="K1042:L1043"/>
    <mergeCell ref="K1044:L1071"/>
    <mergeCell ref="B1069:F1071"/>
    <mergeCell ref="E13:H13"/>
    <mergeCell ref="E34:H34"/>
    <mergeCell ref="E68:H68"/>
    <mergeCell ref="E115:H115"/>
    <mergeCell ref="E131:H131"/>
    <mergeCell ref="E150:H150"/>
    <mergeCell ref="E172:H172"/>
    <mergeCell ref="E190:H190"/>
    <mergeCell ref="E205:H205"/>
    <mergeCell ref="E220:H220"/>
    <mergeCell ref="E244:H244"/>
    <mergeCell ref="E259:H259"/>
    <mergeCell ref="E274:H274"/>
    <mergeCell ref="E290:H290"/>
    <mergeCell ref="E395:H395"/>
    <mergeCell ref="E409:H409"/>
    <mergeCell ref="E422:H422"/>
    <mergeCell ref="E437:H437"/>
    <mergeCell ref="E501:H501"/>
  </mergeCells>
  <printOptions horizontalCentered="1" verticalCentered="1"/>
  <pageMargins left="0.23622047244094491" right="0.23622047244094491" top="0.19685039370078741" bottom="0.15748031496062992" header="0.31496062992125984" footer="3.937007874015748E-2"/>
  <pageSetup paperSize="125" scale="49" fitToHeight="0" orientation="landscape" r:id="rId1"/>
  <rowBreaks count="19" manualBreakCount="19">
    <brk id="66" min="1" max="11" man="1"/>
    <brk id="129" min="1" max="11" man="1"/>
    <brk id="188" min="1" max="11" man="1"/>
    <brk id="240" min="1" max="11" man="1"/>
    <brk id="284" min="1" max="11" man="1"/>
    <brk id="345" min="1" max="11" man="1"/>
    <brk id="393" min="1" max="11" man="1"/>
    <brk id="434" min="1" max="11" man="1"/>
    <brk id="498" min="1" max="11" man="1"/>
    <brk id="545" min="1" max="11" man="1"/>
    <brk id="600" min="1" max="11" man="1"/>
    <brk id="667" min="1" max="11" man="1"/>
    <brk id="738" min="1" max="11" man="1"/>
    <brk id="790" min="1" max="11" man="1"/>
    <brk id="856" min="1" max="11" man="1"/>
    <brk id="908" min="1" max="11" man="1"/>
    <brk id="954" min="1" max="11" man="1"/>
    <brk id="977" min="1" max="11" man="1"/>
    <brk id="1038" min="1" max="11" man="1"/>
  </row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</sheetPr>
  <dimension ref="B1:AM97"/>
  <sheetViews>
    <sheetView view="pageBreakPreview" zoomScale="90" zoomScaleNormal="50" zoomScaleSheetLayoutView="90" workbookViewId="0">
      <pane ySplit="6" topLeftCell="A69" activePane="bottomLeft" state="frozen"/>
      <selection activeCell="EW5" sqref="EW5:FZ5"/>
      <selection pane="bottomLeft" activeCell="A81" sqref="A81"/>
    </sheetView>
  </sheetViews>
  <sheetFormatPr baseColWidth="10" defaultRowHeight="15" x14ac:dyDescent="0.25"/>
  <cols>
    <col min="1" max="1" width="1.5703125" customWidth="1"/>
    <col min="2" max="2" width="8.140625" style="593" customWidth="1"/>
    <col min="3" max="3" width="6.85546875" style="593" hidden="1" customWidth="1"/>
    <col min="4" max="4" width="11.85546875" style="593" customWidth="1"/>
    <col min="5" max="5" width="68.85546875" style="1" customWidth="1"/>
    <col min="6" max="6" width="9" style="1" customWidth="1"/>
    <col min="7" max="7" width="11.5703125" style="1" hidden="1" customWidth="1"/>
    <col min="8" max="8" width="15.5703125" style="1" hidden="1" customWidth="1"/>
    <col min="9" max="9" width="18.28515625" style="1" hidden="1" customWidth="1"/>
    <col min="10" max="10" width="11.42578125" hidden="1" customWidth="1"/>
    <col min="11" max="11" width="15.28515625" hidden="1" customWidth="1"/>
    <col min="12" max="12" width="12.28515625" hidden="1" customWidth="1"/>
    <col min="13" max="13" width="14.28515625" hidden="1" customWidth="1"/>
    <col min="14" max="14" width="11.42578125" hidden="1" customWidth="1"/>
    <col min="15" max="15" width="15.140625" hidden="1" customWidth="1"/>
    <col min="16" max="16" width="11.42578125" hidden="1" customWidth="1"/>
    <col min="17" max="17" width="16.5703125" hidden="1" customWidth="1"/>
    <col min="18" max="18" width="11" hidden="1" customWidth="1"/>
    <col min="19" max="19" width="20" hidden="1" customWidth="1"/>
    <col min="20" max="20" width="11.42578125" hidden="1" customWidth="1"/>
    <col min="21" max="21" width="16.28515625" hidden="1" customWidth="1"/>
    <col min="22" max="22" width="11.42578125" hidden="1" customWidth="1"/>
    <col min="23" max="23" width="14.140625" hidden="1" customWidth="1"/>
    <col min="24" max="28" width="11.42578125" hidden="1" customWidth="1"/>
    <col min="29" max="33" width="19.42578125" customWidth="1"/>
    <col min="34" max="34" width="21.85546875" customWidth="1"/>
  </cols>
  <sheetData>
    <row r="1" spans="2:39" ht="15.75" customHeight="1" x14ac:dyDescent="0.25">
      <c r="B1" s="1175" t="str">
        <f>+'Presup '!B5</f>
        <v>MEJORAMIENTO VÍA LA LAGUNA, SALINAS, LOS OLIVOS</v>
      </c>
      <c r="C1" s="1175"/>
      <c r="D1" s="1175"/>
      <c r="E1" s="1175"/>
      <c r="F1" s="1175"/>
      <c r="G1" s="1175"/>
      <c r="H1" s="1175"/>
      <c r="I1" s="1175"/>
      <c r="J1" s="1175"/>
      <c r="K1" s="1175"/>
      <c r="L1" s="1175"/>
      <c r="M1" s="1175"/>
      <c r="N1" s="1175"/>
      <c r="O1" s="1175"/>
      <c r="P1" s="1175"/>
      <c r="Q1" s="1175"/>
      <c r="R1" s="1175"/>
      <c r="S1" s="1175"/>
      <c r="T1" s="1175"/>
      <c r="U1" s="1175"/>
      <c r="V1" s="1175"/>
      <c r="W1" s="1175"/>
    </row>
    <row r="2" spans="2:39" x14ac:dyDescent="0.25">
      <c r="B2" s="1175"/>
      <c r="C2" s="1175"/>
      <c r="D2" s="1175"/>
      <c r="E2" s="1175"/>
      <c r="F2" s="1175"/>
      <c r="G2" s="1175"/>
      <c r="H2" s="1175"/>
      <c r="I2" s="1175"/>
      <c r="J2" s="1175"/>
      <c r="K2" s="1175"/>
      <c r="L2" s="1175"/>
      <c r="M2" s="1175"/>
      <c r="N2" s="1175"/>
      <c r="O2" s="1175"/>
      <c r="P2" s="1175"/>
      <c r="Q2" s="1175"/>
      <c r="R2" s="1175"/>
      <c r="S2" s="1175"/>
      <c r="T2" s="1175"/>
      <c r="U2" s="1175"/>
      <c r="V2" s="1175"/>
      <c r="W2" s="1175"/>
    </row>
    <row r="3" spans="2:39" ht="15" customHeight="1" x14ac:dyDescent="0.25">
      <c r="B3" s="1176"/>
      <c r="C3" s="1176"/>
      <c r="D3" s="1176"/>
      <c r="E3" s="1176"/>
      <c r="F3" s="1176"/>
      <c r="G3" s="1176"/>
      <c r="H3" s="1176"/>
      <c r="I3" s="1176"/>
      <c r="J3" s="1176"/>
      <c r="K3" s="1176"/>
      <c r="L3" s="1176"/>
      <c r="M3" s="1176"/>
      <c r="N3" s="1176"/>
      <c r="O3" s="1176"/>
      <c r="P3" s="1176"/>
      <c r="Q3" s="1176"/>
      <c r="R3" s="1176"/>
      <c r="S3" s="1176"/>
      <c r="T3" s="1176"/>
      <c r="U3" s="1176"/>
      <c r="V3" s="1176"/>
      <c r="W3" s="1176"/>
    </row>
    <row r="4" spans="2:39" ht="15.75" customHeight="1" x14ac:dyDescent="0.25">
      <c r="B4" s="1176" t="s">
        <v>850</v>
      </c>
      <c r="C4" s="1176"/>
      <c r="D4" s="1176"/>
      <c r="E4" s="1176"/>
      <c r="F4" s="1176"/>
      <c r="G4" s="1176"/>
      <c r="H4" s="1176"/>
      <c r="I4" s="1176"/>
      <c r="J4" s="1176"/>
      <c r="K4" s="1176"/>
      <c r="L4" s="1176"/>
      <c r="M4" s="1176"/>
      <c r="N4" s="1176"/>
      <c r="O4" s="1176"/>
      <c r="P4" s="1176"/>
      <c r="Q4" s="1176"/>
      <c r="R4" s="1176"/>
      <c r="S4" s="1176"/>
      <c r="T4" s="1176"/>
      <c r="U4" s="1176"/>
      <c r="V4" s="1176"/>
      <c r="W4" s="1176"/>
    </row>
    <row r="5" spans="2:39" ht="15.75" x14ac:dyDescent="0.25">
      <c r="E5" s="593"/>
      <c r="F5" s="593"/>
      <c r="G5" s="593"/>
      <c r="AC5" s="1222" t="s">
        <v>816</v>
      </c>
      <c r="AD5" s="1223"/>
      <c r="AE5" s="1223"/>
      <c r="AF5" s="1223"/>
      <c r="AG5" s="1223"/>
      <c r="AH5" s="1224"/>
    </row>
    <row r="6" spans="2:39" ht="47.25" x14ac:dyDescent="0.25">
      <c r="B6" s="4" t="s">
        <v>2</v>
      </c>
      <c r="C6" s="4" t="s">
        <v>2</v>
      </c>
      <c r="D6" s="4" t="s">
        <v>3</v>
      </c>
      <c r="E6" s="4" t="s">
        <v>4</v>
      </c>
      <c r="F6" s="4" t="s">
        <v>5</v>
      </c>
      <c r="G6" s="4" t="s">
        <v>6</v>
      </c>
      <c r="H6" s="4" t="s">
        <v>7</v>
      </c>
      <c r="I6" s="4" t="s">
        <v>8</v>
      </c>
      <c r="J6" s="247" t="s">
        <v>251</v>
      </c>
      <c r="K6" s="247" t="s">
        <v>577</v>
      </c>
      <c r="L6" s="247" t="s">
        <v>347</v>
      </c>
      <c r="M6" s="247" t="s">
        <v>578</v>
      </c>
      <c r="N6" s="247" t="s">
        <v>579</v>
      </c>
      <c r="O6" s="247" t="s">
        <v>580</v>
      </c>
      <c r="P6" s="247" t="s">
        <v>581</v>
      </c>
      <c r="Q6" s="247" t="s">
        <v>582</v>
      </c>
      <c r="R6" s="247" t="s">
        <v>596</v>
      </c>
      <c r="S6" s="247" t="s">
        <v>597</v>
      </c>
      <c r="T6" s="247" t="s">
        <v>583</v>
      </c>
      <c r="U6" s="247" t="s">
        <v>815</v>
      </c>
      <c r="V6" s="248" t="s">
        <v>585</v>
      </c>
      <c r="W6" s="594" t="s">
        <v>251</v>
      </c>
      <c r="X6" s="594" t="s">
        <v>347</v>
      </c>
      <c r="Y6" s="594" t="s">
        <v>579</v>
      </c>
      <c r="Z6" s="594" t="s">
        <v>817</v>
      </c>
      <c r="AA6" s="594" t="s">
        <v>818</v>
      </c>
      <c r="AB6" s="595" t="s">
        <v>819</v>
      </c>
      <c r="AC6" s="594" t="s">
        <v>251</v>
      </c>
      <c r="AD6" s="594" t="s">
        <v>347</v>
      </c>
      <c r="AE6" s="594" t="s">
        <v>579</v>
      </c>
      <c r="AF6" s="594" t="s">
        <v>817</v>
      </c>
      <c r="AG6" s="594" t="s">
        <v>818</v>
      </c>
      <c r="AH6" s="596" t="s">
        <v>586</v>
      </c>
      <c r="AI6" s="594" t="s">
        <v>251</v>
      </c>
      <c r="AJ6" s="594" t="s">
        <v>347</v>
      </c>
      <c r="AK6" s="594" t="s">
        <v>579</v>
      </c>
      <c r="AL6" s="594" t="s">
        <v>817</v>
      </c>
      <c r="AM6" s="594" t="s">
        <v>818</v>
      </c>
    </row>
    <row r="7" spans="2:39" x14ac:dyDescent="0.25">
      <c r="B7" s="45"/>
      <c r="C7" s="45"/>
      <c r="D7" s="45"/>
      <c r="E7" s="66" t="s">
        <v>93</v>
      </c>
      <c r="F7" s="45"/>
      <c r="G7" s="45"/>
      <c r="H7" s="46"/>
      <c r="I7" s="46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</row>
    <row r="8" spans="2:39" x14ac:dyDescent="0.25">
      <c r="B8" s="35" t="str">
        <f>+'Presup '!B13</f>
        <v>200.2</v>
      </c>
      <c r="C8" s="35" t="s">
        <v>9</v>
      </c>
      <c r="D8" s="35">
        <v>200.13</v>
      </c>
      <c r="E8" s="550" t="s">
        <v>10</v>
      </c>
      <c r="F8" s="35" t="s">
        <v>11</v>
      </c>
      <c r="G8" s="36">
        <f>+P.Detall!G13</f>
        <v>10.1</v>
      </c>
      <c r="H8" s="37">
        <f>+'200.2'!I55</f>
        <v>437035</v>
      </c>
      <c r="I8" s="37">
        <f>ROUND(H8*G8,0)</f>
        <v>4414054</v>
      </c>
      <c r="J8" s="36">
        <f>+'200.2'!I19</f>
        <v>154181</v>
      </c>
      <c r="K8" s="36">
        <f>+J8*G8</f>
        <v>1557228.0999999999</v>
      </c>
      <c r="L8" s="36">
        <f>+'200.2'!I29</f>
        <v>0</v>
      </c>
      <c r="M8" s="36">
        <f>+L8*G8</f>
        <v>0</v>
      </c>
      <c r="N8" s="36">
        <f>+'200.2'!I36</f>
        <v>62050</v>
      </c>
      <c r="O8" s="36">
        <f>+N8*G8</f>
        <v>626705</v>
      </c>
      <c r="P8" s="36">
        <f>+'200.2'!I45</f>
        <v>119950</v>
      </c>
      <c r="Q8" s="36">
        <f>+P8*G8</f>
        <v>1211495</v>
      </c>
      <c r="R8" s="36">
        <f>+J8+L8+N8+P8</f>
        <v>336181</v>
      </c>
      <c r="S8" s="36">
        <f>+R8*G8</f>
        <v>3395428.1</v>
      </c>
      <c r="T8" s="36">
        <f>+'200.2'!I53</f>
        <v>100854</v>
      </c>
      <c r="U8" s="36">
        <f>+T8*G8</f>
        <v>1018625.3999999999</v>
      </c>
      <c r="V8" s="36">
        <f>+J8+L8+N8+P8+T8</f>
        <v>437035</v>
      </c>
      <c r="W8" s="597">
        <f>+K8/S8</f>
        <v>0.45862496690770738</v>
      </c>
      <c r="X8" s="598">
        <f>+M8/S8</f>
        <v>0</v>
      </c>
      <c r="Y8" s="598">
        <f>+O8/S8</f>
        <v>0.18457319122734478</v>
      </c>
      <c r="Z8" s="598">
        <f>+(Q8/S8)*0.2</f>
        <v>7.1360368372989549E-2</v>
      </c>
      <c r="AA8" s="598">
        <f>+(Q8/S8)*0.8</f>
        <v>0.2854414734919582</v>
      </c>
      <c r="AB8" s="598">
        <f>+SUM(W8:AA8)</f>
        <v>0.99999999999999978</v>
      </c>
      <c r="AC8" s="599">
        <f>+W8*I8</f>
        <v>2024395.3696788333</v>
      </c>
      <c r="AD8" s="599">
        <f>+X8*I8</f>
        <v>0</v>
      </c>
      <c r="AE8" s="599">
        <f>+Y8*I8</f>
        <v>814716.03302982613</v>
      </c>
      <c r="AF8" s="599">
        <f>+Z8*I8</f>
        <v>314988.51945826801</v>
      </c>
      <c r="AG8" s="599">
        <f>+AA8*I8</f>
        <v>1259954.077833072</v>
      </c>
      <c r="AH8" s="599">
        <f>+SUM(AC8:AG8)</f>
        <v>4414053.9999999991</v>
      </c>
    </row>
    <row r="9" spans="2:39" x14ac:dyDescent="0.25">
      <c r="B9" s="35" t="str">
        <f>+'Presup '!B14</f>
        <v>200.4P</v>
      </c>
      <c r="C9" s="8" t="s">
        <v>12</v>
      </c>
      <c r="D9" s="8" t="s">
        <v>13</v>
      </c>
      <c r="E9" s="551" t="s">
        <v>14</v>
      </c>
      <c r="F9" s="8" t="s">
        <v>15</v>
      </c>
      <c r="G9" s="36">
        <f>+P.Detall!G14</f>
        <v>200</v>
      </c>
      <c r="H9" s="11">
        <f>+'200,4P'!I55</f>
        <v>1903</v>
      </c>
      <c r="I9" s="11">
        <f t="shared" ref="I9:I17" si="0">ROUND(H9*G9,0)</f>
        <v>380600</v>
      </c>
      <c r="J9" s="10">
        <f>+'200,4P'!I19</f>
        <v>103</v>
      </c>
      <c r="K9" s="36">
        <f t="shared" ref="K9:K17" si="1">+J9*G9</f>
        <v>20600</v>
      </c>
      <c r="L9" s="10">
        <f>+'200,4P'!I29</f>
        <v>621</v>
      </c>
      <c r="M9" s="36">
        <f t="shared" ref="M9:M17" si="2">+L9*G9</f>
        <v>124200</v>
      </c>
      <c r="N9" s="10">
        <f>+'200,4P'!I36</f>
        <v>0</v>
      </c>
      <c r="O9" s="36">
        <f t="shared" ref="O9:O17" si="3">+N9*G9</f>
        <v>0</v>
      </c>
      <c r="P9" s="10">
        <f>+'200,4P'!I45</f>
        <v>740</v>
      </c>
      <c r="Q9" s="36">
        <f t="shared" ref="Q9:Q17" si="4">+P9*G9</f>
        <v>148000</v>
      </c>
      <c r="R9" s="36">
        <f t="shared" ref="R9:R17" si="5">+J9+L9+N9+P9</f>
        <v>1464</v>
      </c>
      <c r="S9" s="36">
        <f t="shared" ref="S9:S17" si="6">+R9*G9</f>
        <v>292800</v>
      </c>
      <c r="T9" s="10">
        <f>+'200,4P'!I53</f>
        <v>439</v>
      </c>
      <c r="U9" s="36">
        <f t="shared" ref="U9:U17" si="7">+T9*G9</f>
        <v>87800</v>
      </c>
      <c r="V9" s="36">
        <f t="shared" ref="V9:V17" si="8">+J9+L9+N9+P9+T9</f>
        <v>1903</v>
      </c>
      <c r="W9" s="597">
        <f t="shared" ref="W9:W17" si="9">+K9/S9</f>
        <v>7.0355191256830596E-2</v>
      </c>
      <c r="X9" s="598">
        <f t="shared" ref="X9:X17" si="10">+M9/S9</f>
        <v>0.42418032786885246</v>
      </c>
      <c r="Y9" s="598">
        <f t="shared" ref="Y9:Y17" si="11">+O9/S9</f>
        <v>0</v>
      </c>
      <c r="Z9" s="598">
        <f>+(Q9/S9)*0.8</f>
        <v>0.40437158469945356</v>
      </c>
      <c r="AA9" s="598">
        <f>+(Q9/S9)*0.2</f>
        <v>0.10109289617486339</v>
      </c>
      <c r="AB9" s="598">
        <f t="shared" ref="AB9:AB68" si="12">+SUM(W9:AA9)</f>
        <v>1</v>
      </c>
      <c r="AC9" s="599">
        <f t="shared" ref="AC9:AC17" si="13">+W9*I9</f>
        <v>26777.185792349726</v>
      </c>
      <c r="AD9" s="599">
        <f t="shared" ref="AD9:AD17" si="14">+X9*I9</f>
        <v>161443.03278688525</v>
      </c>
      <c r="AE9" s="599">
        <f t="shared" ref="AE9:AE17" si="15">+Y9*I9</f>
        <v>0</v>
      </c>
      <c r="AF9" s="599">
        <f t="shared" ref="AF9:AF17" si="16">+Z9*I9</f>
        <v>153903.82513661202</v>
      </c>
      <c r="AG9" s="599">
        <f t="shared" ref="AG9:AG17" si="17">+AA9*I9</f>
        <v>38475.956284153006</v>
      </c>
      <c r="AH9" s="599">
        <f t="shared" ref="AH9:AH67" si="18">+SUM(AC9:AG9)</f>
        <v>380599.99999999994</v>
      </c>
    </row>
    <row r="10" spans="2:39" x14ac:dyDescent="0.25">
      <c r="B10" s="35" t="str">
        <f>+'Presup '!B15</f>
        <v>201.7</v>
      </c>
      <c r="C10" s="8" t="s">
        <v>16</v>
      </c>
      <c r="D10" s="8" t="s">
        <v>125</v>
      </c>
      <c r="E10" s="552" t="s">
        <v>17</v>
      </c>
      <c r="F10" s="8" t="s">
        <v>18</v>
      </c>
      <c r="G10" s="36">
        <f>+P.Detall!G15</f>
        <v>38</v>
      </c>
      <c r="H10" s="11">
        <f>+'201,7'!I55</f>
        <v>121154</v>
      </c>
      <c r="I10" s="11">
        <f t="shared" si="0"/>
        <v>4603852</v>
      </c>
      <c r="J10" s="10">
        <f>+'201,7'!I19</f>
        <v>68466</v>
      </c>
      <c r="K10" s="36">
        <f t="shared" si="1"/>
        <v>2601708</v>
      </c>
      <c r="L10" s="10">
        <f>+'201,7'!I29</f>
        <v>0</v>
      </c>
      <c r="M10" s="36">
        <f t="shared" si="2"/>
        <v>0</v>
      </c>
      <c r="N10" s="10">
        <f>+'201,7'!I36</f>
        <v>3309</v>
      </c>
      <c r="O10" s="36">
        <f t="shared" si="3"/>
        <v>125742</v>
      </c>
      <c r="P10" s="10">
        <f>+'201,7'!I45</f>
        <v>21420</v>
      </c>
      <c r="Q10" s="36">
        <f t="shared" si="4"/>
        <v>813960</v>
      </c>
      <c r="R10" s="36">
        <f t="shared" si="5"/>
        <v>93195</v>
      </c>
      <c r="S10" s="36">
        <f t="shared" si="6"/>
        <v>3541410</v>
      </c>
      <c r="T10" s="10">
        <f>+'201,7'!I53</f>
        <v>27959</v>
      </c>
      <c r="U10" s="36">
        <f t="shared" si="7"/>
        <v>1062442</v>
      </c>
      <c r="V10" s="36">
        <f t="shared" si="8"/>
        <v>121154</v>
      </c>
      <c r="W10" s="597">
        <f t="shared" si="9"/>
        <v>0.73465314662803793</v>
      </c>
      <c r="X10" s="598">
        <f t="shared" si="10"/>
        <v>0</v>
      </c>
      <c r="Y10" s="598">
        <f t="shared" si="11"/>
        <v>3.550619668437148E-2</v>
      </c>
      <c r="Z10" s="598">
        <f>+(Q10/S10)*0.2</f>
        <v>4.5968131337518113E-2</v>
      </c>
      <c r="AA10" s="598">
        <f>+(Q10/S10)*0.8</f>
        <v>0.18387252535007245</v>
      </c>
      <c r="AB10" s="598">
        <f t="shared" si="12"/>
        <v>1</v>
      </c>
      <c r="AC10" s="599">
        <f t="shared" si="13"/>
        <v>3382234.3584097857</v>
      </c>
      <c r="AD10" s="599">
        <f t="shared" si="14"/>
        <v>0</v>
      </c>
      <c r="AE10" s="599">
        <f t="shared" si="15"/>
        <v>163465.27461773701</v>
      </c>
      <c r="AF10" s="599">
        <f t="shared" si="16"/>
        <v>211630.47339449544</v>
      </c>
      <c r="AG10" s="599">
        <f t="shared" si="17"/>
        <v>846521.89357798174</v>
      </c>
      <c r="AH10" s="599">
        <f t="shared" si="18"/>
        <v>4603852</v>
      </c>
    </row>
    <row r="11" spans="2:39" x14ac:dyDescent="0.25">
      <c r="B11" s="35">
        <f>+'Presup '!B16</f>
        <v>215</v>
      </c>
      <c r="C11" s="8"/>
      <c r="D11" s="8" t="s">
        <v>125</v>
      </c>
      <c r="E11" s="552" t="s">
        <v>85</v>
      </c>
      <c r="F11" s="8" t="s">
        <v>15</v>
      </c>
      <c r="G11" s="36">
        <f>+P.Detall!G16</f>
        <v>30</v>
      </c>
      <c r="H11" s="11">
        <f>+'215'!I55</f>
        <v>38069</v>
      </c>
      <c r="I11" s="11">
        <f t="shared" si="0"/>
        <v>1142070</v>
      </c>
      <c r="J11" s="10">
        <f>+'215'!I19</f>
        <v>20817</v>
      </c>
      <c r="K11" s="36">
        <f t="shared" si="1"/>
        <v>624510</v>
      </c>
      <c r="L11" s="10">
        <f>+'215'!I29</f>
        <v>0</v>
      </c>
      <c r="M11" s="36">
        <f t="shared" si="2"/>
        <v>0</v>
      </c>
      <c r="N11" s="10">
        <f>+'215'!I36</f>
        <v>1613</v>
      </c>
      <c r="O11" s="36">
        <f t="shared" si="3"/>
        <v>48390</v>
      </c>
      <c r="P11" s="10">
        <f>+'215'!I45</f>
        <v>6854</v>
      </c>
      <c r="Q11" s="36">
        <f t="shared" si="4"/>
        <v>205620</v>
      </c>
      <c r="R11" s="36">
        <f t="shared" si="5"/>
        <v>29284</v>
      </c>
      <c r="S11" s="36">
        <f t="shared" si="6"/>
        <v>878520</v>
      </c>
      <c r="T11" s="10">
        <f>+'215'!I53</f>
        <v>8785</v>
      </c>
      <c r="U11" s="36">
        <f t="shared" si="7"/>
        <v>263550</v>
      </c>
      <c r="V11" s="36">
        <f t="shared" si="8"/>
        <v>38069</v>
      </c>
      <c r="W11" s="597">
        <f t="shared" si="9"/>
        <v>0.71086600191230709</v>
      </c>
      <c r="X11" s="598">
        <f t="shared" si="10"/>
        <v>0</v>
      </c>
      <c r="Y11" s="598">
        <f t="shared" si="11"/>
        <v>5.5081273050129761E-2</v>
      </c>
      <c r="Z11" s="598">
        <f>+(Q11/S11)*0.2</f>
        <v>4.6810545007512638E-2</v>
      </c>
      <c r="AA11" s="598">
        <f>+(Q11/S11)*0.8</f>
        <v>0.18724218003005055</v>
      </c>
      <c r="AB11" s="598">
        <f t="shared" si="12"/>
        <v>1</v>
      </c>
      <c r="AC11" s="599">
        <f t="shared" si="13"/>
        <v>811858.7348039886</v>
      </c>
      <c r="AD11" s="599">
        <f t="shared" si="14"/>
        <v>0</v>
      </c>
      <c r="AE11" s="599">
        <f t="shared" si="15"/>
        <v>62906.669512361696</v>
      </c>
      <c r="AF11" s="599">
        <f t="shared" si="16"/>
        <v>53460.919136729957</v>
      </c>
      <c r="AG11" s="599">
        <f t="shared" si="17"/>
        <v>213843.67654691983</v>
      </c>
      <c r="AH11" s="599">
        <f t="shared" si="18"/>
        <v>1142070</v>
      </c>
    </row>
    <row r="12" spans="2:39" x14ac:dyDescent="0.25">
      <c r="B12" s="35" t="str">
        <f>+'Presup '!B17</f>
        <v>210.1.1</v>
      </c>
      <c r="C12" s="8"/>
      <c r="D12" s="8" t="s">
        <v>126</v>
      </c>
      <c r="E12" s="552" t="s">
        <v>86</v>
      </c>
      <c r="F12" s="8" t="s">
        <v>18</v>
      </c>
      <c r="G12" s="36">
        <f>+P.Detall!G17</f>
        <v>39</v>
      </c>
      <c r="H12" s="11">
        <f>+'210,1,1'!I55</f>
        <v>15835</v>
      </c>
      <c r="I12" s="11">
        <f t="shared" si="0"/>
        <v>617565</v>
      </c>
      <c r="J12" s="10">
        <f>+'210,1,1'!I19</f>
        <v>10358</v>
      </c>
      <c r="K12" s="36">
        <f t="shared" si="1"/>
        <v>403962</v>
      </c>
      <c r="L12" s="10">
        <f>+'210,1,1'!I29</f>
        <v>0</v>
      </c>
      <c r="M12" s="36">
        <f t="shared" si="2"/>
        <v>0</v>
      </c>
      <c r="N12" s="10">
        <f>+'210,1,1'!I36</f>
        <v>0</v>
      </c>
      <c r="O12" s="36">
        <f t="shared" si="3"/>
        <v>0</v>
      </c>
      <c r="P12" s="10">
        <f>+'210,1,1'!I45</f>
        <v>1823</v>
      </c>
      <c r="Q12" s="36">
        <f t="shared" si="4"/>
        <v>71097</v>
      </c>
      <c r="R12" s="36">
        <f t="shared" si="5"/>
        <v>12181</v>
      </c>
      <c r="S12" s="36">
        <f t="shared" si="6"/>
        <v>475059</v>
      </c>
      <c r="T12" s="10">
        <f>+'210,1,1'!I53</f>
        <v>3654</v>
      </c>
      <c r="U12" s="36">
        <f t="shared" si="7"/>
        <v>142506</v>
      </c>
      <c r="V12" s="36">
        <f t="shared" si="8"/>
        <v>15835</v>
      </c>
      <c r="W12" s="597">
        <f t="shared" si="9"/>
        <v>0.85034069452425909</v>
      </c>
      <c r="X12" s="598">
        <f t="shared" si="10"/>
        <v>0</v>
      </c>
      <c r="Y12" s="598">
        <f t="shared" si="11"/>
        <v>0</v>
      </c>
      <c r="Z12" s="598">
        <f>+(Q12/S12)*0.2</f>
        <v>2.9931861095148185E-2</v>
      </c>
      <c r="AA12" s="598">
        <f>+(Q12/S12)*0.8</f>
        <v>0.11972744438059274</v>
      </c>
      <c r="AB12" s="598">
        <f t="shared" si="12"/>
        <v>1</v>
      </c>
      <c r="AC12" s="599">
        <f t="shared" si="13"/>
        <v>525140.6510138741</v>
      </c>
      <c r="AD12" s="599">
        <f t="shared" si="14"/>
        <v>0</v>
      </c>
      <c r="AE12" s="599">
        <f t="shared" si="15"/>
        <v>0</v>
      </c>
      <c r="AF12" s="599">
        <f t="shared" si="16"/>
        <v>18484.86979722519</v>
      </c>
      <c r="AG12" s="599">
        <f t="shared" si="17"/>
        <v>73939.479188900761</v>
      </c>
      <c r="AH12" s="599">
        <f t="shared" si="18"/>
        <v>617565.00000000012</v>
      </c>
    </row>
    <row r="13" spans="2:39" x14ac:dyDescent="0.25">
      <c r="B13" s="35" t="str">
        <f>+'Presup '!B18</f>
        <v>210.2.1</v>
      </c>
      <c r="C13" s="8"/>
      <c r="D13" s="8" t="s">
        <v>126</v>
      </c>
      <c r="E13" s="552" t="s">
        <v>89</v>
      </c>
      <c r="F13" s="8" t="s">
        <v>18</v>
      </c>
      <c r="G13" s="36">
        <f>+P.Detall!G18</f>
        <v>10</v>
      </c>
      <c r="H13" s="11">
        <f>+'210,2,1'!I55</f>
        <v>64116</v>
      </c>
      <c r="I13" s="11">
        <f t="shared" si="0"/>
        <v>641160</v>
      </c>
      <c r="J13" s="10">
        <f>+'210,2,1'!I19</f>
        <v>21947</v>
      </c>
      <c r="K13" s="36">
        <f t="shared" si="1"/>
        <v>219470</v>
      </c>
      <c r="L13" s="10">
        <f>+'210,2,1'!I29</f>
        <v>24215</v>
      </c>
      <c r="M13" s="36">
        <f t="shared" si="2"/>
        <v>242150</v>
      </c>
      <c r="N13" s="10">
        <f>+'210,2,1'!I36</f>
        <v>0</v>
      </c>
      <c r="O13" s="36">
        <f t="shared" si="3"/>
        <v>0</v>
      </c>
      <c r="P13" s="10">
        <f>+'210,2,1'!I45</f>
        <v>3158</v>
      </c>
      <c r="Q13" s="36">
        <f t="shared" si="4"/>
        <v>31580</v>
      </c>
      <c r="R13" s="36">
        <f t="shared" si="5"/>
        <v>49320</v>
      </c>
      <c r="S13" s="36">
        <f t="shared" si="6"/>
        <v>493200</v>
      </c>
      <c r="T13" s="10">
        <f>+'210,2,1'!I53</f>
        <v>14796</v>
      </c>
      <c r="U13" s="36">
        <f t="shared" si="7"/>
        <v>147960</v>
      </c>
      <c r="V13" s="36">
        <f t="shared" si="8"/>
        <v>64116</v>
      </c>
      <c r="W13" s="597">
        <f t="shared" si="9"/>
        <v>0.44499188969991887</v>
      </c>
      <c r="X13" s="598">
        <f t="shared" si="10"/>
        <v>0.4909772911597729</v>
      </c>
      <c r="Y13" s="598">
        <f t="shared" si="11"/>
        <v>0</v>
      </c>
      <c r="Z13" s="598">
        <f>+(Q13/S13)*0.2</f>
        <v>1.2806163828061641E-2</v>
      </c>
      <c r="AA13" s="598">
        <f>+(Q13/S13)*0.8</f>
        <v>5.1224655312246563E-2</v>
      </c>
      <c r="AB13" s="598">
        <f t="shared" si="12"/>
        <v>0.99999999999999989</v>
      </c>
      <c r="AC13" s="599">
        <f t="shared" si="13"/>
        <v>285311</v>
      </c>
      <c r="AD13" s="599">
        <f t="shared" si="14"/>
        <v>314795</v>
      </c>
      <c r="AE13" s="599">
        <f t="shared" si="15"/>
        <v>0</v>
      </c>
      <c r="AF13" s="599">
        <f t="shared" si="16"/>
        <v>8210.8000000000011</v>
      </c>
      <c r="AG13" s="599">
        <f t="shared" si="17"/>
        <v>32843.200000000004</v>
      </c>
      <c r="AH13" s="599">
        <f t="shared" si="18"/>
        <v>641160</v>
      </c>
    </row>
    <row r="14" spans="2:39" x14ac:dyDescent="0.25">
      <c r="B14" s="35">
        <f>+'Presup '!B19</f>
        <v>211.1</v>
      </c>
      <c r="C14" s="8"/>
      <c r="D14" s="8" t="s">
        <v>127</v>
      </c>
      <c r="E14" s="552" t="s">
        <v>90</v>
      </c>
      <c r="F14" s="8" t="s">
        <v>18</v>
      </c>
      <c r="G14" s="36">
        <f>+P.Detall!G19</f>
        <v>4</v>
      </c>
      <c r="H14" s="11">
        <f>+'211,1'!I55</f>
        <v>6812</v>
      </c>
      <c r="I14" s="11">
        <f t="shared" si="0"/>
        <v>27248</v>
      </c>
      <c r="J14" s="10">
        <f>+'211,1'!I19</f>
        <v>2289</v>
      </c>
      <c r="K14" s="36">
        <f t="shared" si="1"/>
        <v>9156</v>
      </c>
      <c r="L14" s="10">
        <f>+'211,1'!I29</f>
        <v>2236</v>
      </c>
      <c r="M14" s="36">
        <f t="shared" si="2"/>
        <v>8944</v>
      </c>
      <c r="N14" s="10">
        <f>+'211,1'!I36</f>
        <v>0</v>
      </c>
      <c r="O14" s="36">
        <f t="shared" si="3"/>
        <v>0</v>
      </c>
      <c r="P14" s="10">
        <f>+'211,1'!I45</f>
        <v>715</v>
      </c>
      <c r="Q14" s="36">
        <f t="shared" si="4"/>
        <v>2860</v>
      </c>
      <c r="R14" s="36">
        <f t="shared" si="5"/>
        <v>5240</v>
      </c>
      <c r="S14" s="36">
        <f t="shared" si="6"/>
        <v>20960</v>
      </c>
      <c r="T14" s="10">
        <f>+'211,1'!I53</f>
        <v>1572</v>
      </c>
      <c r="U14" s="36">
        <f t="shared" si="7"/>
        <v>6288</v>
      </c>
      <c r="V14" s="36">
        <f t="shared" si="8"/>
        <v>6812</v>
      </c>
      <c r="W14" s="597">
        <f t="shared" si="9"/>
        <v>0.43683206106870232</v>
      </c>
      <c r="X14" s="598">
        <f t="shared" si="10"/>
        <v>0.42671755725190841</v>
      </c>
      <c r="Y14" s="598">
        <f t="shared" si="11"/>
        <v>0</v>
      </c>
      <c r="Z14" s="598">
        <f>+(Q14/S14)*0.2</f>
        <v>2.7290076335877864E-2</v>
      </c>
      <c r="AA14" s="598">
        <f>+(Q14/S14)*0.8</f>
        <v>0.10916030534351145</v>
      </c>
      <c r="AB14" s="598">
        <f t="shared" si="12"/>
        <v>1</v>
      </c>
      <c r="AC14" s="599">
        <f t="shared" si="13"/>
        <v>11902.800000000001</v>
      </c>
      <c r="AD14" s="599">
        <f t="shared" si="14"/>
        <v>11627.2</v>
      </c>
      <c r="AE14" s="599">
        <f t="shared" si="15"/>
        <v>0</v>
      </c>
      <c r="AF14" s="599">
        <f t="shared" si="16"/>
        <v>743.6</v>
      </c>
      <c r="AG14" s="599">
        <f t="shared" si="17"/>
        <v>2974.4</v>
      </c>
      <c r="AH14" s="599">
        <f t="shared" si="18"/>
        <v>27248</v>
      </c>
    </row>
    <row r="15" spans="2:39" x14ac:dyDescent="0.25">
      <c r="B15" s="35">
        <v>220.1</v>
      </c>
      <c r="C15" s="8"/>
      <c r="D15" s="8"/>
      <c r="E15" s="552" t="s">
        <v>794</v>
      </c>
      <c r="F15" s="8" t="s">
        <v>18</v>
      </c>
      <c r="G15" s="36">
        <f>+P.Detall!G20</f>
        <v>34</v>
      </c>
      <c r="H15" s="11">
        <f>+'220,1'!I55</f>
        <v>271005</v>
      </c>
      <c r="I15" s="11">
        <f t="shared" si="0"/>
        <v>9214170</v>
      </c>
      <c r="J15" s="10">
        <f>+'220,1'!I19</f>
        <v>6732</v>
      </c>
      <c r="K15" s="36">
        <f t="shared" si="1"/>
        <v>228888</v>
      </c>
      <c r="L15" s="10">
        <f>+'220,1'!I29</f>
        <v>33605</v>
      </c>
      <c r="M15" s="36">
        <f t="shared" si="2"/>
        <v>1142570</v>
      </c>
      <c r="N15" s="10">
        <f>+'220,1'!I36</f>
        <v>167783</v>
      </c>
      <c r="O15" s="36">
        <f t="shared" si="3"/>
        <v>5704622</v>
      </c>
      <c r="P15" s="10">
        <f>+'220,1'!I45</f>
        <v>345</v>
      </c>
      <c r="Q15" s="36">
        <f t="shared" si="4"/>
        <v>11730</v>
      </c>
      <c r="R15" s="36">
        <f t="shared" si="5"/>
        <v>208465</v>
      </c>
      <c r="S15" s="36">
        <f t="shared" si="6"/>
        <v>7087810</v>
      </c>
      <c r="T15" s="10">
        <f>+'220,1'!I53</f>
        <v>62540</v>
      </c>
      <c r="U15" s="36">
        <f t="shared" si="7"/>
        <v>2126360</v>
      </c>
      <c r="V15" s="36">
        <f t="shared" si="8"/>
        <v>271005</v>
      </c>
      <c r="W15" s="597">
        <f t="shared" si="9"/>
        <v>3.2293190703475402E-2</v>
      </c>
      <c r="X15" s="598">
        <f t="shared" si="10"/>
        <v>0.1612021202599957</v>
      </c>
      <c r="Y15" s="598">
        <f t="shared" si="11"/>
        <v>0.80484973496750056</v>
      </c>
      <c r="Z15" s="598">
        <f>+(Q15/S15)*0.8</f>
        <v>1.3239632552226994E-3</v>
      </c>
      <c r="AA15" s="598">
        <f>+(Q15/S15)*0.2</f>
        <v>3.3099081380567484E-4</v>
      </c>
      <c r="AB15" s="598">
        <f t="shared" si="12"/>
        <v>1</v>
      </c>
      <c r="AC15" s="599">
        <f t="shared" si="13"/>
        <v>297554.94898424193</v>
      </c>
      <c r="AD15" s="599">
        <f t="shared" si="14"/>
        <v>1485343.7404360445</v>
      </c>
      <c r="AE15" s="599">
        <f t="shared" si="15"/>
        <v>7416022.282445495</v>
      </c>
      <c r="AF15" s="599">
        <f t="shared" si="16"/>
        <v>12199.22250737534</v>
      </c>
      <c r="AG15" s="599">
        <f t="shared" si="17"/>
        <v>3049.8056268438349</v>
      </c>
      <c r="AH15" s="599">
        <f t="shared" si="18"/>
        <v>9214170</v>
      </c>
    </row>
    <row r="16" spans="2:39" ht="25.5" x14ac:dyDescent="0.25">
      <c r="B16" s="35">
        <f>+'Presup '!B21</f>
        <v>230.1</v>
      </c>
      <c r="C16" s="8"/>
      <c r="D16" s="8" t="s">
        <v>128</v>
      </c>
      <c r="E16" s="552" t="s">
        <v>91</v>
      </c>
      <c r="F16" s="8" t="s">
        <v>18</v>
      </c>
      <c r="G16" s="36">
        <f>+P.Detall!G21</f>
        <v>66</v>
      </c>
      <c r="H16" s="11">
        <f>+'230,1'!I55</f>
        <v>214427</v>
      </c>
      <c r="I16" s="11">
        <f t="shared" si="0"/>
        <v>14152182</v>
      </c>
      <c r="J16" s="10">
        <f>+'230,1'!I19</f>
        <v>1947</v>
      </c>
      <c r="K16" s="36">
        <f t="shared" si="1"/>
        <v>128502</v>
      </c>
      <c r="L16" s="10">
        <f>+'230,1'!I29</f>
        <v>33693</v>
      </c>
      <c r="M16" s="36">
        <f t="shared" si="2"/>
        <v>2223738</v>
      </c>
      <c r="N16" s="10">
        <f>+'230,1'!I36</f>
        <v>129064</v>
      </c>
      <c r="O16" s="36">
        <f t="shared" si="3"/>
        <v>8518224</v>
      </c>
      <c r="P16" s="10">
        <f>+'230,1'!I45</f>
        <v>240</v>
      </c>
      <c r="Q16" s="36">
        <f t="shared" si="4"/>
        <v>15840</v>
      </c>
      <c r="R16" s="36">
        <f t="shared" si="5"/>
        <v>164944</v>
      </c>
      <c r="S16" s="36">
        <f t="shared" si="6"/>
        <v>10886304</v>
      </c>
      <c r="T16" s="10">
        <f>+'230,1'!I53</f>
        <v>49483</v>
      </c>
      <c r="U16" s="36">
        <f t="shared" si="7"/>
        <v>3265878</v>
      </c>
      <c r="V16" s="36">
        <f>+J16+L16+N16+P16+T16</f>
        <v>214427</v>
      </c>
      <c r="W16" s="597">
        <f t="shared" si="9"/>
        <v>1.1804006208167621E-2</v>
      </c>
      <c r="X16" s="598">
        <f t="shared" si="10"/>
        <v>0.20426932777184983</v>
      </c>
      <c r="Y16" s="598">
        <f t="shared" si="11"/>
        <v>0.78247162673392179</v>
      </c>
      <c r="Z16" s="598">
        <f>+(Q16/S16)*0.8</f>
        <v>1.1640314288485791E-3</v>
      </c>
      <c r="AA16" s="598">
        <f>+(Q16/S16)*0.2</f>
        <v>2.9100785721214477E-4</v>
      </c>
      <c r="AB16" s="598">
        <f t="shared" si="12"/>
        <v>1</v>
      </c>
      <c r="AC16" s="599">
        <f t="shared" si="13"/>
        <v>167052.44418711806</v>
      </c>
      <c r="AD16" s="599">
        <f t="shared" si="14"/>
        <v>2890856.7036448731</v>
      </c>
      <c r="AE16" s="599">
        <f t="shared" si="15"/>
        <v>11073680.871374527</v>
      </c>
      <c r="AF16" s="599">
        <f t="shared" si="16"/>
        <v>16473.58463478514</v>
      </c>
      <c r="AG16" s="599">
        <f t="shared" si="17"/>
        <v>4118.3961586962851</v>
      </c>
      <c r="AH16" s="599">
        <f t="shared" si="18"/>
        <v>14152182</v>
      </c>
    </row>
    <row r="17" spans="2:39" ht="24.75" customHeight="1" x14ac:dyDescent="0.25">
      <c r="B17" s="35">
        <f>+'Presup '!B22</f>
        <v>310.10000000000002</v>
      </c>
      <c r="C17" s="48"/>
      <c r="D17" s="48" t="s">
        <v>129</v>
      </c>
      <c r="E17" s="553" t="s">
        <v>92</v>
      </c>
      <c r="F17" s="48" t="s">
        <v>23</v>
      </c>
      <c r="G17" s="36">
        <f>+P.Detall!G22</f>
        <v>900</v>
      </c>
      <c r="H17" s="51">
        <f>+'310,1'!I55</f>
        <v>21590</v>
      </c>
      <c r="I17" s="51">
        <f t="shared" si="0"/>
        <v>19431000</v>
      </c>
      <c r="J17" s="50">
        <f>+'310,1'!I19</f>
        <v>487</v>
      </c>
      <c r="K17" s="36">
        <f t="shared" si="1"/>
        <v>438300</v>
      </c>
      <c r="L17" s="50">
        <f>+'310,1'!I29</f>
        <v>3190</v>
      </c>
      <c r="M17" s="36">
        <f t="shared" si="2"/>
        <v>2871000</v>
      </c>
      <c r="N17" s="50">
        <f>+'310,1'!I36</f>
        <v>12906</v>
      </c>
      <c r="O17" s="36">
        <f t="shared" si="3"/>
        <v>11615400</v>
      </c>
      <c r="P17" s="50">
        <f>+'310,1'!I45</f>
        <v>25</v>
      </c>
      <c r="Q17" s="36">
        <f t="shared" si="4"/>
        <v>22500</v>
      </c>
      <c r="R17" s="36">
        <f t="shared" si="5"/>
        <v>16608</v>
      </c>
      <c r="S17" s="36">
        <f t="shared" si="6"/>
        <v>14947200</v>
      </c>
      <c r="T17" s="50">
        <f>+'310,1'!I53</f>
        <v>4982</v>
      </c>
      <c r="U17" s="36">
        <f t="shared" si="7"/>
        <v>4483800</v>
      </c>
      <c r="V17" s="36">
        <f t="shared" si="8"/>
        <v>21590</v>
      </c>
      <c r="W17" s="597">
        <f t="shared" si="9"/>
        <v>2.9323217726396917E-2</v>
      </c>
      <c r="X17" s="598">
        <f t="shared" si="10"/>
        <v>0.19207610789980731</v>
      </c>
      <c r="Y17" s="598">
        <f t="shared" si="11"/>
        <v>0.77709537572254339</v>
      </c>
      <c r="Z17" s="598">
        <f>+(Q17/S17)*0.8</f>
        <v>1.2042389210019269E-3</v>
      </c>
      <c r="AA17" s="598">
        <f>+(Q17/S17)*0.2</f>
        <v>3.0105973025048173E-4</v>
      </c>
      <c r="AB17" s="598">
        <f t="shared" si="12"/>
        <v>1</v>
      </c>
      <c r="AC17" s="599">
        <f t="shared" si="13"/>
        <v>569779.44364161848</v>
      </c>
      <c r="AD17" s="599">
        <f t="shared" si="14"/>
        <v>3732230.8526011556</v>
      </c>
      <c r="AE17" s="599">
        <f t="shared" si="15"/>
        <v>15099740.24566474</v>
      </c>
      <c r="AF17" s="599">
        <f t="shared" si="16"/>
        <v>23399.566473988441</v>
      </c>
      <c r="AG17" s="599">
        <f t="shared" si="17"/>
        <v>5849.8916184971104</v>
      </c>
      <c r="AH17" s="599">
        <f t="shared" si="18"/>
        <v>19431000</v>
      </c>
    </row>
    <row r="18" spans="2:39" x14ac:dyDescent="0.25">
      <c r="B18" s="42"/>
      <c r="C18" s="42"/>
      <c r="D18" s="42"/>
      <c r="E18" s="43"/>
      <c r="F18" s="42"/>
      <c r="G18" s="1185" t="s">
        <v>97</v>
      </c>
      <c r="H18" s="1186"/>
      <c r="I18" s="69">
        <f>+SUM(I8:I17)</f>
        <v>54623901</v>
      </c>
      <c r="K18" s="69">
        <f>+SUM(K8:K17)</f>
        <v>6232324.0999999996</v>
      </c>
      <c r="M18" s="69">
        <f>+SUM(M8:M17)</f>
        <v>6612602</v>
      </c>
      <c r="O18" s="69">
        <f>+SUM(O8:O17)</f>
        <v>26639083</v>
      </c>
      <c r="Q18" s="69">
        <f>+SUM(Q8:Q17)</f>
        <v>2534682</v>
      </c>
      <c r="S18" s="69">
        <f>+SUM(S8:S17)</f>
        <v>42018691.100000001</v>
      </c>
      <c r="U18" s="69">
        <f>+SUM(U8:U17)</f>
        <v>12605209.4</v>
      </c>
      <c r="W18" s="600">
        <f>+K18/S18</f>
        <v>0.14832266157857543</v>
      </c>
      <c r="X18" s="601">
        <f>+M18/S18</f>
        <v>0.15737286971321199</v>
      </c>
      <c r="Y18" s="601">
        <f>+O18/S18</f>
        <v>0.6339817424726969</v>
      </c>
      <c r="Z18" s="602">
        <f>+(SUM(Z8:Z17)*((Q18/S18)))/SUM(Z8:AA17)</f>
        <v>2.3047632420890873E-2</v>
      </c>
      <c r="AA18" s="602">
        <f>+(SUM(AA8:AA17)*((Q18/S18)))/SUM(Z8:AA17)</f>
        <v>3.7275093814624821E-2</v>
      </c>
      <c r="AB18" s="601">
        <f>+SUM(W18:AA18)</f>
        <v>1</v>
      </c>
      <c r="AC18" s="603">
        <f t="shared" ref="AC18:AH18" si="19">+SUM(AC8:AC17)</f>
        <v>8102006.9365118099</v>
      </c>
      <c r="AD18" s="603">
        <f t="shared" si="19"/>
        <v>8596296.5294689573</v>
      </c>
      <c r="AE18" s="603">
        <f t="shared" si="19"/>
        <v>34630531.376644686</v>
      </c>
      <c r="AF18" s="603">
        <f t="shared" si="19"/>
        <v>813495.38053947955</v>
      </c>
      <c r="AG18" s="603">
        <f t="shared" si="19"/>
        <v>2481570.7768350649</v>
      </c>
      <c r="AH18" s="603">
        <f t="shared" si="19"/>
        <v>54623901</v>
      </c>
      <c r="AI18">
        <v>496108802.50029582</v>
      </c>
      <c r="AJ18">
        <v>413638089.48627478</v>
      </c>
      <c r="AK18">
        <v>76729245.763482705</v>
      </c>
      <c r="AL18">
        <v>20059337.388071232</v>
      </c>
      <c r="AM18">
        <v>62117151.861875556</v>
      </c>
    </row>
    <row r="19" spans="2:39" x14ac:dyDescent="0.25">
      <c r="B19" s="45"/>
      <c r="C19" s="45"/>
      <c r="D19" s="45"/>
      <c r="E19" s="66" t="s">
        <v>94</v>
      </c>
      <c r="F19" s="45" t="s">
        <v>24</v>
      </c>
      <c r="G19" s="57"/>
      <c r="H19" s="46"/>
      <c r="I19" s="46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604"/>
      <c r="X19" s="604"/>
      <c r="Y19" s="604"/>
      <c r="Z19" s="604"/>
      <c r="AA19" s="604"/>
      <c r="AB19" s="604"/>
      <c r="AC19" s="604"/>
      <c r="AD19" s="604"/>
      <c r="AE19" s="604"/>
      <c r="AF19" s="604"/>
      <c r="AG19" s="604"/>
      <c r="AH19" s="605"/>
    </row>
    <row r="20" spans="2:39" x14ac:dyDescent="0.25">
      <c r="B20" s="58" t="s">
        <v>25</v>
      </c>
      <c r="C20" s="58" t="s">
        <v>25</v>
      </c>
      <c r="D20" s="58" t="s">
        <v>130</v>
      </c>
      <c r="E20" s="553" t="s">
        <v>26</v>
      </c>
      <c r="F20" s="58" t="s">
        <v>18</v>
      </c>
      <c r="G20" s="36">
        <f>+P.Detall!G27</f>
        <v>135</v>
      </c>
      <c r="H20" s="60">
        <f>+'311,1'!I55</f>
        <v>209641</v>
      </c>
      <c r="I20" s="60">
        <f>ROUND(H20*G20,0)</f>
        <v>28301535</v>
      </c>
      <c r="J20" s="59">
        <f>+'311,1'!I19</f>
        <v>5842</v>
      </c>
      <c r="K20" s="36">
        <f>+J20*G20</f>
        <v>788670</v>
      </c>
      <c r="L20" s="59">
        <f>+'311,1'!I29</f>
        <v>31020</v>
      </c>
      <c r="M20" s="36">
        <f>+L20*G20</f>
        <v>4187700</v>
      </c>
      <c r="N20" s="59">
        <f>+'311,1'!I36</f>
        <v>124100</v>
      </c>
      <c r="O20" s="36">
        <f>+N20*G20</f>
        <v>16753500</v>
      </c>
      <c r="P20" s="59">
        <f>+'311,1'!I45</f>
        <v>300</v>
      </c>
      <c r="Q20" s="36">
        <f>+P20*G20</f>
        <v>40500</v>
      </c>
      <c r="R20" s="36">
        <f>+J20+L20+N20+P20</f>
        <v>161262</v>
      </c>
      <c r="S20" s="36">
        <f>+R20*G20</f>
        <v>21770370</v>
      </c>
      <c r="T20" s="59">
        <f>+'311,1'!I53</f>
        <v>48379</v>
      </c>
      <c r="U20" s="36">
        <f>+T20*G20</f>
        <v>6531165</v>
      </c>
      <c r="V20" s="36">
        <f>+J20+L20+N20+P20+T20</f>
        <v>209641</v>
      </c>
      <c r="W20" s="597">
        <f>+K20/S20</f>
        <v>3.6226761419305233E-2</v>
      </c>
      <c r="X20" s="598">
        <f>+M20/S20</f>
        <v>0.19235777802582132</v>
      </c>
      <c r="Y20" s="598">
        <f>+O20/S20</f>
        <v>0.76955513388150965</v>
      </c>
      <c r="Z20" s="598">
        <f>+(Q20/S20)*0.8</f>
        <v>1.4882613386910742E-3</v>
      </c>
      <c r="AA20" s="598">
        <f>+(Q20/S20)*0.2</f>
        <v>3.7206533467276854E-4</v>
      </c>
      <c r="AB20" s="598">
        <f t="shared" si="12"/>
        <v>1</v>
      </c>
      <c r="AC20" s="599">
        <f>+W20*I20</f>
        <v>1025272.9562451168</v>
      </c>
      <c r="AD20" s="599">
        <f>+X20*I20</f>
        <v>5444020.3873200128</v>
      </c>
      <c r="AE20" s="599">
        <f>+Y20*I20</f>
        <v>21779591.555977233</v>
      </c>
      <c r="AF20" s="599">
        <f>+Z20*I20</f>
        <v>42120.080366112292</v>
      </c>
      <c r="AG20" s="599">
        <f>+AA20*I20</f>
        <v>10530.020091528073</v>
      </c>
      <c r="AH20" s="599">
        <f t="shared" si="18"/>
        <v>28301535</v>
      </c>
    </row>
    <row r="21" spans="2:39" x14ac:dyDescent="0.25">
      <c r="B21" s="8">
        <v>320.10000000000002</v>
      </c>
      <c r="C21" s="8" t="s">
        <v>27</v>
      </c>
      <c r="D21" s="8" t="s">
        <v>131</v>
      </c>
      <c r="E21" s="553" t="s">
        <v>95</v>
      </c>
      <c r="F21" s="8" t="s">
        <v>18</v>
      </c>
      <c r="G21" s="36">
        <f>+P.Detall!G28</f>
        <v>180</v>
      </c>
      <c r="H21" s="11">
        <f>+'320,1'!I55</f>
        <v>277788</v>
      </c>
      <c r="I21" s="11">
        <f>ROUND(H21*G21,0)</f>
        <v>50001840</v>
      </c>
      <c r="J21" s="10">
        <f>+'320,1'!I19</f>
        <v>6525</v>
      </c>
      <c r="K21" s="36">
        <f>+J21*G21</f>
        <v>1174500</v>
      </c>
      <c r="L21" s="10">
        <f>+'320,1'!I29</f>
        <v>51700</v>
      </c>
      <c r="M21" s="36">
        <f>+L21*G21</f>
        <v>9306000</v>
      </c>
      <c r="N21" s="10">
        <f>+'320,1'!I36</f>
        <v>155125</v>
      </c>
      <c r="O21" s="36">
        <f>+N21*G21</f>
        <v>27922500</v>
      </c>
      <c r="P21" s="10">
        <f>+'320,1'!I45</f>
        <v>333</v>
      </c>
      <c r="Q21" s="36">
        <f>+P21*G21</f>
        <v>59940</v>
      </c>
      <c r="R21" s="36">
        <f>+J21+L21+N21+P21</f>
        <v>213683</v>
      </c>
      <c r="S21" s="36">
        <f>+R21*G21</f>
        <v>38462940</v>
      </c>
      <c r="T21" s="10">
        <f>+'320,1'!I53</f>
        <v>64105</v>
      </c>
      <c r="U21" s="36">
        <f>+T21*G21</f>
        <v>11538900</v>
      </c>
      <c r="V21" s="36">
        <f>+J21+L21+N21+P21+T21</f>
        <v>277788</v>
      </c>
      <c r="W21" s="597">
        <f>+J21/R21</f>
        <v>3.05358872722678E-2</v>
      </c>
      <c r="X21" s="598">
        <f>+L21/R21</f>
        <v>0.24194718344463528</v>
      </c>
      <c r="Y21" s="598">
        <f>+N21/R21</f>
        <v>0.72595854607058119</v>
      </c>
      <c r="Z21" s="598">
        <f>+(P21/R21)*0.8</f>
        <v>1.2467065700125888E-3</v>
      </c>
      <c r="AA21" s="598">
        <f>+(P21/R21)*0.2</f>
        <v>3.1167664250314719E-4</v>
      </c>
      <c r="AB21" s="598">
        <f t="shared" si="12"/>
        <v>1</v>
      </c>
      <c r="AC21" s="599">
        <f>+W21*I21</f>
        <v>1526850.549645971</v>
      </c>
      <c r="AD21" s="599">
        <f>+X21*I21</f>
        <v>12097804.355049303</v>
      </c>
      <c r="AE21" s="599">
        <f>+Y21*I21</f>
        <v>36299263.067253828</v>
      </c>
      <c r="AF21" s="599">
        <f>+Z21*I21</f>
        <v>62337.62244071826</v>
      </c>
      <c r="AG21" s="599">
        <f>+AA21*I21</f>
        <v>15584.405610179565</v>
      </c>
      <c r="AH21" s="599">
        <f t="shared" si="18"/>
        <v>50001840</v>
      </c>
    </row>
    <row r="22" spans="2:39" ht="24.75" customHeight="1" x14ac:dyDescent="0.25">
      <c r="B22" s="42"/>
      <c r="C22" s="42"/>
      <c r="D22" s="42"/>
      <c r="E22" s="43"/>
      <c r="F22" s="42"/>
      <c r="G22" s="1187" t="s">
        <v>98</v>
      </c>
      <c r="H22" s="1188"/>
      <c r="I22" s="69">
        <f>+SUM(I20:I21)</f>
        <v>78303375</v>
      </c>
      <c r="K22" s="69">
        <f>+SUM(K20:K21)</f>
        <v>1963170</v>
      </c>
      <c r="M22" s="69">
        <f>+SUM(M20:M21)</f>
        <v>13493700</v>
      </c>
      <c r="O22" s="69">
        <f>+SUM(O20:O21)</f>
        <v>44676000</v>
      </c>
      <c r="Q22" s="69">
        <f>+SUM(Q20:Q21)</f>
        <v>100440</v>
      </c>
      <c r="S22" s="69">
        <f>+SUM(S20:S21)</f>
        <v>60233310</v>
      </c>
      <c r="U22" s="69">
        <f>+SUM(U20:U21)</f>
        <v>18070065</v>
      </c>
      <c r="W22" s="600">
        <f>+K22/S22</f>
        <v>3.25927630409154E-2</v>
      </c>
      <c r="X22" s="601">
        <f>+M22/S22</f>
        <v>0.22402388313044724</v>
      </c>
      <c r="Y22" s="601">
        <f>+O22/S22</f>
        <v>0.7417158379640767</v>
      </c>
      <c r="Z22" s="602">
        <f>+(SUM(Z20:Z21)*((Q22/S22)))/SUM(Z20:AA21)</f>
        <v>1.3340126916485248E-3</v>
      </c>
      <c r="AA22" s="602">
        <f>+(SUM(AA20:AA21)*((Q22/S22)))/SUM(Z20:AA21)</f>
        <v>3.335031729121312E-4</v>
      </c>
      <c r="AB22" s="606">
        <f t="shared" si="12"/>
        <v>1</v>
      </c>
      <c r="AC22" s="607">
        <f t="shared" ref="AC22:AH22" si="20">+SUM(AC20:AC21)</f>
        <v>2552123.5058910879</v>
      </c>
      <c r="AD22" s="607">
        <f t="shared" si="20"/>
        <v>17541824.742369317</v>
      </c>
      <c r="AE22" s="607">
        <f t="shared" si="20"/>
        <v>58078854.623231061</v>
      </c>
      <c r="AF22" s="607">
        <f t="shared" si="20"/>
        <v>104457.70280683055</v>
      </c>
      <c r="AG22" s="607">
        <f t="shared" si="20"/>
        <v>26114.425701707638</v>
      </c>
      <c r="AH22" s="607">
        <f t="shared" si="20"/>
        <v>78303375</v>
      </c>
      <c r="AI22">
        <v>116946899.82598016</v>
      </c>
      <c r="AJ22">
        <v>879599040.60356557</v>
      </c>
      <c r="AK22">
        <v>216122831.85933489</v>
      </c>
      <c r="AL22">
        <v>4782953.3688955484</v>
      </c>
      <c r="AM22">
        <v>1195738.3422238871</v>
      </c>
    </row>
    <row r="23" spans="2:39" x14ac:dyDescent="0.25">
      <c r="B23" s="45"/>
      <c r="C23" s="45"/>
      <c r="D23" s="45"/>
      <c r="E23" s="66" t="s">
        <v>99</v>
      </c>
      <c r="F23" s="45" t="s">
        <v>24</v>
      </c>
      <c r="G23" s="57"/>
      <c r="H23" s="46"/>
      <c r="I23" s="46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604"/>
      <c r="X23" s="604"/>
      <c r="Y23" s="604"/>
      <c r="Z23" s="604"/>
      <c r="AA23" s="604"/>
      <c r="AB23" s="604"/>
      <c r="AC23" s="604"/>
      <c r="AD23" s="604"/>
      <c r="AE23" s="604"/>
      <c r="AF23" s="604"/>
      <c r="AG23" s="604"/>
      <c r="AH23" s="605"/>
    </row>
    <row r="24" spans="2:39" x14ac:dyDescent="0.25">
      <c r="B24" s="58">
        <v>500.1</v>
      </c>
      <c r="C24" s="58"/>
      <c r="D24" s="58" t="s">
        <v>132</v>
      </c>
      <c r="E24" s="553" t="s">
        <v>28</v>
      </c>
      <c r="F24" s="58" t="s">
        <v>18</v>
      </c>
      <c r="G24" s="36">
        <f>+P.Detall!G33</f>
        <v>54</v>
      </c>
      <c r="H24" s="60">
        <f>+'500,1'!I55</f>
        <v>753952</v>
      </c>
      <c r="I24" s="60">
        <f>ROUND(H24*G24,0)</f>
        <v>40713408</v>
      </c>
      <c r="J24" s="59">
        <f>+'500,1'!I19</f>
        <v>9960</v>
      </c>
      <c r="K24" s="36">
        <f>+J24*G24</f>
        <v>537840</v>
      </c>
      <c r="L24" s="59">
        <f>+'500,1'!I29</f>
        <v>466225</v>
      </c>
      <c r="M24" s="36">
        <f>+L24*G24</f>
        <v>25176150</v>
      </c>
      <c r="N24" s="59">
        <f>+'500,1'!I36</f>
        <v>99280</v>
      </c>
      <c r="O24" s="36">
        <f>+N24*G24</f>
        <v>5361120</v>
      </c>
      <c r="P24" s="59">
        <f>+'500,1'!I45</f>
        <v>4498</v>
      </c>
      <c r="Q24" s="36">
        <f>+P24*G24</f>
        <v>242892</v>
      </c>
      <c r="R24" s="36">
        <f>+J24+L24+N24+P24</f>
        <v>579963</v>
      </c>
      <c r="S24" s="36">
        <f>+R24*G24</f>
        <v>31318002</v>
      </c>
      <c r="T24" s="59">
        <f>+'500,1'!I53</f>
        <v>173989</v>
      </c>
      <c r="U24" s="36">
        <f>+T24*G24</f>
        <v>9395406</v>
      </c>
      <c r="V24" s="36">
        <f>+J24+L24+N24+P24+T24</f>
        <v>753952</v>
      </c>
      <c r="W24" s="597">
        <f>+K24/S24</f>
        <v>1.7173509344561636E-2</v>
      </c>
      <c r="X24" s="598">
        <f>+M24/S24</f>
        <v>0.80388748937432219</v>
      </c>
      <c r="Y24" s="598">
        <f>+O24/S24</f>
        <v>0.17118333410924491</v>
      </c>
      <c r="Z24" s="598">
        <f>+(Q24/S24)*0.8</f>
        <v>6.2045337374970477E-3</v>
      </c>
      <c r="AA24" s="598">
        <f>+(Q24/S24)*0.2</f>
        <v>1.5511334343742619E-3</v>
      </c>
      <c r="AB24" s="598">
        <f t="shared" si="12"/>
        <v>1</v>
      </c>
      <c r="AC24" s="599">
        <f>+W24*I24</f>
        <v>699192.09273695049</v>
      </c>
      <c r="AD24" s="599">
        <f>+X24*I24</f>
        <v>32728999.340992443</v>
      </c>
      <c r="AE24" s="599">
        <f>+Y24*I24</f>
        <v>6969456.9243900049</v>
      </c>
      <c r="AF24" s="599">
        <f>+Z24*I24</f>
        <v>252607.71350448221</v>
      </c>
      <c r="AG24" s="599">
        <f>+AA24*I24</f>
        <v>63151.928376120552</v>
      </c>
      <c r="AH24" s="599">
        <f t="shared" si="18"/>
        <v>40713408.000000007</v>
      </c>
    </row>
    <row r="25" spans="2:39" ht="25.5" customHeight="1" x14ac:dyDescent="0.25">
      <c r="B25" s="42"/>
      <c r="C25" s="42"/>
      <c r="D25" s="42"/>
      <c r="E25" s="43"/>
      <c r="F25" s="42"/>
      <c r="G25" s="1187" t="s">
        <v>107</v>
      </c>
      <c r="H25" s="1188"/>
      <c r="I25" s="69">
        <f>+SUM(I24:I24)</f>
        <v>40713408</v>
      </c>
      <c r="K25" s="69">
        <f>+SUM(K24:K24)</f>
        <v>537840</v>
      </c>
      <c r="M25" s="69">
        <f>+SUM(M24:M24)</f>
        <v>25176150</v>
      </c>
      <c r="O25" s="69">
        <f>+SUM(O24:O24)</f>
        <v>5361120</v>
      </c>
      <c r="Q25" s="69">
        <f>+SUM(Q24:Q24)</f>
        <v>242892</v>
      </c>
      <c r="S25" s="69">
        <f>+SUM(S24:S24)</f>
        <v>31318002</v>
      </c>
      <c r="U25" s="69">
        <f>+SUM(U24:U24)</f>
        <v>9395406</v>
      </c>
      <c r="W25" s="600">
        <f>+K25/S25</f>
        <v>1.7173509344561636E-2</v>
      </c>
      <c r="X25" s="606">
        <f>+M25/S25</f>
        <v>0.80388748937432219</v>
      </c>
      <c r="Y25" s="606">
        <f>+O25/S25</f>
        <v>0.17118333410924491</v>
      </c>
      <c r="Z25" s="602">
        <f>+(SUM(Z24)*((Q25/S25)))/SUM(Z24:AA24)</f>
        <v>6.2045337374970469E-3</v>
      </c>
      <c r="AA25" s="602">
        <f>+(SUM(AA24)*((Q25/S25)))/SUM(Z24:AA24)</f>
        <v>1.5511334343742617E-3</v>
      </c>
      <c r="AB25" s="606">
        <f t="shared" si="12"/>
        <v>1</v>
      </c>
      <c r="AC25" s="607">
        <f t="shared" ref="AC25:AH25" si="21">+SUM(AC24)</f>
        <v>699192.09273695049</v>
      </c>
      <c r="AD25" s="607">
        <f t="shared" si="21"/>
        <v>32728999.340992443</v>
      </c>
      <c r="AE25" s="607">
        <f t="shared" si="21"/>
        <v>6969456.9243900049</v>
      </c>
      <c r="AF25" s="607">
        <f t="shared" si="21"/>
        <v>252607.71350448221</v>
      </c>
      <c r="AG25" s="607">
        <f t="shared" si="21"/>
        <v>63151.928376120552</v>
      </c>
      <c r="AH25" s="607">
        <f t="shared" si="21"/>
        <v>40713408.000000007</v>
      </c>
      <c r="AI25">
        <v>76235692.694698364</v>
      </c>
      <c r="AJ25">
        <v>3568727960.4241319</v>
      </c>
      <c r="AK25">
        <v>987771433.58579266</v>
      </c>
      <c r="AL25">
        <v>27499303.436301906</v>
      </c>
      <c r="AM25">
        <v>6874825.8590754764</v>
      </c>
    </row>
    <row r="26" spans="2:39" x14ac:dyDescent="0.25">
      <c r="B26" s="77"/>
      <c r="C26" s="77"/>
      <c r="D26" s="77"/>
      <c r="E26" s="78" t="s">
        <v>101</v>
      </c>
      <c r="F26" s="77"/>
      <c r="G26" s="79"/>
      <c r="H26" s="80"/>
      <c r="I26" s="80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604"/>
      <c r="X26" s="604"/>
      <c r="Y26" s="604"/>
      <c r="Z26" s="604"/>
      <c r="AA26" s="604"/>
      <c r="AB26" s="604"/>
      <c r="AC26" s="604"/>
      <c r="AD26" s="604"/>
      <c r="AE26" s="604"/>
      <c r="AF26" s="604"/>
      <c r="AG26" s="604"/>
      <c r="AH26" s="605"/>
    </row>
    <row r="27" spans="2:39" s="65" customFormat="1" x14ac:dyDescent="0.25">
      <c r="B27" s="358"/>
      <c r="C27" s="358"/>
      <c r="D27" s="358"/>
      <c r="E27" s="359" t="s">
        <v>102</v>
      </c>
      <c r="F27" s="358"/>
      <c r="G27" s="360"/>
      <c r="H27" s="361"/>
      <c r="I27" s="361"/>
      <c r="J27" s="360"/>
      <c r="K27" s="360"/>
      <c r="L27" s="360"/>
      <c r="M27" s="360"/>
      <c r="N27" s="360"/>
      <c r="O27" s="360"/>
      <c r="P27" s="360"/>
      <c r="Q27" s="360"/>
      <c r="R27" s="360"/>
      <c r="S27" s="360"/>
      <c r="T27" s="360"/>
      <c r="U27" s="360"/>
      <c r="V27" s="360"/>
      <c r="W27" s="608"/>
      <c r="X27" s="608"/>
      <c r="Y27" s="608"/>
      <c r="Z27" s="608"/>
      <c r="AA27" s="608"/>
      <c r="AB27" s="608"/>
      <c r="AC27" s="635"/>
      <c r="AD27" s="635"/>
      <c r="AE27" s="635"/>
      <c r="AF27" s="635"/>
      <c r="AG27" s="635"/>
      <c r="AH27" s="636"/>
    </row>
    <row r="28" spans="2:39" x14ac:dyDescent="0.25">
      <c r="B28" s="58" t="s">
        <v>103</v>
      </c>
      <c r="C28" s="58" t="s">
        <v>21</v>
      </c>
      <c r="D28" s="58" t="s">
        <v>133</v>
      </c>
      <c r="E28" s="553" t="s">
        <v>29</v>
      </c>
      <c r="F28" s="58" t="s">
        <v>18</v>
      </c>
      <c r="G28" s="36">
        <f>+P.Detall!G39</f>
        <v>952</v>
      </c>
      <c r="H28" s="60">
        <f>+'600,1,1'!I55</f>
        <v>15470</v>
      </c>
      <c r="I28" s="60">
        <f>ROUND(H28*G28,0)</f>
        <v>14727440</v>
      </c>
      <c r="J28" s="59">
        <f>+'600,1,1'!I19</f>
        <v>7888</v>
      </c>
      <c r="K28" s="59">
        <f>+J28*G28</f>
        <v>7509376</v>
      </c>
      <c r="L28" s="59">
        <f>+'600,1,1'!I29</f>
        <v>0</v>
      </c>
      <c r="M28" s="59">
        <f>+L28*G28</f>
        <v>0</v>
      </c>
      <c r="N28" s="59">
        <f>+'600,1,1'!I36</f>
        <v>1613</v>
      </c>
      <c r="O28" s="59">
        <f>+N28*G28</f>
        <v>1535576</v>
      </c>
      <c r="P28" s="59">
        <f>+'600,1,1'!I45</f>
        <v>2399</v>
      </c>
      <c r="Q28" s="59">
        <f>+P28*G28</f>
        <v>2283848</v>
      </c>
      <c r="R28" s="59">
        <f>+J28+L28+N28+P28</f>
        <v>11900</v>
      </c>
      <c r="S28" s="59">
        <f>+R28*G28</f>
        <v>11328800</v>
      </c>
      <c r="T28" s="59">
        <f>+'600,1,1'!I53</f>
        <v>3570</v>
      </c>
      <c r="U28" s="59">
        <f>+T28*G28</f>
        <v>3398640</v>
      </c>
      <c r="V28" s="59">
        <f>+J28+L28+N28+P28+T28</f>
        <v>15470</v>
      </c>
      <c r="W28" s="597">
        <f>+K28/S28</f>
        <v>0.66285714285714281</v>
      </c>
      <c r="X28" s="598">
        <f>+M28/S28</f>
        <v>0</v>
      </c>
      <c r="Y28" s="598">
        <f>+O28/S28</f>
        <v>0.13554621848739495</v>
      </c>
      <c r="Z28" s="598">
        <f>+(Q28/S28)*0.2</f>
        <v>4.0319327731092439E-2</v>
      </c>
      <c r="AA28" s="598">
        <f>+(Q28/S28)*0.8</f>
        <v>0.16127731092436975</v>
      </c>
      <c r="AB28" s="598">
        <f t="shared" si="12"/>
        <v>1</v>
      </c>
      <c r="AC28" s="637">
        <f>+W28*I28</f>
        <v>9762188.7999999989</v>
      </c>
      <c r="AD28" s="637">
        <f>+X28*I28</f>
        <v>0</v>
      </c>
      <c r="AE28" s="637">
        <f>+Y28*I28</f>
        <v>1996248.8</v>
      </c>
      <c r="AF28" s="637">
        <f>+Z28*I28</f>
        <v>593800.48</v>
      </c>
      <c r="AG28" s="637">
        <f>+AA28*I28</f>
        <v>2375201.92</v>
      </c>
      <c r="AH28" s="637">
        <f t="shared" si="18"/>
        <v>14727440</v>
      </c>
    </row>
    <row r="29" spans="2:39" x14ac:dyDescent="0.25">
      <c r="B29" s="8" t="s">
        <v>106</v>
      </c>
      <c r="C29" s="8"/>
      <c r="D29" s="8" t="s">
        <v>133</v>
      </c>
      <c r="E29" s="553" t="s">
        <v>30</v>
      </c>
      <c r="F29" s="8" t="s">
        <v>18</v>
      </c>
      <c r="G29" s="36">
        <f>+P.Detall!G40</f>
        <v>238</v>
      </c>
      <c r="H29" s="11">
        <f>+'600,2,1'!I55</f>
        <v>85717</v>
      </c>
      <c r="I29" s="11">
        <f>ROUND(H29*G29,0)</f>
        <v>20400646</v>
      </c>
      <c r="J29" s="10">
        <f>+'600,2,1'!I19</f>
        <v>33844</v>
      </c>
      <c r="K29" s="36">
        <f>+J29*G29</f>
        <v>8054872</v>
      </c>
      <c r="L29" s="10">
        <f>+'600,2,1'!I29</f>
        <v>25441</v>
      </c>
      <c r="M29" s="36">
        <f>+L29*G29</f>
        <v>6054958</v>
      </c>
      <c r="N29" s="10">
        <f>+'600,2,1'!I36</f>
        <v>1613</v>
      </c>
      <c r="O29" s="36">
        <f>+N29*G29</f>
        <v>383894</v>
      </c>
      <c r="P29" s="10">
        <f>+'600,2,1'!I45</f>
        <v>5038</v>
      </c>
      <c r="Q29" s="36">
        <f>+P29*G29</f>
        <v>1199044</v>
      </c>
      <c r="R29" s="36">
        <f>+J29+L29+N29+P29</f>
        <v>65936</v>
      </c>
      <c r="S29" s="36">
        <f>+R29*G29</f>
        <v>15692768</v>
      </c>
      <c r="T29" s="10">
        <f>+'600,2,1'!I53</f>
        <v>19781</v>
      </c>
      <c r="U29" s="36">
        <f>+T29*G29</f>
        <v>4707878</v>
      </c>
      <c r="V29" s="36">
        <f>+J29+L29+N29+P29+T29</f>
        <v>85717</v>
      </c>
      <c r="W29" s="597">
        <f>+K29/S29</f>
        <v>0.51328561028876485</v>
      </c>
      <c r="X29" s="598">
        <f>+M29/S29</f>
        <v>0.38584384858044163</v>
      </c>
      <c r="Y29" s="598">
        <f>+O29/S29</f>
        <v>2.4463115748604707E-2</v>
      </c>
      <c r="Z29" s="598">
        <f>+(Q29/S29)*0.2</f>
        <v>1.528148507643776E-2</v>
      </c>
      <c r="AA29" s="598">
        <f>+(Q29/S29)*0.8</f>
        <v>6.1125940305751039E-2</v>
      </c>
      <c r="AB29" s="598">
        <f t="shared" si="12"/>
        <v>1</v>
      </c>
      <c r="AC29" s="637">
        <f>+W29*I29</f>
        <v>10471358.03239505</v>
      </c>
      <c r="AD29" s="637">
        <f>+X29*I29</f>
        <v>7871463.7661671918</v>
      </c>
      <c r="AE29" s="637">
        <f>+Y29*I29</f>
        <v>499063.36444430961</v>
      </c>
      <c r="AF29" s="637">
        <f>+Z29*I29</f>
        <v>311752.16739868966</v>
      </c>
      <c r="AG29" s="637">
        <f>+AA29*I29</f>
        <v>1247008.6695947587</v>
      </c>
      <c r="AH29" s="637">
        <f t="shared" si="18"/>
        <v>20400646</v>
      </c>
    </row>
    <row r="30" spans="2:39" x14ac:dyDescent="0.25">
      <c r="B30" s="8" t="s">
        <v>109</v>
      </c>
      <c r="C30" s="8" t="s">
        <v>31</v>
      </c>
      <c r="D30" s="8" t="s">
        <v>133</v>
      </c>
      <c r="E30" s="553" t="s">
        <v>32</v>
      </c>
      <c r="F30" s="8" t="s">
        <v>18</v>
      </c>
      <c r="G30" s="36">
        <f>+P.Detall!G41</f>
        <v>48</v>
      </c>
      <c r="H30" s="11">
        <f>+'6002,2'!I55</f>
        <v>126016</v>
      </c>
      <c r="I30" s="11">
        <f>ROUND(H30*G30,0)</f>
        <v>6048768</v>
      </c>
      <c r="J30" s="10">
        <f>+'6002,2'!I19</f>
        <v>46982</v>
      </c>
      <c r="K30" s="36">
        <f>+J30*G30</f>
        <v>2255136</v>
      </c>
      <c r="L30" s="10">
        <f>+'6002,2'!I29</f>
        <v>25441</v>
      </c>
      <c r="M30" s="36">
        <f>+L30*G30</f>
        <v>1221168</v>
      </c>
      <c r="N30" s="10">
        <f>+'6002,2'!I36</f>
        <v>1613</v>
      </c>
      <c r="O30" s="36">
        <f>+N30*G30</f>
        <v>77424</v>
      </c>
      <c r="P30" s="10">
        <f>+'6002,2'!I45</f>
        <v>22899</v>
      </c>
      <c r="Q30" s="36">
        <f>+P30*G30</f>
        <v>1099152</v>
      </c>
      <c r="R30" s="36">
        <f>+J30+L30+N30+P30</f>
        <v>96935</v>
      </c>
      <c r="S30" s="36">
        <f>+R30*G30</f>
        <v>4652880</v>
      </c>
      <c r="T30" s="10">
        <f>+'6002,2'!I53</f>
        <v>29081</v>
      </c>
      <c r="U30" s="36">
        <f>+T30*G30</f>
        <v>1395888</v>
      </c>
      <c r="V30" s="36">
        <f>+J30+L30+N30+P30+T30</f>
        <v>126016</v>
      </c>
      <c r="W30" s="597">
        <f>+K30/S30</f>
        <v>0.48467529788002267</v>
      </c>
      <c r="X30" s="598">
        <f>+M30/S30</f>
        <v>0.26245422190127404</v>
      </c>
      <c r="Y30" s="598">
        <f>+O30/S30</f>
        <v>1.6640016505906019E-2</v>
      </c>
      <c r="Z30" s="598">
        <f>+(Q30/S30)*0.2</f>
        <v>4.7246092742559448E-2</v>
      </c>
      <c r="AA30" s="598">
        <f>+(Q30/S30)*0.8</f>
        <v>0.18898437097023779</v>
      </c>
      <c r="AB30" s="598">
        <f t="shared" si="12"/>
        <v>1</v>
      </c>
      <c r="AC30" s="637">
        <f>+W30*I30</f>
        <v>2931688.432207149</v>
      </c>
      <c r="AD30" s="637">
        <f>+X30*I30</f>
        <v>1587524.6989013257</v>
      </c>
      <c r="AE30" s="637">
        <f>+Y30*I30</f>
        <v>100651.59936039614</v>
      </c>
      <c r="AF30" s="637">
        <f>+Z30*I30</f>
        <v>285780.65390622581</v>
      </c>
      <c r="AG30" s="637">
        <f>+AA30*I30</f>
        <v>1143122.6156249032</v>
      </c>
      <c r="AH30" s="637">
        <f t="shared" si="18"/>
        <v>6048768</v>
      </c>
    </row>
    <row r="31" spans="2:39" x14ac:dyDescent="0.25">
      <c r="B31" s="8" t="s">
        <v>110</v>
      </c>
      <c r="C31" s="8" t="s">
        <v>33</v>
      </c>
      <c r="D31" s="8" t="s">
        <v>133</v>
      </c>
      <c r="E31" s="553" t="s">
        <v>34</v>
      </c>
      <c r="F31" s="8" t="s">
        <v>18</v>
      </c>
      <c r="G31" s="36">
        <f>+P.Detall!G42</f>
        <v>10</v>
      </c>
      <c r="H31" s="11">
        <f>+'600,2,4'!I55</f>
        <v>17713</v>
      </c>
      <c r="I31" s="11">
        <f>ROUND(H31*G31,0)</f>
        <v>177130</v>
      </c>
      <c r="J31" s="10">
        <f>+'600,2,4'!I19</f>
        <v>10584</v>
      </c>
      <c r="K31" s="36">
        <f>+J31*G31</f>
        <v>105840</v>
      </c>
      <c r="L31" s="10">
        <f>+'600,2,4'!I29</f>
        <v>0</v>
      </c>
      <c r="M31" s="36">
        <f>+L31*G31</f>
        <v>0</v>
      </c>
      <c r="N31" s="10">
        <f>+'600,2,4'!I36</f>
        <v>1613</v>
      </c>
      <c r="O31" s="36">
        <f>+N31*G31</f>
        <v>16130</v>
      </c>
      <c r="P31" s="10">
        <f>+'600,2,4'!I45</f>
        <v>1428</v>
      </c>
      <c r="Q31" s="36">
        <f>+P31*G31</f>
        <v>14280</v>
      </c>
      <c r="R31" s="36">
        <f>+J31+L31+N31+P31</f>
        <v>13625</v>
      </c>
      <c r="S31" s="36">
        <f>+R31*G31</f>
        <v>136250</v>
      </c>
      <c r="T31" s="10">
        <f>+'600,2,4'!I53</f>
        <v>4088</v>
      </c>
      <c r="U31" s="36">
        <f>+T31*G31</f>
        <v>40880</v>
      </c>
      <c r="V31" s="36">
        <f>+J31+L31+N31+P31+T31</f>
        <v>17713</v>
      </c>
      <c r="W31" s="597">
        <f>+K31/S31</f>
        <v>0.77680733944954128</v>
      </c>
      <c r="X31" s="598">
        <f>+M31/S31</f>
        <v>0</v>
      </c>
      <c r="Y31" s="598">
        <f>+O31/S31</f>
        <v>0.11838532110091743</v>
      </c>
      <c r="Z31" s="598">
        <f>+(Q31/S31)*0.2</f>
        <v>2.0961467889908256E-2</v>
      </c>
      <c r="AA31" s="598">
        <f>+(Q31/S31)*0.8</f>
        <v>8.3845871559633023E-2</v>
      </c>
      <c r="AB31" s="598">
        <f t="shared" si="12"/>
        <v>1</v>
      </c>
      <c r="AC31" s="637">
        <f>+W31*I31</f>
        <v>137595.88403669724</v>
      </c>
      <c r="AD31" s="637">
        <f>+X31*I31</f>
        <v>0</v>
      </c>
      <c r="AE31" s="637">
        <f>+Y31*I31</f>
        <v>20969.591926605503</v>
      </c>
      <c r="AF31" s="637">
        <f>+Z31*I31</f>
        <v>3712.9048073394492</v>
      </c>
      <c r="AG31" s="637">
        <f>+AA31*I31</f>
        <v>14851.619229357797</v>
      </c>
      <c r="AH31" s="637">
        <f t="shared" si="18"/>
        <v>177130</v>
      </c>
    </row>
    <row r="32" spans="2:39" x14ac:dyDescent="0.25">
      <c r="B32" s="362"/>
      <c r="C32" s="362"/>
      <c r="D32" s="362"/>
      <c r="E32" s="363" t="s">
        <v>108</v>
      </c>
      <c r="F32" s="362"/>
      <c r="G32" s="364"/>
      <c r="H32" s="365"/>
      <c r="I32" s="365"/>
      <c r="J32" s="364"/>
      <c r="K32" s="364"/>
      <c r="L32" s="364"/>
      <c r="M32" s="364"/>
      <c r="N32" s="364"/>
      <c r="O32" s="364"/>
      <c r="P32" s="364"/>
      <c r="Q32" s="364"/>
      <c r="R32" s="364"/>
      <c r="S32" s="364"/>
      <c r="T32" s="364"/>
      <c r="U32" s="364"/>
      <c r="V32" s="364"/>
      <c r="W32" s="608"/>
      <c r="X32" s="608"/>
      <c r="Y32" s="608"/>
      <c r="Z32" s="608"/>
      <c r="AA32" s="608"/>
      <c r="AB32" s="608"/>
      <c r="AC32" s="635"/>
      <c r="AD32" s="635"/>
      <c r="AE32" s="635"/>
      <c r="AF32" s="635"/>
      <c r="AG32" s="635"/>
      <c r="AH32" s="636"/>
    </row>
    <row r="33" spans="2:34" x14ac:dyDescent="0.25">
      <c r="B33" s="58">
        <v>630.1</v>
      </c>
      <c r="C33" s="58" t="s">
        <v>37</v>
      </c>
      <c r="D33" s="58" t="s">
        <v>134</v>
      </c>
      <c r="E33" s="553" t="s">
        <v>112</v>
      </c>
      <c r="F33" s="58" t="s">
        <v>18</v>
      </c>
      <c r="G33" s="36">
        <f>+P.Detall!G45</f>
        <v>30</v>
      </c>
      <c r="H33" s="60">
        <f>+'630,1'!I55</f>
        <v>805045</v>
      </c>
      <c r="I33" s="60">
        <f>ROUND(H33*G33,0)</f>
        <v>24151350</v>
      </c>
      <c r="J33" s="59">
        <f>+'630,1'!I19</f>
        <v>24093</v>
      </c>
      <c r="K33" s="59">
        <f>+J33*G33</f>
        <v>722790</v>
      </c>
      <c r="L33" s="59">
        <f>+'630,1'!I29</f>
        <v>408757</v>
      </c>
      <c r="M33" s="59">
        <f>+L33*G33</f>
        <v>12262710</v>
      </c>
      <c r="N33" s="59">
        <f>+'630,1'!I36</f>
        <v>126440</v>
      </c>
      <c r="O33" s="59">
        <f>+N33*G33</f>
        <v>3793200</v>
      </c>
      <c r="P33" s="59">
        <f>+'630,1'!I45</f>
        <v>59975</v>
      </c>
      <c r="Q33" s="59">
        <f>+P33*G33</f>
        <v>1799250</v>
      </c>
      <c r="R33" s="59">
        <f>+J33+L33+N33+P33</f>
        <v>619265</v>
      </c>
      <c r="S33" s="59">
        <f>+R33*G33</f>
        <v>18577950</v>
      </c>
      <c r="T33" s="59">
        <f>+'630,1'!I53</f>
        <v>185780</v>
      </c>
      <c r="U33" s="59">
        <f>+T33*G33</f>
        <v>5573400</v>
      </c>
      <c r="V33" s="59">
        <f>+J33+L33+N33+P33+T33</f>
        <v>805045</v>
      </c>
      <c r="W33" s="597">
        <f>+K33/S33</f>
        <v>3.8905799617288239E-2</v>
      </c>
      <c r="X33" s="598">
        <f>+M33/S33</f>
        <v>0.66006798381952803</v>
      </c>
      <c r="Y33" s="598">
        <f>+O33/S33</f>
        <v>0.20417753304320443</v>
      </c>
      <c r="Z33" s="598">
        <f>+(Q33/S33)*0.8</f>
        <v>7.7478946815983468E-2</v>
      </c>
      <c r="AA33" s="598">
        <f>+(Q33/S33)*0.2</f>
        <v>1.9369736703995867E-2</v>
      </c>
      <c r="AB33" s="598">
        <f t="shared" si="12"/>
        <v>1</v>
      </c>
      <c r="AC33" s="637">
        <f>+W33*I33</f>
        <v>939627.58358699433</v>
      </c>
      <c r="AD33" s="637">
        <f>+X33*I33</f>
        <v>15941532.901019758</v>
      </c>
      <c r="AE33" s="637">
        <f>+Y33*I33</f>
        <v>4931163.0626629954</v>
      </c>
      <c r="AF33" s="637">
        <f>+Z33*I33</f>
        <v>1871221.1621842023</v>
      </c>
      <c r="AG33" s="637">
        <f>+AA33*I33</f>
        <v>467805.29054605059</v>
      </c>
      <c r="AH33" s="637">
        <f t="shared" si="18"/>
        <v>24151350</v>
      </c>
    </row>
    <row r="34" spans="2:34" x14ac:dyDescent="0.25">
      <c r="B34" s="8">
        <v>630.20000000000005</v>
      </c>
      <c r="C34" s="8"/>
      <c r="D34" s="8" t="s">
        <v>134</v>
      </c>
      <c r="E34" s="553" t="s">
        <v>38</v>
      </c>
      <c r="F34" s="8" t="s">
        <v>18</v>
      </c>
      <c r="G34" s="36">
        <f>+P.Detall!G46</f>
        <v>77</v>
      </c>
      <c r="H34" s="11">
        <f>+'630,2'!I55</f>
        <v>769874</v>
      </c>
      <c r="I34" s="11">
        <f>ROUND(H34*G34,0)</f>
        <v>59280298</v>
      </c>
      <c r="J34" s="10">
        <f>+'630,2'!I19</f>
        <v>28263</v>
      </c>
      <c r="K34" s="36">
        <f>+J34*G34</f>
        <v>2176251</v>
      </c>
      <c r="L34" s="10">
        <f>+'630,2'!I29</f>
        <v>365049</v>
      </c>
      <c r="M34" s="36">
        <f>+L34*G34</f>
        <v>28108773</v>
      </c>
      <c r="N34" s="10">
        <f>+'630,2'!I36</f>
        <v>148920</v>
      </c>
      <c r="O34" s="36">
        <f>+N34*G34</f>
        <v>11466840</v>
      </c>
      <c r="P34" s="10">
        <f>+'630,2'!I45</f>
        <v>49979</v>
      </c>
      <c r="Q34" s="36">
        <f>+P34*G34</f>
        <v>3848383</v>
      </c>
      <c r="R34" s="36">
        <f>+J34+L34+N34+P34</f>
        <v>592211</v>
      </c>
      <c r="S34" s="36">
        <f>+R34*G34</f>
        <v>45600247</v>
      </c>
      <c r="T34" s="10">
        <f>+'630,2'!I53</f>
        <v>177663</v>
      </c>
      <c r="U34" s="36">
        <f>+T34*G34</f>
        <v>13680051</v>
      </c>
      <c r="V34" s="36">
        <f>+J34+L34+N34+P34+T34</f>
        <v>769874</v>
      </c>
      <c r="W34" s="597">
        <f>+K34/S34</f>
        <v>4.7724544123631613E-2</v>
      </c>
      <c r="X34" s="598">
        <f>+M34/S34</f>
        <v>0.61641712160024043</v>
      </c>
      <c r="Y34" s="598">
        <f>+O34/S34</f>
        <v>0.25146442737470259</v>
      </c>
      <c r="Z34" s="598">
        <f>+(Q34/S34)*0.8</f>
        <v>6.7515125521140279E-2</v>
      </c>
      <c r="AA34" s="598">
        <f>+(Q34/S34)*0.2</f>
        <v>1.687878138028507E-2</v>
      </c>
      <c r="AB34" s="598">
        <f t="shared" si="12"/>
        <v>0.99999999999999989</v>
      </c>
      <c r="AC34" s="637">
        <f>+W34*I34</f>
        <v>2829125.1975630308</v>
      </c>
      <c r="AD34" s="637">
        <f>+X34*I34</f>
        <v>36541390.660764486</v>
      </c>
      <c r="AE34" s="637">
        <f>+Y34*I34</f>
        <v>14906886.191171728</v>
      </c>
      <c r="AF34" s="637">
        <f>+Z34*I34</f>
        <v>4002316.7604006012</v>
      </c>
      <c r="AG34" s="637">
        <f>+AA34*I34</f>
        <v>1000579.1901001503</v>
      </c>
      <c r="AH34" s="637">
        <f t="shared" si="18"/>
        <v>59280297.999999993</v>
      </c>
    </row>
    <row r="35" spans="2:34" x14ac:dyDescent="0.25">
      <c r="B35" s="8">
        <v>630.29999999999995</v>
      </c>
      <c r="C35" s="8" t="s">
        <v>39</v>
      </c>
      <c r="D35" s="8" t="s">
        <v>134</v>
      </c>
      <c r="E35" s="553" t="s">
        <v>40</v>
      </c>
      <c r="F35" s="8" t="s">
        <v>18</v>
      </c>
      <c r="G35" s="36">
        <f>+P.Detall!G47</f>
        <v>14</v>
      </c>
      <c r="H35" s="11">
        <f>+'630,3'!I55</f>
        <v>594611</v>
      </c>
      <c r="I35" s="11">
        <f>ROUND(H35*G35,0)</f>
        <v>8324554</v>
      </c>
      <c r="J35" s="10">
        <f>+'630,3'!I19</f>
        <v>20508</v>
      </c>
      <c r="K35" s="36">
        <f>+J35*G35</f>
        <v>287112</v>
      </c>
      <c r="L35" s="10">
        <f>+'630,3'!I29</f>
        <v>247914</v>
      </c>
      <c r="M35" s="36">
        <f>+L35*G35</f>
        <v>3470796</v>
      </c>
      <c r="N35" s="10">
        <f>+'630,3'!I36</f>
        <v>138992</v>
      </c>
      <c r="O35" s="36">
        <f>+N35*G35</f>
        <v>1945888</v>
      </c>
      <c r="P35" s="10">
        <f>+'630,3'!I45</f>
        <v>49979</v>
      </c>
      <c r="Q35" s="36">
        <f>+P35*G35</f>
        <v>699706</v>
      </c>
      <c r="R35" s="36">
        <f>+J35+L35+N35+P35</f>
        <v>457393</v>
      </c>
      <c r="S35" s="36">
        <f>+R35*G35</f>
        <v>6403502</v>
      </c>
      <c r="T35" s="10">
        <f>+'630,3'!I53</f>
        <v>137218</v>
      </c>
      <c r="U35" s="36">
        <f>+T35*G35</f>
        <v>1921052</v>
      </c>
      <c r="V35" s="36">
        <f>+J35+L35+N35+P35+T35</f>
        <v>594611</v>
      </c>
      <c r="W35" s="597">
        <f>+K35/S35</f>
        <v>4.4836715909513263E-2</v>
      </c>
      <c r="X35" s="598">
        <f>+M35/S35</f>
        <v>0.54201529100795154</v>
      </c>
      <c r="Y35" s="598">
        <f>+O35/S35</f>
        <v>0.30387872136215466</v>
      </c>
      <c r="Z35" s="598">
        <f>+(Q35/S35)*0.8</f>
        <v>8.7415417376304413E-2</v>
      </c>
      <c r="AA35" s="598">
        <f>+(Q35/S35)*0.2</f>
        <v>2.1853854344076103E-2</v>
      </c>
      <c r="AB35" s="598">
        <f t="shared" si="12"/>
        <v>0.99999999999999989</v>
      </c>
      <c r="AC35" s="637">
        <f>+W35*I35</f>
        <v>373245.66277140228</v>
      </c>
      <c r="AD35" s="637">
        <f>+X35*I35</f>
        <v>4512035.5588214071</v>
      </c>
      <c r="AE35" s="637">
        <f>+Y35*I35</f>
        <v>2529654.8254302102</v>
      </c>
      <c r="AF35" s="637">
        <f>+Z35*I35</f>
        <v>727694.36238158436</v>
      </c>
      <c r="AG35" s="637">
        <f>+AA35*I35</f>
        <v>181923.59059539609</v>
      </c>
      <c r="AH35" s="637">
        <f t="shared" si="18"/>
        <v>8324553.9999999991</v>
      </c>
    </row>
    <row r="36" spans="2:34" x14ac:dyDescent="0.25">
      <c r="B36" s="8">
        <v>630.4</v>
      </c>
      <c r="C36" s="8" t="s">
        <v>41</v>
      </c>
      <c r="D36" s="8" t="s">
        <v>134</v>
      </c>
      <c r="E36" s="553" t="s">
        <v>42</v>
      </c>
      <c r="F36" s="8" t="s">
        <v>18</v>
      </c>
      <c r="G36" s="36">
        <f>+P.Detall!G48</f>
        <v>139</v>
      </c>
      <c r="H36" s="11">
        <f>+'630,4'!I55</f>
        <v>336812</v>
      </c>
      <c r="I36" s="11">
        <f>ROUND(H36*G36,0)</f>
        <v>46816868</v>
      </c>
      <c r="J36" s="10">
        <f>+'630,4'!I19</f>
        <v>2999</v>
      </c>
      <c r="K36" s="36">
        <f>+J36*G36</f>
        <v>416861</v>
      </c>
      <c r="L36" s="10">
        <f>+'630,4'!I29</f>
        <v>193134</v>
      </c>
      <c r="M36" s="36">
        <f>+L36*G36</f>
        <v>26845626</v>
      </c>
      <c r="N36" s="10">
        <f>+'630,4'!I36</f>
        <v>2978</v>
      </c>
      <c r="O36" s="36">
        <f>+N36*G36</f>
        <v>413942</v>
      </c>
      <c r="P36" s="10">
        <f>+'630,4'!I45</f>
        <v>59975</v>
      </c>
      <c r="Q36" s="36">
        <f>+P36*G36</f>
        <v>8336525</v>
      </c>
      <c r="R36" s="36">
        <f>+J36+L36+N36+P36</f>
        <v>259086</v>
      </c>
      <c r="S36" s="36">
        <f>+R36*G36</f>
        <v>36012954</v>
      </c>
      <c r="T36" s="10">
        <f>+'630,4'!I53</f>
        <v>77726</v>
      </c>
      <c r="U36" s="36">
        <f>+T36*G36</f>
        <v>10803914</v>
      </c>
      <c r="V36" s="36">
        <f>+J36+L36+N36+P36+T36</f>
        <v>336812</v>
      </c>
      <c r="W36" s="597">
        <f>+K36/S36</f>
        <v>1.1575307040905336E-2</v>
      </c>
      <c r="X36" s="598">
        <f>+M36/S36</f>
        <v>0.74544359787869663</v>
      </c>
      <c r="Y36" s="598">
        <f>+O36/S36</f>
        <v>1.1494252873563218E-2</v>
      </c>
      <c r="Z36" s="598">
        <f>+(Q36/S36)*0.8</f>
        <v>0.18518947376546785</v>
      </c>
      <c r="AA36" s="598">
        <f>+(Q36/S36)*0.2</f>
        <v>4.6297368441366962E-2</v>
      </c>
      <c r="AB36" s="598">
        <f t="shared" si="12"/>
        <v>1</v>
      </c>
      <c r="AC36" s="637">
        <f>+W36*I36</f>
        <v>541919.62179353577</v>
      </c>
      <c r="AD36" s="637">
        <f>+X36*I36</f>
        <v>34899334.523332022</v>
      </c>
      <c r="AE36" s="637">
        <f>+Y36*I36</f>
        <v>538124.91954022984</v>
      </c>
      <c r="AF36" s="637">
        <f>+Z36*I36</f>
        <v>8669991.1482673716</v>
      </c>
      <c r="AG36" s="637">
        <f>+AA36*I36</f>
        <v>2167497.7870668429</v>
      </c>
      <c r="AH36" s="637">
        <f t="shared" si="18"/>
        <v>46816868</v>
      </c>
    </row>
    <row r="37" spans="2:34" x14ac:dyDescent="0.25">
      <c r="B37" s="362"/>
      <c r="C37" s="362"/>
      <c r="D37" s="362"/>
      <c r="E37" s="363" t="s">
        <v>115</v>
      </c>
      <c r="F37" s="362"/>
      <c r="G37" s="364"/>
      <c r="H37" s="365"/>
      <c r="I37" s="365"/>
      <c r="J37" s="364"/>
      <c r="K37" s="364"/>
      <c r="L37" s="364"/>
      <c r="M37" s="364"/>
      <c r="N37" s="364"/>
      <c r="O37" s="364"/>
      <c r="P37" s="364"/>
      <c r="Q37" s="364"/>
      <c r="R37" s="364"/>
      <c r="S37" s="364"/>
      <c r="T37" s="364"/>
      <c r="U37" s="364"/>
      <c r="V37" s="364"/>
      <c r="W37" s="608"/>
      <c r="X37" s="608"/>
      <c r="Y37" s="608"/>
      <c r="Z37" s="608"/>
      <c r="AA37" s="608"/>
      <c r="AB37" s="608"/>
      <c r="AC37" s="635"/>
      <c r="AD37" s="635"/>
      <c r="AE37" s="635"/>
      <c r="AF37" s="635"/>
      <c r="AG37" s="635"/>
      <c r="AH37" s="636"/>
    </row>
    <row r="38" spans="2:34" x14ac:dyDescent="0.25">
      <c r="B38" s="58">
        <v>640.1</v>
      </c>
      <c r="C38" s="58"/>
      <c r="D38" s="58" t="s">
        <v>135</v>
      </c>
      <c r="E38" s="553" t="s">
        <v>43</v>
      </c>
      <c r="F38" s="58" t="s">
        <v>338</v>
      </c>
      <c r="G38" s="36">
        <f>+P.Detall!G51</f>
        <v>14966</v>
      </c>
      <c r="H38" s="60">
        <f>+'640,1'!I55</f>
        <v>8870</v>
      </c>
      <c r="I38" s="60">
        <f>ROUND(H38*G38,0)</f>
        <v>132748420</v>
      </c>
      <c r="J38" s="59">
        <f>+'640,1'!I19</f>
        <v>46</v>
      </c>
      <c r="K38" s="59">
        <f>+J38*G38</f>
        <v>688436</v>
      </c>
      <c r="L38" s="59">
        <f>+'640,1'!I29</f>
        <v>5877</v>
      </c>
      <c r="M38" s="59">
        <f>+L38*G38</f>
        <v>87955182</v>
      </c>
      <c r="N38" s="59">
        <f>+'640,1'!I36</f>
        <v>0</v>
      </c>
      <c r="O38" s="59">
        <f>+N38*G38</f>
        <v>0</v>
      </c>
      <c r="P38" s="59">
        <f>+'640,1'!I45</f>
        <v>900</v>
      </c>
      <c r="Q38" s="59">
        <f>+P38*G38</f>
        <v>13469400</v>
      </c>
      <c r="R38" s="59">
        <f>+J38+L38+N38+P38</f>
        <v>6823</v>
      </c>
      <c r="S38" s="59">
        <f>+R38*G38</f>
        <v>102113018</v>
      </c>
      <c r="T38" s="59">
        <f>+'640,1'!I53</f>
        <v>2047</v>
      </c>
      <c r="U38" s="59">
        <f>+T38*G38</f>
        <v>30635402</v>
      </c>
      <c r="V38" s="59">
        <f>+J38+L38+N38+P38+T38</f>
        <v>8870</v>
      </c>
      <c r="W38" s="597">
        <f>+K38/S38</f>
        <v>6.7419023889784555E-3</v>
      </c>
      <c r="X38" s="598">
        <f>+M38/S38</f>
        <v>0.86135131173970392</v>
      </c>
      <c r="Y38" s="598">
        <f>+O38/S38</f>
        <v>0</v>
      </c>
      <c r="Z38" s="598">
        <f>+(Q38/S38)*0.8</f>
        <v>0.10552542869705409</v>
      </c>
      <c r="AA38" s="598">
        <f>+(Q38/S38)*0.2</f>
        <v>2.6381357174263521E-2</v>
      </c>
      <c r="AB38" s="598">
        <f t="shared" si="12"/>
        <v>0.99999999999999989</v>
      </c>
      <c r="AC38" s="637">
        <f>+W38*I38</f>
        <v>894976.88993111532</v>
      </c>
      <c r="AD38" s="637">
        <f>+X38*I38</f>
        <v>114343025.69837314</v>
      </c>
      <c r="AE38" s="637">
        <f>+Y38*I38</f>
        <v>0</v>
      </c>
      <c r="AF38" s="637">
        <f>+Z38*I38</f>
        <v>14008333.929356588</v>
      </c>
      <c r="AG38" s="637">
        <f>+AA38*I38</f>
        <v>3502083.482339147</v>
      </c>
      <c r="AH38" s="637">
        <f t="shared" si="18"/>
        <v>132748419.99999999</v>
      </c>
    </row>
    <row r="39" spans="2:34" x14ac:dyDescent="0.25">
      <c r="B39" s="8">
        <v>610.1</v>
      </c>
      <c r="C39" s="8" t="s">
        <v>35</v>
      </c>
      <c r="D39" s="8" t="s">
        <v>136</v>
      </c>
      <c r="E39" s="553" t="s">
        <v>118</v>
      </c>
      <c r="F39" s="8" t="s">
        <v>18</v>
      </c>
      <c r="G39" s="36">
        <f>+P.Detall!G52</f>
        <v>271</v>
      </c>
      <c r="H39" s="11">
        <f>+'610,1'!I55</f>
        <v>78359</v>
      </c>
      <c r="I39" s="11">
        <f>ROUND(H39*G39,0)</f>
        <v>21235289</v>
      </c>
      <c r="J39" s="10">
        <f>+'610,1'!I19</f>
        <v>3676</v>
      </c>
      <c r="K39" s="36">
        <f>+J39*G39</f>
        <v>996196</v>
      </c>
      <c r="L39" s="10">
        <f>+'610,1'!I29</f>
        <v>34925</v>
      </c>
      <c r="M39" s="36">
        <f>+L39*G39</f>
        <v>9464675</v>
      </c>
      <c r="N39" s="10">
        <f>+'610,1'!I36</f>
        <v>9680</v>
      </c>
      <c r="O39" s="36">
        <f>+N39*G39</f>
        <v>2623280</v>
      </c>
      <c r="P39" s="10">
        <f>+'610,1'!I45</f>
        <v>11995</v>
      </c>
      <c r="Q39" s="36">
        <f>+P39*G39</f>
        <v>3250645</v>
      </c>
      <c r="R39" s="36">
        <f>+J39+L39+N39+P39</f>
        <v>60276</v>
      </c>
      <c r="S39" s="36">
        <f>+R39*G39</f>
        <v>16334796</v>
      </c>
      <c r="T39" s="10">
        <f>+'610,1'!I53</f>
        <v>18083</v>
      </c>
      <c r="U39" s="36">
        <f>+T39*G39</f>
        <v>4900493</v>
      </c>
      <c r="V39" s="36">
        <f>+J39+L39+N39+P39+T39</f>
        <v>78359</v>
      </c>
      <c r="W39" s="597">
        <f>+K39/S39</f>
        <v>6.0986130466520669E-2</v>
      </c>
      <c r="X39" s="598">
        <f>+M39/S39</f>
        <v>0.57941801048510189</v>
      </c>
      <c r="Y39" s="598">
        <f>+O39/S39</f>
        <v>0.16059459818169752</v>
      </c>
      <c r="Z39" s="598">
        <f>+(Q39/S39)*0.8</f>
        <v>0.15920100869334397</v>
      </c>
      <c r="AA39" s="598">
        <f>+(Q39/S39)*0.2</f>
        <v>3.9800252173335993E-2</v>
      </c>
      <c r="AB39" s="598">
        <f t="shared" si="12"/>
        <v>1</v>
      </c>
      <c r="AC39" s="637">
        <f>+W39*I39</f>
        <v>1295058.1054482711</v>
      </c>
      <c r="AD39" s="637">
        <f>+X39*I39</f>
        <v>12304108.904456168</v>
      </c>
      <c r="AE39" s="637">
        <f>+Y39*I39</f>
        <v>3410272.7042272212</v>
      </c>
      <c r="AF39" s="637">
        <f>+Z39*I39</f>
        <v>3380679.4286946715</v>
      </c>
      <c r="AG39" s="637">
        <f>+AA39*I39</f>
        <v>845169.85717366787</v>
      </c>
      <c r="AH39" s="637">
        <f t="shared" si="18"/>
        <v>21235289</v>
      </c>
    </row>
    <row r="40" spans="2:34" ht="32.25" customHeight="1" x14ac:dyDescent="0.25">
      <c r="B40" s="8" t="s">
        <v>44</v>
      </c>
      <c r="C40" s="8" t="s">
        <v>44</v>
      </c>
      <c r="D40" s="8" t="s">
        <v>137</v>
      </c>
      <c r="E40" s="553" t="s">
        <v>45</v>
      </c>
      <c r="F40" s="8" t="s">
        <v>15</v>
      </c>
      <c r="G40" s="36">
        <f>+P.Detall!G53</f>
        <v>113</v>
      </c>
      <c r="H40" s="11">
        <f>+'661,1'!I55</f>
        <v>734009</v>
      </c>
      <c r="I40" s="11">
        <f>ROUND(H40*G40,0)</f>
        <v>82943017</v>
      </c>
      <c r="J40" s="10">
        <f>+'661,1'!I19</f>
        <v>3999</v>
      </c>
      <c r="K40" s="36">
        <f>+J40*G40</f>
        <v>451887</v>
      </c>
      <c r="L40" s="10">
        <f>+'661,1'!I29</f>
        <v>376853</v>
      </c>
      <c r="M40" s="36">
        <f>+L40*G40</f>
        <v>42584389</v>
      </c>
      <c r="N40" s="10">
        <f>+'661,1'!I36</f>
        <v>168776</v>
      </c>
      <c r="O40" s="36">
        <f>+N40*G40</f>
        <v>19071688</v>
      </c>
      <c r="P40" s="10">
        <f>+'661,1'!I45</f>
        <v>14994</v>
      </c>
      <c r="Q40" s="36">
        <f>+P40*G40</f>
        <v>1694322</v>
      </c>
      <c r="R40" s="36">
        <f>+J40+L40+N40+P40</f>
        <v>564622</v>
      </c>
      <c r="S40" s="36">
        <f>+R40*G40</f>
        <v>63802286</v>
      </c>
      <c r="T40" s="10">
        <f>+'661,1'!I53</f>
        <v>169387</v>
      </c>
      <c r="U40" s="36">
        <f>+T40*G40</f>
        <v>19140731</v>
      </c>
      <c r="V40" s="36">
        <f>+J40+L40+N40+P40+T40</f>
        <v>734009</v>
      </c>
      <c r="W40" s="597">
        <f>+K40/S40</f>
        <v>7.0826145633716012E-3</v>
      </c>
      <c r="X40" s="598">
        <f>+M40/S40</f>
        <v>0.66744299726188494</v>
      </c>
      <c r="Y40" s="598">
        <f>+O40/S40</f>
        <v>0.29891856852903359</v>
      </c>
      <c r="Z40" s="598">
        <f>+(Q40/S40)*0.8</f>
        <v>2.12446557165679E-2</v>
      </c>
      <c r="AA40" s="598">
        <f>+(Q40/S40)*0.2</f>
        <v>5.311163929141975E-3</v>
      </c>
      <c r="AB40" s="598">
        <f t="shared" si="12"/>
        <v>1</v>
      </c>
      <c r="AC40" s="637">
        <f>+W40*I40</f>
        <v>587453.42013417825</v>
      </c>
      <c r="AD40" s="637">
        <f>+X40*I40</f>
        <v>55359735.868423477</v>
      </c>
      <c r="AE40" s="637">
        <f>+Y40*I40</f>
        <v>24793207.911119297</v>
      </c>
      <c r="AF40" s="637">
        <f>+Z40*I40</f>
        <v>1762095.8402584386</v>
      </c>
      <c r="AG40" s="637">
        <f>+AA40*I40</f>
        <v>440523.96006460965</v>
      </c>
      <c r="AH40" s="637">
        <f t="shared" si="18"/>
        <v>82943017</v>
      </c>
    </row>
    <row r="41" spans="2:34" x14ac:dyDescent="0.25">
      <c r="B41" s="362"/>
      <c r="C41" s="362"/>
      <c r="D41" s="362"/>
      <c r="E41" s="363" t="s">
        <v>119</v>
      </c>
      <c r="F41" s="362"/>
      <c r="G41" s="364"/>
      <c r="H41" s="365"/>
      <c r="I41" s="365"/>
      <c r="J41" s="364"/>
      <c r="K41" s="364"/>
      <c r="L41" s="364"/>
      <c r="M41" s="364"/>
      <c r="N41" s="364"/>
      <c r="O41" s="364"/>
      <c r="P41" s="364"/>
      <c r="Q41" s="364"/>
      <c r="R41" s="364"/>
      <c r="S41" s="364"/>
      <c r="T41" s="364"/>
      <c r="U41" s="364"/>
      <c r="V41" s="364"/>
      <c r="W41" s="608"/>
      <c r="X41" s="608"/>
      <c r="Y41" s="608"/>
      <c r="Z41" s="608"/>
      <c r="AA41" s="608"/>
      <c r="AB41" s="608"/>
      <c r="AC41" s="635"/>
      <c r="AD41" s="635"/>
      <c r="AE41" s="635"/>
      <c r="AF41" s="635"/>
      <c r="AG41" s="635"/>
      <c r="AH41" s="636"/>
    </row>
    <row r="42" spans="2:34" x14ac:dyDescent="0.25">
      <c r="B42" s="58">
        <v>660.1</v>
      </c>
      <c r="C42" s="58" t="s">
        <v>46</v>
      </c>
      <c r="D42" s="58" t="s">
        <v>138</v>
      </c>
      <c r="E42" s="553" t="s">
        <v>47</v>
      </c>
      <c r="F42" s="58" t="s">
        <v>18</v>
      </c>
      <c r="G42" s="36">
        <f>+P.Detall!G56</f>
        <v>46</v>
      </c>
      <c r="H42" s="60">
        <f>+'660,1'!I55</f>
        <v>814173</v>
      </c>
      <c r="I42" s="60">
        <f>ROUND(H42*G42,0)</f>
        <v>37451958</v>
      </c>
      <c r="J42" s="59">
        <f>+'660,1'!I19</f>
        <v>1200</v>
      </c>
      <c r="K42" s="59">
        <f>+J42*G42</f>
        <v>55200</v>
      </c>
      <c r="L42" s="59">
        <f>+'660,1'!I29</f>
        <v>501817</v>
      </c>
      <c r="M42" s="59">
        <f>+L42*G42</f>
        <v>23083582</v>
      </c>
      <c r="N42" s="59">
        <f>+'660,1'!I36</f>
        <v>99280</v>
      </c>
      <c r="O42" s="59">
        <f>+N42*G42</f>
        <v>4566880</v>
      </c>
      <c r="P42" s="59">
        <f>+'660,1'!I45</f>
        <v>23990</v>
      </c>
      <c r="Q42" s="59">
        <f>+P42*G42</f>
        <v>1103540</v>
      </c>
      <c r="R42" s="59">
        <f>+J42+L42+N42+P42</f>
        <v>626287</v>
      </c>
      <c r="S42" s="59">
        <f>+R42*G42</f>
        <v>28809202</v>
      </c>
      <c r="T42" s="59">
        <f>+'660,1'!I53</f>
        <v>187886</v>
      </c>
      <c r="U42" s="59">
        <f>+T42*G42</f>
        <v>8642756</v>
      </c>
      <c r="V42" s="59">
        <f>+J42+L42+N42+P42+T42</f>
        <v>814173</v>
      </c>
      <c r="W42" s="597">
        <f>+K42/S42</f>
        <v>1.9160544606546201E-3</v>
      </c>
      <c r="X42" s="598">
        <f>+M42/S42</f>
        <v>0.80125725106859957</v>
      </c>
      <c r="Y42" s="598">
        <f>+O42/S42</f>
        <v>0.15852157237815889</v>
      </c>
      <c r="Z42" s="598">
        <f>+(Q42/S42)*0.8</f>
        <v>3.0644097674069556E-2</v>
      </c>
      <c r="AA42" s="598">
        <f>+(Q42/S42)*0.2</f>
        <v>7.6610244185173889E-3</v>
      </c>
      <c r="AB42" s="598">
        <f t="shared" si="12"/>
        <v>0.99999999999999989</v>
      </c>
      <c r="AC42" s="599">
        <f>+W42*I42</f>
        <v>71759.991186149477</v>
      </c>
      <c r="AD42" s="599">
        <f>+X42*I42</f>
        <v>30008652.914216645</v>
      </c>
      <c r="AE42" s="599">
        <f>+Y42*I42</f>
        <v>5936943.2708007665</v>
      </c>
      <c r="AF42" s="599">
        <f>+Z42*I42</f>
        <v>1147681.4590371507</v>
      </c>
      <c r="AG42" s="599">
        <f>+AA42*I42</f>
        <v>286920.36475928768</v>
      </c>
      <c r="AH42" s="599">
        <f t="shared" si="18"/>
        <v>37451958</v>
      </c>
    </row>
    <row r="43" spans="2:34" x14ac:dyDescent="0.25">
      <c r="B43" s="8" t="s">
        <v>48</v>
      </c>
      <c r="C43" s="8" t="s">
        <v>48</v>
      </c>
      <c r="D43" s="8" t="s">
        <v>139</v>
      </c>
      <c r="E43" s="553" t="s">
        <v>49</v>
      </c>
      <c r="F43" s="8" t="s">
        <v>15</v>
      </c>
      <c r="G43" s="36">
        <f>+P.Detall!G57</f>
        <v>13</v>
      </c>
      <c r="H43" s="11">
        <f>+'672,1'!I55</f>
        <v>54457</v>
      </c>
      <c r="I43" s="11">
        <f>ROUND(H43*G43,0)</f>
        <v>707941</v>
      </c>
      <c r="J43" s="10">
        <f>+'672,1'!I19</f>
        <v>187</v>
      </c>
      <c r="K43" s="36">
        <f>+J43*G43</f>
        <v>2431</v>
      </c>
      <c r="L43" s="10">
        <f>+'672,1'!I29</f>
        <v>37955</v>
      </c>
      <c r="M43" s="36">
        <f>+L43*G43</f>
        <v>493415</v>
      </c>
      <c r="N43" s="10">
        <f>+'672,1'!I36</f>
        <v>0</v>
      </c>
      <c r="O43" s="36">
        <f>+N43*G43</f>
        <v>0</v>
      </c>
      <c r="P43" s="10">
        <f>+'672,1'!I45</f>
        <v>3748</v>
      </c>
      <c r="Q43" s="36">
        <f>+P43*G43</f>
        <v>48724</v>
      </c>
      <c r="R43" s="36">
        <f>+J43+L43+N43+P43</f>
        <v>41890</v>
      </c>
      <c r="S43" s="36">
        <f>+R43*G43</f>
        <v>544570</v>
      </c>
      <c r="T43" s="10">
        <f>+'672,1'!I53</f>
        <v>12567</v>
      </c>
      <c r="U43" s="36">
        <f>+T43*G43</f>
        <v>163371</v>
      </c>
      <c r="V43" s="36">
        <f>+J43+L43+N43+P43+T43</f>
        <v>54457</v>
      </c>
      <c r="W43" s="597">
        <f>+K43/S43</f>
        <v>4.4640725710193363E-3</v>
      </c>
      <c r="X43" s="598">
        <f>+M43/S43</f>
        <v>0.90606349964191935</v>
      </c>
      <c r="Y43" s="598">
        <f>+O43/S43</f>
        <v>0</v>
      </c>
      <c r="Z43" s="598">
        <f>+(Q43/S43)*0.8</f>
        <v>7.1577942229649083E-2</v>
      </c>
      <c r="AA43" s="598">
        <f>+(Q43/S43)*0.2</f>
        <v>1.7894485557412271E-2</v>
      </c>
      <c r="AB43" s="598">
        <f t="shared" si="12"/>
        <v>1</v>
      </c>
      <c r="AC43" s="599">
        <f>+W43*I43</f>
        <v>3160.3</v>
      </c>
      <c r="AD43" s="599">
        <f>+X43*I43</f>
        <v>641439.5</v>
      </c>
      <c r="AE43" s="599">
        <f>+Y43*I43</f>
        <v>0</v>
      </c>
      <c r="AF43" s="599">
        <f>+Z43*I43</f>
        <v>50672.959999999999</v>
      </c>
      <c r="AG43" s="599">
        <f>+AA43*I43</f>
        <v>12668.24</v>
      </c>
      <c r="AH43" s="599">
        <f t="shared" si="18"/>
        <v>707941</v>
      </c>
    </row>
    <row r="44" spans="2:34" x14ac:dyDescent="0.25">
      <c r="B44" s="362"/>
      <c r="C44" s="362"/>
      <c r="D44" s="362"/>
      <c r="E44" s="363" t="s">
        <v>120</v>
      </c>
      <c r="F44" s="362"/>
      <c r="G44" s="364"/>
      <c r="H44" s="365"/>
      <c r="I44" s="365"/>
      <c r="J44" s="364"/>
      <c r="K44" s="364"/>
      <c r="L44" s="364"/>
      <c r="M44" s="364"/>
      <c r="N44" s="364"/>
      <c r="O44" s="364"/>
      <c r="P44" s="364"/>
      <c r="Q44" s="364"/>
      <c r="R44" s="364"/>
      <c r="S44" s="364"/>
      <c r="T44" s="364"/>
      <c r="U44" s="364"/>
      <c r="V44" s="364"/>
      <c r="W44" s="608"/>
      <c r="X44" s="608"/>
      <c r="Y44" s="608"/>
      <c r="Z44" s="608"/>
      <c r="AA44" s="608"/>
      <c r="AB44" s="608"/>
      <c r="AC44" s="635"/>
      <c r="AD44" s="635"/>
      <c r="AE44" s="635"/>
      <c r="AF44" s="635"/>
      <c r="AG44" s="635"/>
      <c r="AH44" s="636"/>
    </row>
    <row r="45" spans="2:34" x14ac:dyDescent="0.25">
      <c r="B45" s="58" t="s">
        <v>50</v>
      </c>
      <c r="C45" s="58" t="s">
        <v>22</v>
      </c>
      <c r="D45" s="58" t="s">
        <v>140</v>
      </c>
      <c r="E45" s="553" t="s">
        <v>123</v>
      </c>
      <c r="F45" s="58" t="s">
        <v>23</v>
      </c>
      <c r="G45" s="36">
        <f>+P.Detall!G60</f>
        <v>765</v>
      </c>
      <c r="H45" s="60">
        <f>+'673,1'!I55</f>
        <v>11020</v>
      </c>
      <c r="I45" s="60">
        <f>ROUND(H45*G45,0)</f>
        <v>8430300</v>
      </c>
      <c r="J45" s="59">
        <f>+'673,1'!I19</f>
        <v>0</v>
      </c>
      <c r="K45" s="59">
        <f>+J45*G45</f>
        <v>0</v>
      </c>
      <c r="L45" s="59">
        <f>+'673,1'!I29</f>
        <v>8077</v>
      </c>
      <c r="M45" s="59">
        <f>+L45*G45</f>
        <v>6178905</v>
      </c>
      <c r="N45" s="59">
        <f>+'673,1'!I36</f>
        <v>0</v>
      </c>
      <c r="O45" s="59">
        <f>+N45*G45</f>
        <v>0</v>
      </c>
      <c r="P45" s="59">
        <f>+'673,1'!I45</f>
        <v>400</v>
      </c>
      <c r="Q45" s="59">
        <f>+P45*G45</f>
        <v>306000</v>
      </c>
      <c r="R45" s="59">
        <f>+J45+L45+N45+P45</f>
        <v>8477</v>
      </c>
      <c r="S45" s="59">
        <f>+R45*G45</f>
        <v>6484905</v>
      </c>
      <c r="T45" s="59">
        <f>+'673,1'!I53</f>
        <v>2543</v>
      </c>
      <c r="U45" s="59">
        <f>+T45*G45</f>
        <v>1945395</v>
      </c>
      <c r="V45" s="59">
        <f>+J45+L45+N45+P45+T45</f>
        <v>11020</v>
      </c>
      <c r="W45" s="597">
        <f>+K45/S45</f>
        <v>0</v>
      </c>
      <c r="X45" s="598">
        <f>+M45/S45</f>
        <v>0.95281349534033266</v>
      </c>
      <c r="Y45" s="598">
        <f>+O45/S45</f>
        <v>0</v>
      </c>
      <c r="Z45" s="598">
        <f>+(Q45/S45)*0.8</f>
        <v>3.7749203727733868E-2</v>
      </c>
      <c r="AA45" s="598">
        <f>+(Q45/S45)*0.2</f>
        <v>9.4373009319334671E-3</v>
      </c>
      <c r="AB45" s="598">
        <f t="shared" si="12"/>
        <v>1</v>
      </c>
      <c r="AC45" s="637">
        <f>+W45*I45</f>
        <v>0</v>
      </c>
      <c r="AD45" s="637">
        <f>+X45*I45</f>
        <v>8032503.6097676065</v>
      </c>
      <c r="AE45" s="637">
        <f>+Y45*I45</f>
        <v>0</v>
      </c>
      <c r="AF45" s="637">
        <f>+Z45*I45</f>
        <v>318237.11218591483</v>
      </c>
      <c r="AG45" s="637">
        <f>+AA45*I45</f>
        <v>79559.278046478707</v>
      </c>
      <c r="AH45" s="637">
        <f t="shared" si="18"/>
        <v>8430300</v>
      </c>
    </row>
    <row r="46" spans="2:34" x14ac:dyDescent="0.25">
      <c r="B46" s="8" t="s">
        <v>165</v>
      </c>
      <c r="C46" s="8" t="s">
        <v>50</v>
      </c>
      <c r="D46" s="8" t="s">
        <v>140</v>
      </c>
      <c r="E46" s="553" t="s">
        <v>51</v>
      </c>
      <c r="F46" s="8" t="s">
        <v>18</v>
      </c>
      <c r="G46" s="36">
        <f>+P.Detall!G61</f>
        <v>235</v>
      </c>
      <c r="H46" s="11">
        <f>+'673,2'!I55</f>
        <v>206995</v>
      </c>
      <c r="I46" s="11">
        <f>ROUND(H46*G46,0)</f>
        <v>48643825</v>
      </c>
      <c r="J46" s="10">
        <f>+'673,2'!I19</f>
        <v>750</v>
      </c>
      <c r="K46" s="36">
        <f>+J46*G46</f>
        <v>176250</v>
      </c>
      <c r="L46" s="10">
        <f>+'673,2'!I29</f>
        <v>51700</v>
      </c>
      <c r="M46" s="36">
        <f>+L46*G46</f>
        <v>12149500</v>
      </c>
      <c r="N46" s="10">
        <f>+'673,2'!I36</f>
        <v>99280</v>
      </c>
      <c r="O46" s="36">
        <f>+N46*G46</f>
        <v>23330800</v>
      </c>
      <c r="P46" s="10">
        <f>+'673,2'!I45</f>
        <v>7497</v>
      </c>
      <c r="Q46" s="36">
        <f>+P46*G46</f>
        <v>1761795</v>
      </c>
      <c r="R46" s="36">
        <f>+J46+L46+N46+P46</f>
        <v>159227</v>
      </c>
      <c r="S46" s="36">
        <f>+R46*G46</f>
        <v>37418345</v>
      </c>
      <c r="T46" s="10">
        <f>+'673,2'!I53</f>
        <v>47768</v>
      </c>
      <c r="U46" s="36">
        <f>+T46*G46</f>
        <v>11225480</v>
      </c>
      <c r="V46" s="36">
        <f>+J46+L46+N46+P46+T46</f>
        <v>206995</v>
      </c>
      <c r="W46" s="597">
        <f>+K46/S46</f>
        <v>4.7102564263598514E-3</v>
      </c>
      <c r="X46" s="598">
        <f>+M46/S46</f>
        <v>0.32469367632373908</v>
      </c>
      <c r="Y46" s="598">
        <f>+O46/S46</f>
        <v>0.62351234401200806</v>
      </c>
      <c r="Z46" s="598">
        <f>+(Q46/S46)*0.8</f>
        <v>3.7666978590314461E-2</v>
      </c>
      <c r="AA46" s="598">
        <f>+(Q46/S46)*0.2</f>
        <v>9.4167446475786152E-3</v>
      </c>
      <c r="AB46" s="598">
        <f t="shared" si="12"/>
        <v>1</v>
      </c>
      <c r="AC46" s="637">
        <f>+W46*I46</f>
        <v>229124.889308974</v>
      </c>
      <c r="AD46" s="637">
        <f>+X46*I46</f>
        <v>15794342.369698606</v>
      </c>
      <c r="AE46" s="637">
        <f>+Y46*I46</f>
        <v>30330025.347459916</v>
      </c>
      <c r="AF46" s="637">
        <f>+Z46*I46</f>
        <v>1832265.9148260034</v>
      </c>
      <c r="AG46" s="637">
        <f>+AA46*I46</f>
        <v>458066.47870650084</v>
      </c>
      <c r="AH46" s="637">
        <f t="shared" si="18"/>
        <v>48643825.000000007</v>
      </c>
    </row>
    <row r="47" spans="2:34" x14ac:dyDescent="0.25">
      <c r="B47" s="8" t="s">
        <v>52</v>
      </c>
      <c r="C47" s="8" t="s">
        <v>52</v>
      </c>
      <c r="D47" s="8" t="s">
        <v>141</v>
      </c>
      <c r="E47" s="553" t="s">
        <v>53</v>
      </c>
      <c r="F47" s="8" t="s">
        <v>15</v>
      </c>
      <c r="G47" s="36">
        <f>+P.Detall!G62</f>
        <v>113</v>
      </c>
      <c r="H47" s="11">
        <f>+'674,2'!I55</f>
        <v>93048</v>
      </c>
      <c r="I47" s="11">
        <f>ROUND(H47*G47,0)</f>
        <v>10514424</v>
      </c>
      <c r="J47" s="10">
        <f>+'674,2'!I19</f>
        <v>49812</v>
      </c>
      <c r="K47" s="36">
        <f>+J47*G47</f>
        <v>5628756</v>
      </c>
      <c r="L47" s="10">
        <f>+'674,2'!I29</f>
        <v>12767</v>
      </c>
      <c r="M47" s="36">
        <f>+L47*G47</f>
        <v>1442671</v>
      </c>
      <c r="N47" s="10">
        <f>+'674,2'!I36</f>
        <v>0</v>
      </c>
      <c r="O47" s="36">
        <f>+N47*G47</f>
        <v>0</v>
      </c>
      <c r="P47" s="10">
        <f>+'674,2'!I45</f>
        <v>8996</v>
      </c>
      <c r="Q47" s="36">
        <f>+P47*G47</f>
        <v>1016548</v>
      </c>
      <c r="R47" s="36">
        <f>+J47+L47+N47+P47</f>
        <v>71575</v>
      </c>
      <c r="S47" s="36">
        <f>+R47*G47</f>
        <v>8087975</v>
      </c>
      <c r="T47" s="10">
        <f>+'674,2'!I53</f>
        <v>21473</v>
      </c>
      <c r="U47" s="36">
        <f>+T47*G47</f>
        <v>2426449</v>
      </c>
      <c r="V47" s="36">
        <f>+J47+L47+N47+P47+T47</f>
        <v>93048</v>
      </c>
      <c r="W47" s="597">
        <f>+K47/S47</f>
        <v>0.6959413202933985</v>
      </c>
      <c r="X47" s="598">
        <f>+M47/S47</f>
        <v>0.17837233670974503</v>
      </c>
      <c r="Y47" s="598">
        <f>+O47/S47</f>
        <v>0</v>
      </c>
      <c r="Z47" s="598">
        <f>+(Q47/S47)*0.8</f>
        <v>0.10054907439748516</v>
      </c>
      <c r="AA47" s="598">
        <f>+(Q47/S47)*0.2</f>
        <v>2.513726859937129E-2</v>
      </c>
      <c r="AB47" s="598">
        <f t="shared" si="12"/>
        <v>1</v>
      </c>
      <c r="AC47" s="637">
        <f>+W47*I47</f>
        <v>7317422.1206845967</v>
      </c>
      <c r="AD47" s="637">
        <f>+X47*I47</f>
        <v>1875482.3780370243</v>
      </c>
      <c r="AE47" s="637">
        <f>+Y47*I47</f>
        <v>0</v>
      </c>
      <c r="AF47" s="637">
        <f>+Z47*I47</f>
        <v>1057215.6010227036</v>
      </c>
      <c r="AG47" s="637">
        <f>+AA47*I47</f>
        <v>264303.90025567589</v>
      </c>
      <c r="AH47" s="637">
        <f t="shared" si="18"/>
        <v>10514424.000000002</v>
      </c>
    </row>
    <row r="48" spans="2:34" x14ac:dyDescent="0.25">
      <c r="B48" s="362"/>
      <c r="C48" s="362"/>
      <c r="D48" s="362"/>
      <c r="E48" s="366" t="s">
        <v>124</v>
      </c>
      <c r="F48" s="362"/>
      <c r="G48" s="364"/>
      <c r="H48" s="365"/>
      <c r="I48" s="365"/>
      <c r="J48" s="364"/>
      <c r="K48" s="364"/>
      <c r="L48" s="364"/>
      <c r="M48" s="364"/>
      <c r="N48" s="364"/>
      <c r="O48" s="364"/>
      <c r="P48" s="364"/>
      <c r="Q48" s="364"/>
      <c r="R48" s="364"/>
      <c r="S48" s="364"/>
      <c r="T48" s="364"/>
      <c r="U48" s="364"/>
      <c r="V48" s="364"/>
      <c r="W48" s="608"/>
      <c r="X48" s="608"/>
      <c r="Y48" s="608"/>
      <c r="Z48" s="608"/>
      <c r="AA48" s="608"/>
      <c r="AB48" s="608"/>
      <c r="AC48" s="635"/>
      <c r="AD48" s="635"/>
      <c r="AE48" s="635"/>
      <c r="AF48" s="635"/>
      <c r="AG48" s="635"/>
      <c r="AH48" s="636"/>
    </row>
    <row r="49" spans="2:39" x14ac:dyDescent="0.25">
      <c r="B49" s="58" t="s">
        <v>54</v>
      </c>
      <c r="C49" s="58" t="s">
        <v>54</v>
      </c>
      <c r="D49" s="58" t="s">
        <v>142</v>
      </c>
      <c r="E49" s="553" t="s">
        <v>55</v>
      </c>
      <c r="F49" s="58" t="s">
        <v>18</v>
      </c>
      <c r="G49" s="36">
        <f>+P.Detall!G66</f>
        <v>266</v>
      </c>
      <c r="H49" s="60">
        <f>+'681,1'!I55</f>
        <v>195286</v>
      </c>
      <c r="I49" s="60">
        <f>ROUND(H49*G49,0)</f>
        <v>51946076</v>
      </c>
      <c r="J49" s="59">
        <f>+'681,1'!I19</f>
        <v>750</v>
      </c>
      <c r="K49" s="59">
        <f>+J49*G49</f>
        <v>199500</v>
      </c>
      <c r="L49" s="59">
        <f>+'681,1'!I29</f>
        <v>126285</v>
      </c>
      <c r="M49" s="59">
        <f>+L49*G49</f>
        <v>33591810</v>
      </c>
      <c r="N49" s="59">
        <f>+'681,1'!I36</f>
        <v>8191</v>
      </c>
      <c r="O49" s="59">
        <f>+N49*G49</f>
        <v>2178806</v>
      </c>
      <c r="P49" s="59">
        <f>+'681,1'!I45</f>
        <v>14994</v>
      </c>
      <c r="Q49" s="59">
        <f>+P49*G49</f>
        <v>3988404</v>
      </c>
      <c r="R49" s="59">
        <f>+J49+L49+N49+P49</f>
        <v>150220</v>
      </c>
      <c r="S49" s="59">
        <f>+R49*G49</f>
        <v>39958520</v>
      </c>
      <c r="T49" s="59">
        <f>+'681,1'!I53</f>
        <v>45066</v>
      </c>
      <c r="U49" s="59">
        <f>+T49*G49</f>
        <v>11987556</v>
      </c>
      <c r="V49" s="59">
        <f>+J49+L49+N49+P49+T49</f>
        <v>195286</v>
      </c>
      <c r="W49" s="597">
        <f>+K49/S49</f>
        <v>4.9926774064705101E-3</v>
      </c>
      <c r="X49" s="598">
        <f>+M49/S49</f>
        <v>0.84066702170150442</v>
      </c>
      <c r="Y49" s="598">
        <f>+O49/S49</f>
        <v>5.4526694181866599E-2</v>
      </c>
      <c r="Z49" s="598">
        <f>+(Q49/S49)*0.8</f>
        <v>7.9850885368126748E-2</v>
      </c>
      <c r="AA49" s="598">
        <f>+(Q49/S49)*0.2</f>
        <v>1.9962721342031687E-2</v>
      </c>
      <c r="AB49" s="598">
        <f t="shared" si="12"/>
        <v>1</v>
      </c>
      <c r="AC49" s="637">
        <f>+W49*I49</f>
        <v>259350</v>
      </c>
      <c r="AD49" s="637">
        <f>+X49*I49</f>
        <v>43669353</v>
      </c>
      <c r="AE49" s="637">
        <f>+Y49*I49</f>
        <v>2832447.8000000003</v>
      </c>
      <c r="AF49" s="637">
        <f>+Z49*I49</f>
        <v>4147940.16</v>
      </c>
      <c r="AG49" s="637">
        <f>+AA49*I49</f>
        <v>1036985.04</v>
      </c>
      <c r="AH49" s="637">
        <f t="shared" si="18"/>
        <v>51946075.999999993</v>
      </c>
    </row>
    <row r="50" spans="2:39" ht="24.75" customHeight="1" x14ac:dyDescent="0.25">
      <c r="B50" s="42"/>
      <c r="C50" s="42"/>
      <c r="D50" s="42"/>
      <c r="E50" s="43"/>
      <c r="F50" s="42"/>
      <c r="G50" s="1187" t="s">
        <v>117</v>
      </c>
      <c r="H50" s="1188"/>
      <c r="I50" s="69">
        <f>+SUM(I28:I49)</f>
        <v>574548304</v>
      </c>
      <c r="J50" s="65"/>
      <c r="K50" s="69">
        <f>+SUM(K28:K49)</f>
        <v>29726894</v>
      </c>
      <c r="L50" s="65"/>
      <c r="M50" s="69">
        <f>+SUM(M28:M49)</f>
        <v>294908160</v>
      </c>
      <c r="N50" s="65"/>
      <c r="O50" s="69">
        <f>+SUM(O28:O49)</f>
        <v>71404348</v>
      </c>
      <c r="P50" s="65"/>
      <c r="Q50" s="69">
        <f>+SUM(Q28:Q49)</f>
        <v>45919566</v>
      </c>
      <c r="R50" s="65"/>
      <c r="S50" s="69">
        <f>+SUM(S28:S49)</f>
        <v>441958968</v>
      </c>
      <c r="T50" s="65"/>
      <c r="U50" s="69">
        <f>+SUM(U28:U49)</f>
        <v>132589336</v>
      </c>
      <c r="V50" s="65"/>
      <c r="W50" s="600">
        <f>+K50/S50</f>
        <v>6.7261660363004558E-2</v>
      </c>
      <c r="X50" s="606">
        <f>+M50/S50</f>
        <v>0.66727497653130552</v>
      </c>
      <c r="Y50" s="606">
        <f>+O50/S50</f>
        <v>0.16156329698009431</v>
      </c>
      <c r="Z50" s="602">
        <f>+(SUM(Z28:Z49)*((Q50/S50)))/SUM(Z28:AA49)</f>
        <v>6.3289600640377655E-2</v>
      </c>
      <c r="AA50" s="602">
        <f>+(SUM(AA28:AA49)*((Q50/S50)))/SUM(Z28:AA49)</f>
        <v>4.0610465485217941E-2</v>
      </c>
      <c r="AB50" s="601">
        <f t="shared" si="12"/>
        <v>1</v>
      </c>
      <c r="AC50" s="638">
        <f t="shared" ref="AC50:AH50" si="22">+SUM(AC28:AC49)</f>
        <v>38645054.931047142</v>
      </c>
      <c r="AD50" s="638">
        <f t="shared" si="22"/>
        <v>383381926.35197884</v>
      </c>
      <c r="AE50" s="638">
        <f t="shared" si="22"/>
        <v>92825659.388143674</v>
      </c>
      <c r="AF50" s="638">
        <f t="shared" si="22"/>
        <v>44171392.044727489</v>
      </c>
      <c r="AG50" s="638">
        <f t="shared" si="22"/>
        <v>15524271.284102831</v>
      </c>
      <c r="AH50" s="638">
        <f t="shared" si="22"/>
        <v>574548304</v>
      </c>
      <c r="AI50">
        <v>313877918.58325297</v>
      </c>
      <c r="AJ50">
        <v>2964559519.9838634</v>
      </c>
      <c r="AK50">
        <v>734974319.96204376</v>
      </c>
      <c r="AL50">
        <v>257385697.47491923</v>
      </c>
      <c r="AM50">
        <v>94974526.995920345</v>
      </c>
    </row>
    <row r="51" spans="2:39" x14ac:dyDescent="0.25">
      <c r="B51" s="367"/>
      <c r="C51" s="367"/>
      <c r="D51" s="367"/>
      <c r="E51" s="368" t="s">
        <v>143</v>
      </c>
      <c r="F51" s="367"/>
      <c r="G51" s="79"/>
      <c r="H51" s="370"/>
      <c r="I51" s="370"/>
      <c r="J51" s="369"/>
      <c r="K51" s="369"/>
      <c r="L51" s="369"/>
      <c r="M51" s="369"/>
      <c r="N51" s="369"/>
      <c r="O51" s="369"/>
      <c r="P51" s="369"/>
      <c r="Q51" s="369"/>
      <c r="R51" s="369"/>
      <c r="S51" s="369"/>
      <c r="T51" s="369"/>
      <c r="U51" s="369"/>
      <c r="V51" s="369"/>
      <c r="W51" s="604"/>
      <c r="X51" s="604"/>
      <c r="Y51" s="604"/>
      <c r="Z51" s="604"/>
      <c r="AA51" s="604"/>
      <c r="AB51" s="604"/>
      <c r="AC51" s="604"/>
      <c r="AD51" s="604"/>
      <c r="AE51" s="604"/>
      <c r="AF51" s="604"/>
      <c r="AG51" s="604"/>
      <c r="AH51" s="605"/>
    </row>
    <row r="52" spans="2:39" s="65" customFormat="1" x14ac:dyDescent="0.25">
      <c r="B52" s="58">
        <v>700.3</v>
      </c>
      <c r="C52" s="58"/>
      <c r="D52" s="58" t="s">
        <v>144</v>
      </c>
      <c r="E52" s="553" t="s">
        <v>149</v>
      </c>
      <c r="F52" s="58" t="s">
        <v>23</v>
      </c>
      <c r="G52" s="36" t="e">
        <f>+P.Detall!#REF!</f>
        <v>#REF!</v>
      </c>
      <c r="H52" s="60" t="e">
        <f>+#REF!</f>
        <v>#REF!</v>
      </c>
      <c r="I52" s="60" t="e">
        <f t="shared" ref="I52:I59" si="23">ROUND(H52*G52,0)</f>
        <v>#REF!</v>
      </c>
      <c r="J52" s="59" t="e">
        <f>+#REF!</f>
        <v>#REF!</v>
      </c>
      <c r="K52" s="59" t="e">
        <f t="shared" ref="K52:K59" si="24">+J52*G52</f>
        <v>#REF!</v>
      </c>
      <c r="L52" s="59" t="e">
        <f>+#REF!</f>
        <v>#REF!</v>
      </c>
      <c r="M52" s="59" t="e">
        <f t="shared" ref="M52:M59" si="25">+L52*G52</f>
        <v>#REF!</v>
      </c>
      <c r="N52" s="59" t="e">
        <f>+#REF!</f>
        <v>#REF!</v>
      </c>
      <c r="O52" s="59" t="e">
        <f t="shared" ref="O52:O59" si="26">+N52*G52</f>
        <v>#REF!</v>
      </c>
      <c r="P52" s="59" t="e">
        <f>+#REF!</f>
        <v>#REF!</v>
      </c>
      <c r="Q52" s="59" t="e">
        <f t="shared" ref="Q52:Q59" si="27">+P52*G52</f>
        <v>#REF!</v>
      </c>
      <c r="R52" s="59" t="e">
        <f t="shared" ref="R52:R59" si="28">+J52+L52+N52+P52</f>
        <v>#REF!</v>
      </c>
      <c r="S52" s="59" t="e">
        <f t="shared" ref="S52:S59" si="29">+R52*G52</f>
        <v>#REF!</v>
      </c>
      <c r="T52" s="59" t="e">
        <f>+#REF!</f>
        <v>#REF!</v>
      </c>
      <c r="U52" s="59" t="e">
        <f t="shared" ref="U52:U59" si="30">+T52*G52</f>
        <v>#REF!</v>
      </c>
      <c r="V52" s="59" t="e">
        <f>+J52+L52+N52+P52+T52</f>
        <v>#REF!</v>
      </c>
      <c r="W52" s="597" t="e">
        <f t="shared" ref="W52:W59" si="31">+K52/S52</f>
        <v>#REF!</v>
      </c>
      <c r="X52" s="598" t="e">
        <f t="shared" ref="X52:X59" si="32">+M52/S52</f>
        <v>#REF!</v>
      </c>
      <c r="Y52" s="598" t="e">
        <f t="shared" ref="Y52:Y59" si="33">+O52/S52</f>
        <v>#REF!</v>
      </c>
      <c r="Z52" s="598" t="e">
        <f>+(Q52/S52)*0.8</f>
        <v>#REF!</v>
      </c>
      <c r="AA52" s="598" t="e">
        <f>+(Q52/S52)*0.2</f>
        <v>#REF!</v>
      </c>
      <c r="AB52" s="598" t="e">
        <f t="shared" si="12"/>
        <v>#REF!</v>
      </c>
      <c r="AC52" s="599" t="e">
        <f t="shared" ref="AC52:AC59" si="34">+W52*I52</f>
        <v>#REF!</v>
      </c>
      <c r="AD52" s="599" t="e">
        <f t="shared" ref="AD52:AD59" si="35">+X52*I52</f>
        <v>#REF!</v>
      </c>
      <c r="AE52" s="599">
        <v>0</v>
      </c>
      <c r="AF52" s="599" t="e">
        <f t="shared" ref="AF52:AF59" si="36">+Z52*I52</f>
        <v>#REF!</v>
      </c>
      <c r="AG52" s="599" t="e">
        <f t="shared" ref="AG52:AG59" si="37">+AA52*I52</f>
        <v>#REF!</v>
      </c>
      <c r="AH52" s="599" t="e">
        <f t="shared" si="18"/>
        <v>#REF!</v>
      </c>
    </row>
    <row r="53" spans="2:39" s="65" customFormat="1" x14ac:dyDescent="0.25">
      <c r="B53" s="8" t="s">
        <v>56</v>
      </c>
      <c r="C53" s="8" t="s">
        <v>56</v>
      </c>
      <c r="D53" s="8" t="s">
        <v>144</v>
      </c>
      <c r="E53" s="553" t="s">
        <v>57</v>
      </c>
      <c r="F53" s="8" t="s">
        <v>15</v>
      </c>
      <c r="G53" s="36" t="e">
        <f>+P.Detall!#REF!</f>
        <v>#REF!</v>
      </c>
      <c r="H53" s="11" t="e">
        <f>+#REF!</f>
        <v>#REF!</v>
      </c>
      <c r="I53" s="11" t="e">
        <f t="shared" si="23"/>
        <v>#REF!</v>
      </c>
      <c r="J53" s="10" t="e">
        <f>+#REF!</f>
        <v>#REF!</v>
      </c>
      <c r="K53" s="36" t="e">
        <f t="shared" si="24"/>
        <v>#REF!</v>
      </c>
      <c r="L53" s="10" t="e">
        <f>+#REF!</f>
        <v>#REF!</v>
      </c>
      <c r="M53" s="36" t="e">
        <f t="shared" si="25"/>
        <v>#REF!</v>
      </c>
      <c r="N53" s="10" t="e">
        <f>+#REF!</f>
        <v>#REF!</v>
      </c>
      <c r="O53" s="36" t="e">
        <f t="shared" si="26"/>
        <v>#REF!</v>
      </c>
      <c r="P53" s="10" t="e">
        <f>+#REF!</f>
        <v>#REF!</v>
      </c>
      <c r="Q53" s="36" t="e">
        <f t="shared" si="27"/>
        <v>#REF!</v>
      </c>
      <c r="R53" s="36" t="e">
        <f t="shared" si="28"/>
        <v>#REF!</v>
      </c>
      <c r="S53" s="36" t="e">
        <f t="shared" si="29"/>
        <v>#REF!</v>
      </c>
      <c r="T53" s="10" t="e">
        <f>+#REF!</f>
        <v>#REF!</v>
      </c>
      <c r="U53" s="36" t="e">
        <f t="shared" si="30"/>
        <v>#REF!</v>
      </c>
      <c r="V53" s="36" t="e">
        <f t="shared" ref="V53:V59" si="38">+J53+L53+N53+P53+T53</f>
        <v>#REF!</v>
      </c>
      <c r="W53" s="597" t="e">
        <f t="shared" si="31"/>
        <v>#REF!</v>
      </c>
      <c r="X53" s="598" t="e">
        <f t="shared" si="32"/>
        <v>#REF!</v>
      </c>
      <c r="Y53" s="598" t="e">
        <f t="shared" si="33"/>
        <v>#REF!</v>
      </c>
      <c r="Z53" s="598" t="e">
        <f>+(Q53/S53)*0.8</f>
        <v>#REF!</v>
      </c>
      <c r="AA53" s="598" t="e">
        <f>+(Q53/S53)*0.2</f>
        <v>#REF!</v>
      </c>
      <c r="AB53" s="598" t="e">
        <f t="shared" si="12"/>
        <v>#REF!</v>
      </c>
      <c r="AC53" s="599" t="e">
        <f t="shared" si="34"/>
        <v>#REF!</v>
      </c>
      <c r="AD53" s="599" t="e">
        <f t="shared" si="35"/>
        <v>#REF!</v>
      </c>
      <c r="AE53" s="599" t="e">
        <f t="shared" ref="AE53:AE59" si="39">+Y53*I53</f>
        <v>#REF!</v>
      </c>
      <c r="AF53" s="599" t="e">
        <f t="shared" si="36"/>
        <v>#REF!</v>
      </c>
      <c r="AG53" s="599" t="e">
        <f t="shared" si="37"/>
        <v>#REF!</v>
      </c>
      <c r="AH53" s="599" t="e">
        <f t="shared" si="18"/>
        <v>#REF!</v>
      </c>
    </row>
    <row r="54" spans="2:39" s="65" customFormat="1" x14ac:dyDescent="0.25">
      <c r="B54" s="8" t="s">
        <v>152</v>
      </c>
      <c r="C54" s="8"/>
      <c r="D54" s="8" t="s">
        <v>145</v>
      </c>
      <c r="E54" s="553" t="s">
        <v>151</v>
      </c>
      <c r="F54" s="8" t="s">
        <v>147</v>
      </c>
      <c r="G54" s="36" t="e">
        <f>+P.Detall!#REF!</f>
        <v>#REF!</v>
      </c>
      <c r="H54" s="11" t="e">
        <f>+#REF!</f>
        <v>#REF!</v>
      </c>
      <c r="I54" s="11" t="e">
        <f t="shared" si="23"/>
        <v>#REF!</v>
      </c>
      <c r="J54" s="10" t="e">
        <f>+#REF!</f>
        <v>#REF!</v>
      </c>
      <c r="K54" s="36" t="e">
        <f t="shared" si="24"/>
        <v>#REF!</v>
      </c>
      <c r="L54" s="10" t="e">
        <f>+#REF!</f>
        <v>#REF!</v>
      </c>
      <c r="M54" s="36" t="e">
        <f t="shared" si="25"/>
        <v>#REF!</v>
      </c>
      <c r="N54" s="10" t="e">
        <f>+#REF!</f>
        <v>#REF!</v>
      </c>
      <c r="O54" s="36" t="e">
        <f t="shared" si="26"/>
        <v>#REF!</v>
      </c>
      <c r="P54" s="10" t="e">
        <f>+#REF!</f>
        <v>#REF!</v>
      </c>
      <c r="Q54" s="36" t="e">
        <f t="shared" si="27"/>
        <v>#REF!</v>
      </c>
      <c r="R54" s="36" t="e">
        <f t="shared" si="28"/>
        <v>#REF!</v>
      </c>
      <c r="S54" s="36" t="e">
        <f t="shared" si="29"/>
        <v>#REF!</v>
      </c>
      <c r="T54" s="10" t="e">
        <f>+#REF!</f>
        <v>#REF!</v>
      </c>
      <c r="U54" s="36" t="e">
        <f t="shared" si="30"/>
        <v>#REF!</v>
      </c>
      <c r="V54" s="36" t="e">
        <f t="shared" si="38"/>
        <v>#REF!</v>
      </c>
      <c r="W54" s="597" t="e">
        <f t="shared" si="31"/>
        <v>#REF!</v>
      </c>
      <c r="X54" s="598" t="e">
        <f t="shared" si="32"/>
        <v>#REF!</v>
      </c>
      <c r="Y54" s="598" t="e">
        <f t="shared" si="33"/>
        <v>#REF!</v>
      </c>
      <c r="Z54" s="598" t="e">
        <f>+(Q54/S54)*0.8</f>
        <v>#REF!</v>
      </c>
      <c r="AA54" s="598" t="e">
        <f>+(Q54/S54)*0.2</f>
        <v>#REF!</v>
      </c>
      <c r="AB54" s="598" t="e">
        <f t="shared" si="12"/>
        <v>#REF!</v>
      </c>
      <c r="AC54" s="599" t="e">
        <f t="shared" si="34"/>
        <v>#REF!</v>
      </c>
      <c r="AD54" s="599" t="e">
        <f t="shared" si="35"/>
        <v>#REF!</v>
      </c>
      <c r="AE54" s="599" t="e">
        <f t="shared" si="39"/>
        <v>#REF!</v>
      </c>
      <c r="AF54" s="599" t="e">
        <f t="shared" si="36"/>
        <v>#REF!</v>
      </c>
      <c r="AG54" s="599" t="e">
        <f t="shared" si="37"/>
        <v>#REF!</v>
      </c>
      <c r="AH54" s="599" t="e">
        <f t="shared" si="18"/>
        <v>#REF!</v>
      </c>
    </row>
    <row r="55" spans="2:39" s="65" customFormat="1" ht="25.5" x14ac:dyDescent="0.25">
      <c r="B55" s="70">
        <v>710.1</v>
      </c>
      <c r="C55" s="8" t="s">
        <v>58</v>
      </c>
      <c r="D55" s="8" t="s">
        <v>145</v>
      </c>
      <c r="E55" s="553" t="s">
        <v>146</v>
      </c>
      <c r="F55" s="8" t="s">
        <v>147</v>
      </c>
      <c r="G55" s="36" t="e">
        <f>+P.Detall!#REF!</f>
        <v>#REF!</v>
      </c>
      <c r="H55" s="11" t="e">
        <f>+#REF!</f>
        <v>#REF!</v>
      </c>
      <c r="I55" s="11" t="e">
        <f t="shared" si="23"/>
        <v>#REF!</v>
      </c>
      <c r="J55" s="10" t="e">
        <f>+#REF!</f>
        <v>#REF!</v>
      </c>
      <c r="K55" s="36" t="e">
        <f t="shared" si="24"/>
        <v>#REF!</v>
      </c>
      <c r="L55" s="10" t="e">
        <f>+#REF!</f>
        <v>#REF!</v>
      </c>
      <c r="M55" s="36" t="e">
        <f t="shared" si="25"/>
        <v>#REF!</v>
      </c>
      <c r="N55" s="10" t="e">
        <f>+#REF!</f>
        <v>#REF!</v>
      </c>
      <c r="O55" s="36" t="e">
        <f t="shared" si="26"/>
        <v>#REF!</v>
      </c>
      <c r="P55" s="10" t="e">
        <f>+#REF!</f>
        <v>#REF!</v>
      </c>
      <c r="Q55" s="36" t="e">
        <f t="shared" si="27"/>
        <v>#REF!</v>
      </c>
      <c r="R55" s="36" t="e">
        <f t="shared" si="28"/>
        <v>#REF!</v>
      </c>
      <c r="S55" s="36" t="e">
        <f t="shared" si="29"/>
        <v>#REF!</v>
      </c>
      <c r="T55" s="10" t="e">
        <f>+#REF!</f>
        <v>#REF!</v>
      </c>
      <c r="U55" s="36" t="e">
        <f t="shared" si="30"/>
        <v>#REF!</v>
      </c>
      <c r="V55" s="36" t="e">
        <f t="shared" si="38"/>
        <v>#REF!</v>
      </c>
      <c r="W55" s="597" t="e">
        <f t="shared" si="31"/>
        <v>#REF!</v>
      </c>
      <c r="X55" s="598" t="e">
        <f t="shared" si="32"/>
        <v>#REF!</v>
      </c>
      <c r="Y55" s="598" t="e">
        <f t="shared" si="33"/>
        <v>#REF!</v>
      </c>
      <c r="Z55" s="598" t="e">
        <f>+(Q55/S55)*0.2</f>
        <v>#REF!</v>
      </c>
      <c r="AA55" s="598" t="e">
        <f>+(Q55/S55)*0.8</f>
        <v>#REF!</v>
      </c>
      <c r="AB55" s="598" t="e">
        <f t="shared" si="12"/>
        <v>#REF!</v>
      </c>
      <c r="AC55" s="599" t="e">
        <f t="shared" si="34"/>
        <v>#REF!</v>
      </c>
      <c r="AD55" s="599" t="e">
        <f t="shared" si="35"/>
        <v>#REF!</v>
      </c>
      <c r="AE55" s="599" t="e">
        <f t="shared" si="39"/>
        <v>#REF!</v>
      </c>
      <c r="AF55" s="599" t="e">
        <f t="shared" si="36"/>
        <v>#REF!</v>
      </c>
      <c r="AG55" s="599" t="e">
        <f t="shared" si="37"/>
        <v>#REF!</v>
      </c>
      <c r="AH55" s="599" t="e">
        <f t="shared" si="18"/>
        <v>#REF!</v>
      </c>
    </row>
    <row r="56" spans="2:39" s="65" customFormat="1" ht="25.5" x14ac:dyDescent="0.25">
      <c r="B56" s="70">
        <v>710.2</v>
      </c>
      <c r="C56" s="8"/>
      <c r="D56" s="8" t="s">
        <v>145</v>
      </c>
      <c r="E56" s="553" t="s">
        <v>148</v>
      </c>
      <c r="F56" s="8" t="s">
        <v>147</v>
      </c>
      <c r="G56" s="36" t="e">
        <f>+P.Detall!#REF!</f>
        <v>#REF!</v>
      </c>
      <c r="H56" s="11" t="e">
        <f>+#REF!</f>
        <v>#REF!</v>
      </c>
      <c r="I56" s="11" t="e">
        <f t="shared" si="23"/>
        <v>#REF!</v>
      </c>
      <c r="J56" s="10" t="e">
        <f>+#REF!</f>
        <v>#REF!</v>
      </c>
      <c r="K56" s="36" t="e">
        <f t="shared" si="24"/>
        <v>#REF!</v>
      </c>
      <c r="L56" s="10" t="e">
        <f>+#REF!</f>
        <v>#REF!</v>
      </c>
      <c r="M56" s="36" t="e">
        <f t="shared" si="25"/>
        <v>#REF!</v>
      </c>
      <c r="N56" s="10" t="e">
        <f>+#REF!</f>
        <v>#REF!</v>
      </c>
      <c r="O56" s="36" t="e">
        <f t="shared" si="26"/>
        <v>#REF!</v>
      </c>
      <c r="P56" s="10" t="e">
        <f>+#REF!</f>
        <v>#REF!</v>
      </c>
      <c r="Q56" s="36" t="e">
        <f t="shared" si="27"/>
        <v>#REF!</v>
      </c>
      <c r="R56" s="36" t="e">
        <f t="shared" si="28"/>
        <v>#REF!</v>
      </c>
      <c r="S56" s="36" t="e">
        <f t="shared" si="29"/>
        <v>#REF!</v>
      </c>
      <c r="T56" s="10" t="e">
        <f>+#REF!</f>
        <v>#REF!</v>
      </c>
      <c r="U56" s="36" t="e">
        <f t="shared" si="30"/>
        <v>#REF!</v>
      </c>
      <c r="V56" s="36" t="e">
        <f t="shared" si="38"/>
        <v>#REF!</v>
      </c>
      <c r="W56" s="597" t="e">
        <f t="shared" si="31"/>
        <v>#REF!</v>
      </c>
      <c r="X56" s="598" t="e">
        <f t="shared" si="32"/>
        <v>#REF!</v>
      </c>
      <c r="Y56" s="598" t="e">
        <f t="shared" si="33"/>
        <v>#REF!</v>
      </c>
      <c r="Z56" s="598" t="e">
        <f>+(Q56/S56)*0.2</f>
        <v>#REF!</v>
      </c>
      <c r="AA56" s="598" t="e">
        <f>+(Q56/S56)*0.8</f>
        <v>#REF!</v>
      </c>
      <c r="AB56" s="598" t="e">
        <f t="shared" si="12"/>
        <v>#REF!</v>
      </c>
      <c r="AC56" s="599" t="e">
        <f t="shared" si="34"/>
        <v>#REF!</v>
      </c>
      <c r="AD56" s="599" t="e">
        <f t="shared" si="35"/>
        <v>#REF!</v>
      </c>
      <c r="AE56" s="599" t="e">
        <f t="shared" si="39"/>
        <v>#REF!</v>
      </c>
      <c r="AF56" s="599" t="e">
        <f t="shared" si="36"/>
        <v>#REF!</v>
      </c>
      <c r="AG56" s="599" t="e">
        <f t="shared" si="37"/>
        <v>#REF!</v>
      </c>
      <c r="AH56" s="599" t="e">
        <f t="shared" si="18"/>
        <v>#REF!</v>
      </c>
    </row>
    <row r="57" spans="2:39" s="65" customFormat="1" x14ac:dyDescent="0.25">
      <c r="B57" s="8" t="s">
        <v>60</v>
      </c>
      <c r="C57" s="8"/>
      <c r="D57" s="8" t="s">
        <v>150</v>
      </c>
      <c r="E57" s="553" t="s">
        <v>61</v>
      </c>
      <c r="F57" s="8" t="s">
        <v>15</v>
      </c>
      <c r="G57" s="36" t="e">
        <f>+P.Detall!#REF!</f>
        <v>#REF!</v>
      </c>
      <c r="H57" s="11" t="e">
        <f>+#REF!</f>
        <v>#REF!</v>
      </c>
      <c r="I57" s="11" t="e">
        <f t="shared" si="23"/>
        <v>#REF!</v>
      </c>
      <c r="J57" s="10" t="e">
        <f>+#REF!</f>
        <v>#REF!</v>
      </c>
      <c r="K57" s="36" t="e">
        <f t="shared" si="24"/>
        <v>#REF!</v>
      </c>
      <c r="L57" s="10" t="e">
        <f>+#REF!</f>
        <v>#REF!</v>
      </c>
      <c r="M57" s="36" t="e">
        <f t="shared" si="25"/>
        <v>#REF!</v>
      </c>
      <c r="N57" s="10" t="e">
        <f>+#REF!</f>
        <v>#REF!</v>
      </c>
      <c r="O57" s="36" t="e">
        <f t="shared" si="26"/>
        <v>#REF!</v>
      </c>
      <c r="P57" s="10" t="e">
        <f>+#REF!</f>
        <v>#REF!</v>
      </c>
      <c r="Q57" s="36" t="e">
        <f t="shared" si="27"/>
        <v>#REF!</v>
      </c>
      <c r="R57" s="36" t="e">
        <f t="shared" si="28"/>
        <v>#REF!</v>
      </c>
      <c r="S57" s="36" t="e">
        <f t="shared" si="29"/>
        <v>#REF!</v>
      </c>
      <c r="T57" s="10" t="e">
        <f>+#REF!</f>
        <v>#REF!</v>
      </c>
      <c r="U57" s="36" t="e">
        <f t="shared" si="30"/>
        <v>#REF!</v>
      </c>
      <c r="V57" s="36" t="e">
        <f t="shared" si="38"/>
        <v>#REF!</v>
      </c>
      <c r="W57" s="597" t="e">
        <f t="shared" si="31"/>
        <v>#REF!</v>
      </c>
      <c r="X57" s="598" t="e">
        <f t="shared" si="32"/>
        <v>#REF!</v>
      </c>
      <c r="Y57" s="598" t="e">
        <f t="shared" si="33"/>
        <v>#REF!</v>
      </c>
      <c r="Z57" s="598" t="e">
        <f>+(Q57/S57)*0.2</f>
        <v>#REF!</v>
      </c>
      <c r="AA57" s="598" t="e">
        <f>+(Q57/S57)*0.8</f>
        <v>#REF!</v>
      </c>
      <c r="AB57" s="598" t="e">
        <f t="shared" si="12"/>
        <v>#REF!</v>
      </c>
      <c r="AC57" s="599" t="e">
        <f t="shared" si="34"/>
        <v>#REF!</v>
      </c>
      <c r="AD57" s="599" t="e">
        <f t="shared" si="35"/>
        <v>#REF!</v>
      </c>
      <c r="AE57" s="599" t="e">
        <f t="shared" si="39"/>
        <v>#REF!</v>
      </c>
      <c r="AF57" s="599" t="e">
        <f t="shared" si="36"/>
        <v>#REF!</v>
      </c>
      <c r="AG57" s="599" t="e">
        <f t="shared" si="37"/>
        <v>#REF!</v>
      </c>
      <c r="AH57" s="599" t="e">
        <f t="shared" si="18"/>
        <v>#REF!</v>
      </c>
    </row>
    <row r="58" spans="2:39" s="65" customFormat="1" x14ac:dyDescent="0.25">
      <c r="B58" s="8" t="s">
        <v>62</v>
      </c>
      <c r="C58" s="8" t="s">
        <v>62</v>
      </c>
      <c r="D58" s="8" t="s">
        <v>150</v>
      </c>
      <c r="E58" s="553" t="s">
        <v>63</v>
      </c>
      <c r="F58" s="8" t="s">
        <v>147</v>
      </c>
      <c r="G58" s="36" t="e">
        <f>+P.Detall!#REF!</f>
        <v>#REF!</v>
      </c>
      <c r="H58" s="11" t="e">
        <f>+#REF!</f>
        <v>#REF!</v>
      </c>
      <c r="I58" s="11" t="e">
        <f t="shared" si="23"/>
        <v>#REF!</v>
      </c>
      <c r="J58" s="10" t="e">
        <f>+#REF!</f>
        <v>#REF!</v>
      </c>
      <c r="K58" s="36" t="e">
        <f t="shared" si="24"/>
        <v>#REF!</v>
      </c>
      <c r="L58" s="10" t="e">
        <f>+#REF!</f>
        <v>#REF!</v>
      </c>
      <c r="M58" s="36" t="e">
        <f t="shared" si="25"/>
        <v>#REF!</v>
      </c>
      <c r="N58" s="10" t="e">
        <f>+#REF!</f>
        <v>#REF!</v>
      </c>
      <c r="O58" s="36" t="e">
        <f t="shared" si="26"/>
        <v>#REF!</v>
      </c>
      <c r="P58" s="10" t="e">
        <f>+#REF!</f>
        <v>#REF!</v>
      </c>
      <c r="Q58" s="36" t="e">
        <f t="shared" si="27"/>
        <v>#REF!</v>
      </c>
      <c r="R58" s="36" t="e">
        <f t="shared" si="28"/>
        <v>#REF!</v>
      </c>
      <c r="S58" s="36" t="e">
        <f t="shared" si="29"/>
        <v>#REF!</v>
      </c>
      <c r="T58" s="10" t="e">
        <f>+#REF!</f>
        <v>#REF!</v>
      </c>
      <c r="U58" s="36" t="e">
        <f t="shared" si="30"/>
        <v>#REF!</v>
      </c>
      <c r="V58" s="36" t="e">
        <f t="shared" si="38"/>
        <v>#REF!</v>
      </c>
      <c r="W58" s="597" t="e">
        <f t="shared" si="31"/>
        <v>#REF!</v>
      </c>
      <c r="X58" s="598" t="e">
        <f t="shared" si="32"/>
        <v>#REF!</v>
      </c>
      <c r="Y58" s="598" t="e">
        <f t="shared" si="33"/>
        <v>#REF!</v>
      </c>
      <c r="Z58" s="598" t="e">
        <f>+(Q58/S58)*0.2</f>
        <v>#REF!</v>
      </c>
      <c r="AA58" s="598" t="e">
        <f>+(Q58/S58)*0.8</f>
        <v>#REF!</v>
      </c>
      <c r="AB58" s="598" t="e">
        <f t="shared" si="12"/>
        <v>#REF!</v>
      </c>
      <c r="AC58" s="599" t="e">
        <f t="shared" si="34"/>
        <v>#REF!</v>
      </c>
      <c r="AD58" s="599" t="e">
        <f t="shared" si="35"/>
        <v>#REF!</v>
      </c>
      <c r="AE58" s="599" t="e">
        <f t="shared" si="39"/>
        <v>#REF!</v>
      </c>
      <c r="AF58" s="599" t="e">
        <f t="shared" si="36"/>
        <v>#REF!</v>
      </c>
      <c r="AG58" s="599" t="e">
        <f t="shared" si="37"/>
        <v>#REF!</v>
      </c>
      <c r="AH58" s="599" t="e">
        <f t="shared" si="18"/>
        <v>#REF!</v>
      </c>
    </row>
    <row r="59" spans="2:39" s="65" customFormat="1" x14ac:dyDescent="0.25">
      <c r="B59" s="8" t="s">
        <v>64</v>
      </c>
      <c r="C59" s="8" t="s">
        <v>64</v>
      </c>
      <c r="D59" s="8" t="s">
        <v>65</v>
      </c>
      <c r="E59" s="553" t="s">
        <v>66</v>
      </c>
      <c r="F59" s="8" t="s">
        <v>147</v>
      </c>
      <c r="G59" s="36" t="e">
        <f>+P.Detall!#REF!</f>
        <v>#REF!</v>
      </c>
      <c r="H59" s="11" t="e">
        <f>+#REF!</f>
        <v>#REF!</v>
      </c>
      <c r="I59" s="11" t="e">
        <f t="shared" si="23"/>
        <v>#REF!</v>
      </c>
      <c r="J59" s="10" t="e">
        <f>+#REF!</f>
        <v>#REF!</v>
      </c>
      <c r="K59" s="36" t="e">
        <f t="shared" si="24"/>
        <v>#REF!</v>
      </c>
      <c r="L59" s="10" t="e">
        <f>+#REF!</f>
        <v>#REF!</v>
      </c>
      <c r="M59" s="36" t="e">
        <f t="shared" si="25"/>
        <v>#REF!</v>
      </c>
      <c r="N59" s="10" t="e">
        <f>+#REF!</f>
        <v>#REF!</v>
      </c>
      <c r="O59" s="36" t="e">
        <f t="shared" si="26"/>
        <v>#REF!</v>
      </c>
      <c r="P59" s="10" t="e">
        <f>+#REF!</f>
        <v>#REF!</v>
      </c>
      <c r="Q59" s="36" t="e">
        <f t="shared" si="27"/>
        <v>#REF!</v>
      </c>
      <c r="R59" s="36" t="e">
        <f t="shared" si="28"/>
        <v>#REF!</v>
      </c>
      <c r="S59" s="36" t="e">
        <f t="shared" si="29"/>
        <v>#REF!</v>
      </c>
      <c r="T59" s="10" t="e">
        <f>+#REF!</f>
        <v>#REF!</v>
      </c>
      <c r="U59" s="36" t="e">
        <f t="shared" si="30"/>
        <v>#REF!</v>
      </c>
      <c r="V59" s="36" t="e">
        <f t="shared" si="38"/>
        <v>#REF!</v>
      </c>
      <c r="W59" s="597" t="e">
        <f t="shared" si="31"/>
        <v>#REF!</v>
      </c>
      <c r="X59" s="598" t="e">
        <f t="shared" si="32"/>
        <v>#REF!</v>
      </c>
      <c r="Y59" s="598" t="e">
        <f t="shared" si="33"/>
        <v>#REF!</v>
      </c>
      <c r="Z59" s="598" t="e">
        <f>+(Q59/S59)*0.2</f>
        <v>#REF!</v>
      </c>
      <c r="AA59" s="598" t="e">
        <f>+(Q59/S59)*0.8</f>
        <v>#REF!</v>
      </c>
      <c r="AB59" s="598" t="e">
        <f t="shared" si="12"/>
        <v>#REF!</v>
      </c>
      <c r="AC59" s="599" t="e">
        <f t="shared" si="34"/>
        <v>#REF!</v>
      </c>
      <c r="AD59" s="599" t="e">
        <f t="shared" si="35"/>
        <v>#REF!</v>
      </c>
      <c r="AE59" s="599" t="e">
        <f t="shared" si="39"/>
        <v>#REF!</v>
      </c>
      <c r="AF59" s="599" t="e">
        <f t="shared" si="36"/>
        <v>#REF!</v>
      </c>
      <c r="AG59" s="599" t="e">
        <f t="shared" si="37"/>
        <v>#REF!</v>
      </c>
      <c r="AH59" s="599" t="e">
        <f t="shared" si="18"/>
        <v>#REF!</v>
      </c>
    </row>
    <row r="60" spans="2:39" ht="24.75" customHeight="1" x14ac:dyDescent="0.25">
      <c r="B60" s="73"/>
      <c r="C60" s="73"/>
      <c r="D60" s="73"/>
      <c r="E60" s="74"/>
      <c r="F60" s="73"/>
      <c r="G60" s="1185" t="s">
        <v>153</v>
      </c>
      <c r="H60" s="1186"/>
      <c r="I60" s="69" t="e">
        <f>+SUM(I52:I59)</f>
        <v>#REF!</v>
      </c>
      <c r="K60" s="69" t="e">
        <f>+SUM(K52:K59)</f>
        <v>#REF!</v>
      </c>
      <c r="M60" s="69" t="e">
        <f>+SUM(M52:M59)</f>
        <v>#REF!</v>
      </c>
      <c r="O60" s="69" t="e">
        <f>+SUM(O52:O59)</f>
        <v>#REF!</v>
      </c>
      <c r="Q60" s="69" t="e">
        <f>+SUM(Q52:Q59)</f>
        <v>#REF!</v>
      </c>
      <c r="S60" s="69" t="e">
        <f>+SUM(S52:S59)</f>
        <v>#REF!</v>
      </c>
      <c r="U60" s="69" t="e">
        <f>+SUM(U52:U59)</f>
        <v>#REF!</v>
      </c>
      <c r="W60" s="600" t="e">
        <f>+K60/S60</f>
        <v>#REF!</v>
      </c>
      <c r="X60" s="606" t="e">
        <f>+M60/S60</f>
        <v>#REF!</v>
      </c>
      <c r="Y60" s="606" t="e">
        <f>+O60/S60</f>
        <v>#REF!</v>
      </c>
      <c r="Z60" s="602" t="e">
        <f>+(SUM(Z52:Z59)*((Q60/S60)))/SUM(Z52:AA59)</f>
        <v>#REF!</v>
      </c>
      <c r="AA60" s="602" t="e">
        <f>+(SUM(AA52:AA59)*((Q60/S60)))/SUM(Z52:AA59)</f>
        <v>#REF!</v>
      </c>
      <c r="AB60" s="606" t="e">
        <f t="shared" si="12"/>
        <v>#REF!</v>
      </c>
      <c r="AC60" s="607" t="e">
        <f t="shared" ref="AC60:AH60" si="40">+SUM(AC52:AC59)</f>
        <v>#REF!</v>
      </c>
      <c r="AD60" s="607" t="e">
        <f t="shared" si="40"/>
        <v>#REF!</v>
      </c>
      <c r="AE60" s="607" t="e">
        <f t="shared" si="40"/>
        <v>#REF!</v>
      </c>
      <c r="AF60" s="607" t="e">
        <f t="shared" si="40"/>
        <v>#REF!</v>
      </c>
      <c r="AG60" s="607" t="e">
        <f t="shared" si="40"/>
        <v>#REF!</v>
      </c>
      <c r="AH60" s="607" t="e">
        <f t="shared" si="40"/>
        <v>#REF!</v>
      </c>
      <c r="AI60">
        <v>11522176.103759579</v>
      </c>
      <c r="AJ60">
        <v>715183598.84452629</v>
      </c>
      <c r="AK60">
        <v>0</v>
      </c>
      <c r="AL60">
        <v>4452781.4727641875</v>
      </c>
      <c r="AM60">
        <v>14515412.5789499</v>
      </c>
    </row>
    <row r="61" spans="2:39" x14ac:dyDescent="0.25">
      <c r="B61" s="77"/>
      <c r="C61" s="77"/>
      <c r="D61" s="77"/>
      <c r="E61" s="81" t="s">
        <v>154</v>
      </c>
      <c r="F61" s="77"/>
      <c r="G61" s="79"/>
      <c r="H61" s="80"/>
      <c r="I61" s="80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604"/>
      <c r="X61" s="604"/>
      <c r="Y61" s="604"/>
      <c r="Z61" s="604"/>
      <c r="AA61" s="604"/>
      <c r="AB61" s="604"/>
      <c r="AC61" s="604"/>
      <c r="AD61" s="604"/>
      <c r="AE61" s="604"/>
      <c r="AF61" s="604"/>
      <c r="AG61" s="604"/>
      <c r="AH61" s="605"/>
    </row>
    <row r="62" spans="2:39" s="65" customFormat="1" x14ac:dyDescent="0.25">
      <c r="B62" s="8" t="s">
        <v>155</v>
      </c>
      <c r="C62" s="8"/>
      <c r="D62" s="8" t="s">
        <v>156</v>
      </c>
      <c r="E62" s="553" t="s">
        <v>157</v>
      </c>
      <c r="F62" s="8" t="s">
        <v>15</v>
      </c>
      <c r="G62" s="36" t="e">
        <f>+P.Detall!#REF!</f>
        <v>#REF!</v>
      </c>
      <c r="H62" s="11" t="e">
        <f>+#REF!</f>
        <v>#REF!</v>
      </c>
      <c r="I62" s="11" t="e">
        <f>ROUND(H62*G62,0)</f>
        <v>#REF!</v>
      </c>
      <c r="J62" s="59" t="e">
        <f>+#REF!</f>
        <v>#REF!</v>
      </c>
      <c r="K62" s="36" t="e">
        <f>+J62*G62</f>
        <v>#REF!</v>
      </c>
      <c r="L62" s="59" t="e">
        <f>+#REF!</f>
        <v>#REF!</v>
      </c>
      <c r="M62" s="36" t="e">
        <f>+L62*G62</f>
        <v>#REF!</v>
      </c>
      <c r="N62" s="59" t="e">
        <f>+#REF!</f>
        <v>#REF!</v>
      </c>
      <c r="O62" s="36" t="e">
        <f>+N62*G62</f>
        <v>#REF!</v>
      </c>
      <c r="P62" s="59" t="e">
        <f>+#REF!</f>
        <v>#REF!</v>
      </c>
      <c r="Q62" s="36" t="e">
        <f>+P62*G62</f>
        <v>#REF!</v>
      </c>
      <c r="R62" s="36" t="e">
        <f>+J62+L62+N62+P62</f>
        <v>#REF!</v>
      </c>
      <c r="S62" s="36" t="e">
        <f>+R62*G62</f>
        <v>#REF!</v>
      </c>
      <c r="T62" s="59" t="e">
        <f>+#REF!</f>
        <v>#REF!</v>
      </c>
      <c r="U62" s="36" t="e">
        <f>+T62*G62</f>
        <v>#REF!</v>
      </c>
      <c r="V62" s="36" t="e">
        <f>+J62+L62+N62+P62+T62</f>
        <v>#REF!</v>
      </c>
      <c r="W62" s="597" t="e">
        <f>+K62/S62</f>
        <v>#REF!</v>
      </c>
      <c r="X62" s="598" t="e">
        <f>+M62/S62</f>
        <v>#REF!</v>
      </c>
      <c r="Y62" s="598" t="e">
        <f>+O62/S62</f>
        <v>#REF!</v>
      </c>
      <c r="Z62" s="598" t="e">
        <f>+(Q62/S62)*0.2</f>
        <v>#REF!</v>
      </c>
      <c r="AA62" s="598" t="e">
        <f>+(Q62/S62)*0.8</f>
        <v>#REF!</v>
      </c>
      <c r="AB62" s="598" t="e">
        <f t="shared" si="12"/>
        <v>#REF!</v>
      </c>
      <c r="AC62" s="637" t="e">
        <f>+W62*I62</f>
        <v>#REF!</v>
      </c>
      <c r="AD62" s="637" t="e">
        <f>+X62*I62</f>
        <v>#REF!</v>
      </c>
      <c r="AE62" s="637" t="e">
        <f>+Y62*I62</f>
        <v>#REF!</v>
      </c>
      <c r="AF62" s="637" t="e">
        <f>+Z62*I62</f>
        <v>#REF!</v>
      </c>
      <c r="AG62" s="637" t="e">
        <f>+AA62*I62</f>
        <v>#REF!</v>
      </c>
      <c r="AH62" s="637" t="e">
        <f t="shared" si="18"/>
        <v>#REF!</v>
      </c>
    </row>
    <row r="63" spans="2:39" x14ac:dyDescent="0.25">
      <c r="B63" s="8" t="s">
        <v>159</v>
      </c>
      <c r="C63" s="8"/>
      <c r="D63" s="8" t="s">
        <v>160</v>
      </c>
      <c r="E63" s="553" t="s">
        <v>158</v>
      </c>
      <c r="F63" s="8" t="s">
        <v>23</v>
      </c>
      <c r="G63" s="36" t="e">
        <f>+P.Detall!#REF!</f>
        <v>#REF!</v>
      </c>
      <c r="H63" s="11" t="e">
        <f>+#REF!</f>
        <v>#REF!</v>
      </c>
      <c r="I63" s="11" t="e">
        <f>ROUND(H63*G63,0)</f>
        <v>#REF!</v>
      </c>
      <c r="J63" s="59" t="e">
        <f>+#REF!</f>
        <v>#REF!</v>
      </c>
      <c r="K63" s="36" t="e">
        <f>+J63*G63</f>
        <v>#REF!</v>
      </c>
      <c r="L63" s="59" t="e">
        <f>+#REF!</f>
        <v>#REF!</v>
      </c>
      <c r="M63" s="36" t="e">
        <f>+L63*G63</f>
        <v>#REF!</v>
      </c>
      <c r="N63" s="59" t="e">
        <f>+#REF!</f>
        <v>#REF!</v>
      </c>
      <c r="O63" s="36" t="e">
        <f>+N63*G63</f>
        <v>#REF!</v>
      </c>
      <c r="P63" s="59" t="e">
        <f>+#REF!</f>
        <v>#REF!</v>
      </c>
      <c r="Q63" s="36" t="e">
        <f>+P63*G63</f>
        <v>#REF!</v>
      </c>
      <c r="R63" s="36" t="e">
        <f>+J63+L63+N63+P63</f>
        <v>#REF!</v>
      </c>
      <c r="S63" s="36" t="e">
        <f>+R63*G63</f>
        <v>#REF!</v>
      </c>
      <c r="T63" s="59" t="e">
        <f>+#REF!</f>
        <v>#REF!</v>
      </c>
      <c r="U63" s="36" t="e">
        <f>+T63*G63</f>
        <v>#REF!</v>
      </c>
      <c r="V63" s="36" t="e">
        <f>+J63+L63+N63+P63+T63</f>
        <v>#REF!</v>
      </c>
      <c r="W63" s="597" t="e">
        <f>+K63/S63</f>
        <v>#REF!</v>
      </c>
      <c r="X63" s="598" t="e">
        <f>+M63/S63</f>
        <v>#REF!</v>
      </c>
      <c r="Y63" s="598" t="e">
        <f>+O63/S63</f>
        <v>#REF!</v>
      </c>
      <c r="Z63" s="598" t="e">
        <f>+(Q63/S63)*0.8</f>
        <v>#REF!</v>
      </c>
      <c r="AA63" s="598" t="e">
        <f>+(Q63/S63)*0.2</f>
        <v>#REF!</v>
      </c>
      <c r="AB63" s="598" t="e">
        <f t="shared" si="12"/>
        <v>#REF!</v>
      </c>
      <c r="AC63" s="637" t="e">
        <f>+W63*I63</f>
        <v>#REF!</v>
      </c>
      <c r="AD63" s="637" t="e">
        <f>+X63*I63</f>
        <v>#REF!</v>
      </c>
      <c r="AE63" s="637" t="e">
        <f>+Y63*I63</f>
        <v>#REF!</v>
      </c>
      <c r="AF63" s="637" t="e">
        <f>+Z63*I63</f>
        <v>#REF!</v>
      </c>
      <c r="AG63" s="637" t="e">
        <f>+AA63*I63</f>
        <v>#REF!</v>
      </c>
      <c r="AH63" s="637" t="e">
        <f t="shared" si="18"/>
        <v>#REF!</v>
      </c>
    </row>
    <row r="64" spans="2:39" ht="24.75" customHeight="1" x14ac:dyDescent="0.25">
      <c r="B64" s="42"/>
      <c r="C64" s="42"/>
      <c r="D64" s="42"/>
      <c r="E64" s="43"/>
      <c r="F64" s="42"/>
      <c r="G64" s="1187" t="s">
        <v>161</v>
      </c>
      <c r="H64" s="1188"/>
      <c r="I64" s="72" t="e">
        <f>+SUM(I62:I63)</f>
        <v>#REF!</v>
      </c>
      <c r="K64" s="72" t="e">
        <f>+SUM(K62:K63)</f>
        <v>#REF!</v>
      </c>
      <c r="M64" s="72" t="e">
        <f>+SUM(M62:M63)</f>
        <v>#REF!</v>
      </c>
      <c r="O64" s="72" t="e">
        <f>+SUM(O62:O63)</f>
        <v>#REF!</v>
      </c>
      <c r="Q64" s="72" t="e">
        <f>+SUM(Q62:Q63)</f>
        <v>#REF!</v>
      </c>
      <c r="S64" s="72" t="e">
        <f>+SUM(S62:S63)</f>
        <v>#REF!</v>
      </c>
      <c r="U64" s="72" t="e">
        <f>+SUM(U62:U63)</f>
        <v>#REF!</v>
      </c>
      <c r="W64" s="600" t="e">
        <f>+K64/S64</f>
        <v>#REF!</v>
      </c>
      <c r="X64" s="606" t="e">
        <f>+M64/S64</f>
        <v>#REF!</v>
      </c>
      <c r="Y64" s="606" t="e">
        <f>+O64/S64</f>
        <v>#REF!</v>
      </c>
      <c r="Z64" s="602" t="e">
        <f>+(SUM(Z62:Z63)*((Q64/S64)))/SUM(Z62:AA63)</f>
        <v>#REF!</v>
      </c>
      <c r="AA64" s="602" t="e">
        <f>+(SUM(AA62:AA63)*((Q64/S64)))/SUM(Z62:AA63)</f>
        <v>#REF!</v>
      </c>
      <c r="AB64" s="606" t="e">
        <f t="shared" si="12"/>
        <v>#REF!</v>
      </c>
      <c r="AC64" s="639" t="e">
        <f t="shared" ref="AC64:AH64" si="41">+SUM(AC62:AC63)</f>
        <v>#REF!</v>
      </c>
      <c r="AD64" s="639" t="e">
        <f t="shared" si="41"/>
        <v>#REF!</v>
      </c>
      <c r="AE64" s="639" t="e">
        <f t="shared" si="41"/>
        <v>#REF!</v>
      </c>
      <c r="AF64" s="639" t="e">
        <f t="shared" si="41"/>
        <v>#REF!</v>
      </c>
      <c r="AG64" s="639" t="e">
        <f t="shared" si="41"/>
        <v>#REF!</v>
      </c>
      <c r="AH64" s="639" t="e">
        <f t="shared" si="41"/>
        <v>#REF!</v>
      </c>
      <c r="AI64">
        <v>2993476.1887254314</v>
      </c>
      <c r="AJ64">
        <v>243207432.8241969</v>
      </c>
      <c r="AK64">
        <v>0</v>
      </c>
      <c r="AL64">
        <v>19884511.241312549</v>
      </c>
      <c r="AM64">
        <v>10027699.745765101</v>
      </c>
    </row>
    <row r="65" spans="2:39" x14ac:dyDescent="0.25">
      <c r="B65" s="5"/>
      <c r="C65" s="5"/>
      <c r="D65" s="5"/>
      <c r="E65" s="6" t="s">
        <v>162</v>
      </c>
      <c r="F65" s="5"/>
      <c r="G65" s="12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604"/>
      <c r="X65" s="604"/>
      <c r="Y65" s="604"/>
      <c r="Z65" s="604"/>
      <c r="AA65" s="604"/>
      <c r="AB65" s="604"/>
      <c r="AC65" s="640"/>
      <c r="AD65" s="640"/>
      <c r="AE65" s="640"/>
      <c r="AF65" s="640"/>
      <c r="AG65" s="640"/>
      <c r="AH65" s="641"/>
    </row>
    <row r="66" spans="2:39" s="65" customFormat="1" x14ac:dyDescent="0.25">
      <c r="B66" s="8" t="s">
        <v>164</v>
      </c>
      <c r="C66" s="8"/>
      <c r="D66" s="8" t="s">
        <v>164</v>
      </c>
      <c r="E66" s="553" t="s">
        <v>163</v>
      </c>
      <c r="F66" s="8" t="s">
        <v>18</v>
      </c>
      <c r="G66" s="36">
        <f>+P.Detall!G79</f>
        <v>1339</v>
      </c>
      <c r="H66" s="11">
        <f>+'P1'!I55</f>
        <v>3335</v>
      </c>
      <c r="I66" s="11">
        <f>ROUND(H66*G66,0)</f>
        <v>4465565</v>
      </c>
      <c r="J66" s="59">
        <f>+'P1'!I19</f>
        <v>2315</v>
      </c>
      <c r="K66" s="36">
        <f>+J66*G66</f>
        <v>3099785</v>
      </c>
      <c r="L66" s="59">
        <f>+'P1'!I29</f>
        <v>0</v>
      </c>
      <c r="M66" s="36">
        <f>+L66*G66</f>
        <v>0</v>
      </c>
      <c r="N66" s="59">
        <f>+'P1'!I36</f>
        <v>0</v>
      </c>
      <c r="O66" s="36">
        <f>+N66*G66</f>
        <v>0</v>
      </c>
      <c r="P66" s="59">
        <f>+'P1'!I45</f>
        <v>250</v>
      </c>
      <c r="Q66" s="36">
        <f>+P66*G66</f>
        <v>334750</v>
      </c>
      <c r="R66" s="36">
        <f>+J66+L66+N66+P66</f>
        <v>2565</v>
      </c>
      <c r="S66" s="36">
        <f>+R66*G66</f>
        <v>3434535</v>
      </c>
      <c r="T66" s="59">
        <f>+'P1'!I53</f>
        <v>770</v>
      </c>
      <c r="U66" s="36">
        <f>+T66*G66</f>
        <v>1031030</v>
      </c>
      <c r="V66" s="36">
        <f>+J66+L66+N66+P66+T66</f>
        <v>3335</v>
      </c>
      <c r="W66" s="597">
        <f>+K66/S66</f>
        <v>0.90253411306042886</v>
      </c>
      <c r="X66" s="598">
        <f>+M66/S66</f>
        <v>0</v>
      </c>
      <c r="Y66" s="598">
        <f>+O66/S66</f>
        <v>0</v>
      </c>
      <c r="Z66" s="598">
        <f>+(Q66/S66)*0.2</f>
        <v>1.9493177387914229E-2</v>
      </c>
      <c r="AA66" s="598">
        <f>+(Q66/S66)*0.8</f>
        <v>7.7972709551656916E-2</v>
      </c>
      <c r="AB66" s="598">
        <f t="shared" si="12"/>
        <v>1</v>
      </c>
      <c r="AC66" s="637">
        <f>+W66*I66</f>
        <v>4030324.7465886939</v>
      </c>
      <c r="AD66" s="637">
        <f>+X66*I66</f>
        <v>0</v>
      </c>
      <c r="AE66" s="637">
        <f>+Y66*I66</f>
        <v>0</v>
      </c>
      <c r="AF66" s="637">
        <f>+Z66*I66</f>
        <v>87048.050682261208</v>
      </c>
      <c r="AG66" s="637">
        <f>+AA66*I66</f>
        <v>348192.20272904483</v>
      </c>
      <c r="AH66" s="637">
        <f t="shared" si="18"/>
        <v>4465565</v>
      </c>
    </row>
    <row r="67" spans="2:39" s="65" customFormat="1" ht="25.5" x14ac:dyDescent="0.25">
      <c r="B67" s="8"/>
      <c r="C67" s="8"/>
      <c r="D67" s="8" t="s">
        <v>796</v>
      </c>
      <c r="E67" s="553" t="s">
        <v>795</v>
      </c>
      <c r="F67" s="8" t="s">
        <v>15</v>
      </c>
      <c r="G67" s="36" t="e">
        <f>+P.Detall!#REF!</f>
        <v>#REF!</v>
      </c>
      <c r="H67" s="11" t="e">
        <f>+#REF!</f>
        <v>#REF!</v>
      </c>
      <c r="I67" s="11" t="e">
        <f>ROUND(H67*G67,0)</f>
        <v>#REF!</v>
      </c>
      <c r="J67" s="59" t="e">
        <f>+#REF!</f>
        <v>#REF!</v>
      </c>
      <c r="K67" s="36" t="e">
        <f>+J67*G67</f>
        <v>#REF!</v>
      </c>
      <c r="L67" s="59" t="e">
        <f>+#REF!</f>
        <v>#REF!</v>
      </c>
      <c r="M67" s="36" t="e">
        <f>+L67*G67</f>
        <v>#REF!</v>
      </c>
      <c r="N67" s="59" t="e">
        <f>+#REF!</f>
        <v>#REF!</v>
      </c>
      <c r="O67" s="36" t="e">
        <f>+N67*G67</f>
        <v>#REF!</v>
      </c>
      <c r="P67" s="59" t="e">
        <f>+#REF!</f>
        <v>#REF!</v>
      </c>
      <c r="Q67" s="36" t="e">
        <f>+P67*G67</f>
        <v>#REF!</v>
      </c>
      <c r="R67" s="36" t="e">
        <f>+J67+L67+N67+P67</f>
        <v>#REF!</v>
      </c>
      <c r="S67" s="36" t="e">
        <f>+R67*G67</f>
        <v>#REF!</v>
      </c>
      <c r="T67" s="59" t="e">
        <f>+#REF!</f>
        <v>#REF!</v>
      </c>
      <c r="U67" s="36" t="e">
        <f>+T67*G67</f>
        <v>#REF!</v>
      </c>
      <c r="V67" s="36" t="e">
        <f>+J67+L67+N67+P67+T67</f>
        <v>#REF!</v>
      </c>
      <c r="W67" s="597" t="e">
        <f>+K67/S67</f>
        <v>#REF!</v>
      </c>
      <c r="X67" s="598" t="e">
        <f>+M67/S67</f>
        <v>#REF!</v>
      </c>
      <c r="Y67" s="598" t="e">
        <f>+O67/S67</f>
        <v>#REF!</v>
      </c>
      <c r="Z67" s="598" t="e">
        <f>+(Q67/S67)*0.8</f>
        <v>#REF!</v>
      </c>
      <c r="AA67" s="598" t="e">
        <f>+(Q67/S67)*0.2</f>
        <v>#REF!</v>
      </c>
      <c r="AB67" s="598" t="e">
        <f t="shared" si="12"/>
        <v>#REF!</v>
      </c>
      <c r="AC67" s="637">
        <v>0</v>
      </c>
      <c r="AD67" s="637">
        <v>0</v>
      </c>
      <c r="AE67" s="637">
        <v>0</v>
      </c>
      <c r="AF67" s="637">
        <v>0</v>
      </c>
      <c r="AG67" s="637">
        <v>0</v>
      </c>
      <c r="AH67" s="637">
        <f t="shared" si="18"/>
        <v>0</v>
      </c>
    </row>
    <row r="68" spans="2:39" ht="52.5" customHeight="1" x14ac:dyDescent="0.25">
      <c r="B68" s="42"/>
      <c r="C68" s="42"/>
      <c r="D68" s="42"/>
      <c r="E68" s="43"/>
      <c r="F68" s="42"/>
      <c r="G68" s="1187" t="s">
        <v>166</v>
      </c>
      <c r="H68" s="1188"/>
      <c r="I68" s="72" t="e">
        <f>+SUM(I66:I67)</f>
        <v>#REF!</v>
      </c>
      <c r="K68" s="72" t="e">
        <f>+SUM(K66:K67)</f>
        <v>#REF!</v>
      </c>
      <c r="M68" s="72" t="e">
        <f>+SUM(M66:M67)</f>
        <v>#REF!</v>
      </c>
      <c r="O68" s="72" t="e">
        <f>+SUM(O66:O67)</f>
        <v>#REF!</v>
      </c>
      <c r="Q68" s="72" t="e">
        <f>+SUM(Q66:Q67)</f>
        <v>#REF!</v>
      </c>
      <c r="S68" s="72" t="e">
        <f>+SUM(S66:S67)</f>
        <v>#REF!</v>
      </c>
      <c r="U68" s="72" t="e">
        <f>+SUM(U66:U67)</f>
        <v>#REF!</v>
      </c>
      <c r="W68" s="600" t="e">
        <f>+K68/S68</f>
        <v>#REF!</v>
      </c>
      <c r="X68" s="606" t="e">
        <f>+M68/S68</f>
        <v>#REF!</v>
      </c>
      <c r="Y68" s="606" t="e">
        <f>+O68/S68</f>
        <v>#REF!</v>
      </c>
      <c r="Z68" s="602" t="e">
        <f>+(SUM(Z66:Z67)*((Q68/S68)))/SUM(Z66:AA67)</f>
        <v>#REF!</v>
      </c>
      <c r="AA68" s="602" t="e">
        <f>+(SUM(AA66:AA67)*((Q68/S68)))/SUM(Z66:AA67)</f>
        <v>#REF!</v>
      </c>
      <c r="AB68" s="606" t="e">
        <f t="shared" si="12"/>
        <v>#REF!</v>
      </c>
      <c r="AC68" s="639">
        <f t="shared" ref="AC68:AH68" si="42">+SUM(AC66:AC67)</f>
        <v>4030324.7465886939</v>
      </c>
      <c r="AD68" s="639">
        <f t="shared" si="42"/>
        <v>0</v>
      </c>
      <c r="AE68" s="639">
        <f t="shared" si="42"/>
        <v>0</v>
      </c>
      <c r="AF68" s="639">
        <f t="shared" si="42"/>
        <v>87048.050682261208</v>
      </c>
      <c r="AG68" s="639">
        <f t="shared" si="42"/>
        <v>348192.20272904483</v>
      </c>
      <c r="AH68" s="639">
        <f t="shared" si="42"/>
        <v>4465565</v>
      </c>
      <c r="AI68">
        <v>164989524.74274194</v>
      </c>
      <c r="AJ68">
        <v>0</v>
      </c>
      <c r="AK68">
        <v>0</v>
      </c>
      <c r="AL68">
        <v>3551806.6514516138</v>
      </c>
      <c r="AM68">
        <v>14207226.605806455</v>
      </c>
    </row>
    <row r="69" spans="2:39" x14ac:dyDescent="0.25">
      <c r="B69" s="77"/>
      <c r="C69" s="77"/>
      <c r="D69" s="77"/>
      <c r="E69" s="81" t="s">
        <v>167</v>
      </c>
      <c r="F69" s="77"/>
      <c r="G69" s="79"/>
      <c r="H69" s="80"/>
      <c r="I69" s="80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604"/>
      <c r="X69" s="604"/>
      <c r="Y69" s="604"/>
      <c r="Z69" s="604"/>
      <c r="AA69" s="604"/>
      <c r="AB69" s="604"/>
      <c r="AC69" s="640"/>
      <c r="AD69" s="640"/>
      <c r="AE69" s="640"/>
      <c r="AF69" s="640"/>
      <c r="AG69" s="640"/>
      <c r="AH69" s="641"/>
    </row>
    <row r="70" spans="2:39" ht="38.25" x14ac:dyDescent="0.25">
      <c r="B70" s="8" t="s">
        <v>171</v>
      </c>
      <c r="C70" s="8" t="s">
        <v>67</v>
      </c>
      <c r="D70" s="8" t="s">
        <v>172</v>
      </c>
      <c r="E70" s="553" t="s">
        <v>173</v>
      </c>
      <c r="F70" s="8" t="s">
        <v>174</v>
      </c>
      <c r="G70" s="36">
        <f>+P.Detall!G84</f>
        <v>363</v>
      </c>
      <c r="H70" s="11">
        <f>+P.Detall!H84</f>
        <v>1412</v>
      </c>
      <c r="I70" s="11">
        <f>ROUND(H70*G70,0)</f>
        <v>512556</v>
      </c>
      <c r="J70" s="741">
        <f>+P.Detall!J84</f>
        <v>1086</v>
      </c>
      <c r="K70" s="36">
        <f>+J70*G70</f>
        <v>394218</v>
      </c>
      <c r="L70" s="741">
        <f>+P.Detall!L84</f>
        <v>0</v>
      </c>
      <c r="M70" s="36">
        <f>+L70*G70</f>
        <v>0</v>
      </c>
      <c r="N70" s="741">
        <f>+P.Detall!N84</f>
        <v>0</v>
      </c>
      <c r="O70" s="36">
        <f>+N70*G70</f>
        <v>0</v>
      </c>
      <c r="P70" s="741">
        <f>+P.Detall!P84</f>
        <v>0</v>
      </c>
      <c r="Q70" s="36">
        <f>+P70*G70</f>
        <v>0</v>
      </c>
      <c r="R70" s="741">
        <f>+P.Detall!R84</f>
        <v>1086</v>
      </c>
      <c r="S70" s="36">
        <f>+R70*G70</f>
        <v>394218</v>
      </c>
      <c r="T70" s="741">
        <f>+P.Detall!T84</f>
        <v>326</v>
      </c>
      <c r="U70" s="36">
        <f>+T70*G70</f>
        <v>118338</v>
      </c>
      <c r="V70" s="36">
        <f>+J70+L70+N70+P70+T70</f>
        <v>1412</v>
      </c>
      <c r="W70" s="597">
        <f>+K70/S70</f>
        <v>1</v>
      </c>
      <c r="X70" s="598">
        <f>+M70/S70</f>
        <v>0</v>
      </c>
      <c r="Y70" s="598">
        <f>+O70/S70</f>
        <v>0</v>
      </c>
      <c r="Z70" s="598">
        <f>+(Q70/S70)*0</f>
        <v>0</v>
      </c>
      <c r="AA70" s="598">
        <f>+(Q70/S70)*0</f>
        <v>0</v>
      </c>
      <c r="AB70" s="598">
        <f>+SUM(W70:AA70)</f>
        <v>1</v>
      </c>
      <c r="AC70" s="637">
        <f>+W70*I70</f>
        <v>512556</v>
      </c>
      <c r="AD70" s="637">
        <f>+X70*I70</f>
        <v>0</v>
      </c>
      <c r="AE70" s="637">
        <f>+Y70*I70</f>
        <v>0</v>
      </c>
      <c r="AF70" s="637">
        <f>+Z70*I70</f>
        <v>0</v>
      </c>
      <c r="AG70" s="637">
        <f>+AA70*I70</f>
        <v>0</v>
      </c>
      <c r="AH70" s="637">
        <f t="shared" ref="AH70" si="43">+SUM(AC70:AG70)</f>
        <v>512556</v>
      </c>
    </row>
    <row r="71" spans="2:39" x14ac:dyDescent="0.25">
      <c r="B71" s="8"/>
      <c r="C71" s="8"/>
      <c r="D71" s="8"/>
      <c r="E71" s="553"/>
      <c r="F71" s="8"/>
      <c r="G71" s="36"/>
      <c r="H71" s="11"/>
      <c r="I71" s="11"/>
      <c r="J71" s="59"/>
      <c r="K71" s="36"/>
      <c r="L71" s="59"/>
      <c r="M71" s="36"/>
      <c r="N71" s="59"/>
      <c r="O71" s="36"/>
      <c r="P71" s="59"/>
      <c r="Q71" s="36"/>
      <c r="R71" s="36"/>
      <c r="S71" s="36"/>
      <c r="T71" s="59"/>
      <c r="U71" s="36"/>
      <c r="V71" s="36"/>
      <c r="W71" s="597"/>
      <c r="X71" s="598"/>
      <c r="Y71" s="598"/>
      <c r="Z71" s="598"/>
      <c r="AA71" s="598"/>
      <c r="AB71" s="598"/>
      <c r="AC71" s="637"/>
      <c r="AD71" s="637"/>
      <c r="AE71" s="637"/>
      <c r="AF71" s="637"/>
      <c r="AG71" s="637"/>
      <c r="AH71" s="637"/>
    </row>
    <row r="72" spans="2:39" x14ac:dyDescent="0.25">
      <c r="B72" s="8"/>
      <c r="C72" s="8"/>
      <c r="D72" s="8"/>
      <c r="E72" s="553"/>
      <c r="F72" s="8"/>
      <c r="G72" s="36"/>
      <c r="H72" s="11"/>
      <c r="I72" s="11"/>
      <c r="J72" s="59"/>
      <c r="K72" s="36"/>
      <c r="L72" s="59"/>
      <c r="M72" s="36"/>
      <c r="N72" s="59"/>
      <c r="O72" s="36"/>
      <c r="P72" s="59"/>
      <c r="Q72" s="36"/>
      <c r="R72" s="36"/>
      <c r="S72" s="36"/>
      <c r="T72" s="59"/>
      <c r="U72" s="36"/>
      <c r="V72" s="36"/>
      <c r="W72" s="597"/>
      <c r="X72" s="598"/>
      <c r="Y72" s="598"/>
      <c r="Z72" s="598"/>
      <c r="AA72" s="598"/>
      <c r="AB72" s="598"/>
      <c r="AC72" s="637"/>
      <c r="AD72" s="637"/>
      <c r="AE72" s="637"/>
      <c r="AF72" s="637"/>
      <c r="AG72" s="637"/>
      <c r="AH72" s="637"/>
    </row>
    <row r="73" spans="2:39" x14ac:dyDescent="0.25">
      <c r="B73" s="20"/>
      <c r="C73" s="20"/>
      <c r="D73" s="20"/>
      <c r="E73" s="21"/>
      <c r="F73" s="20"/>
      <c r="G73" s="1187" t="s">
        <v>175</v>
      </c>
      <c r="H73" s="1188"/>
      <c r="I73" s="72">
        <f>+SUM(I70:I72)</f>
        <v>512556</v>
      </c>
      <c r="K73" s="72">
        <f>+SUM(K70:K72)</f>
        <v>394218</v>
      </c>
      <c r="M73" s="72">
        <f>+SUM(M70:M72)</f>
        <v>0</v>
      </c>
      <c r="O73" s="72">
        <f>+SUM(O70:O72)</f>
        <v>0</v>
      </c>
      <c r="Q73" s="72">
        <f>+SUM(Q70:Q72)</f>
        <v>0</v>
      </c>
      <c r="S73" s="72">
        <f>+SUM(S70:S72)</f>
        <v>394218</v>
      </c>
      <c r="U73" s="72">
        <f>+SUM(U70:U72)</f>
        <v>118338</v>
      </c>
      <c r="W73" s="600">
        <f>+K73/S73</f>
        <v>1</v>
      </c>
      <c r="X73" s="606">
        <f>+M73/S73</f>
        <v>0</v>
      </c>
      <c r="Y73" s="606">
        <f>+O73/S73</f>
        <v>0</v>
      </c>
      <c r="Z73" s="602">
        <v>0</v>
      </c>
      <c r="AA73" s="602">
        <v>0</v>
      </c>
      <c r="AB73" s="601">
        <f>+SUM(W73:AA73)</f>
        <v>1</v>
      </c>
      <c r="AC73" s="638">
        <f t="shared" ref="AC73:AG73" si="44">+SUM(AC70:AC72)</f>
        <v>512556</v>
      </c>
      <c r="AD73" s="638">
        <f t="shared" si="44"/>
        <v>0</v>
      </c>
      <c r="AE73" s="638">
        <f t="shared" si="44"/>
        <v>0</v>
      </c>
      <c r="AF73" s="638">
        <f t="shared" si="44"/>
        <v>0</v>
      </c>
      <c r="AG73" s="638">
        <f t="shared" si="44"/>
        <v>0</v>
      </c>
      <c r="AH73" s="638">
        <f>+SUM(AH70:AH72)</f>
        <v>512556</v>
      </c>
      <c r="AI73">
        <v>198823977</v>
      </c>
      <c r="AJ73">
        <v>0</v>
      </c>
      <c r="AK73">
        <v>0</v>
      </c>
      <c r="AL73">
        <v>0</v>
      </c>
      <c r="AM73">
        <v>0</v>
      </c>
    </row>
    <row r="74" spans="2:39" x14ac:dyDescent="0.25">
      <c r="B74"/>
      <c r="C74"/>
      <c r="D74"/>
      <c r="E74"/>
      <c r="F74"/>
      <c r="G74"/>
      <c r="H74"/>
      <c r="I74"/>
      <c r="Q74" s="449" t="e">
        <f>SUM(Q8:Q73)/2</f>
        <v>#REF!</v>
      </c>
      <c r="S74" s="449" t="e">
        <f>SUM(S8:S73)/2</f>
        <v>#REF!</v>
      </c>
      <c r="AC74" s="609"/>
      <c r="AD74" s="610"/>
      <c r="AE74" s="610"/>
      <c r="AF74" s="610"/>
      <c r="AG74" s="610"/>
      <c r="AH74" s="611"/>
    </row>
    <row r="75" spans="2:39" x14ac:dyDescent="0.25">
      <c r="G75" s="13"/>
      <c r="AC75" s="612"/>
      <c r="AD75" s="613"/>
      <c r="AE75" s="613"/>
      <c r="AF75" s="613"/>
      <c r="AG75" s="613"/>
      <c r="AH75" s="614"/>
    </row>
    <row r="76" spans="2:39" ht="15" customHeight="1" x14ac:dyDescent="0.25">
      <c r="B76" s="1117" t="s">
        <v>69</v>
      </c>
      <c r="C76" s="1221" t="s">
        <v>176</v>
      </c>
      <c r="D76" s="1221"/>
      <c r="E76" s="1221"/>
      <c r="F76" s="375"/>
      <c r="G76" s="376"/>
      <c r="H76" s="377"/>
      <c r="I76" s="378" t="e">
        <f>SUM(I8:I73)/2</f>
        <v>#REF!</v>
      </c>
      <c r="J76" s="15"/>
      <c r="K76" s="28"/>
      <c r="AC76" s="615" t="str">
        <f>+C76</f>
        <v>COSTO BÁSICO:</v>
      </c>
      <c r="AD76" s="613"/>
      <c r="AE76" s="613"/>
      <c r="AF76" s="613"/>
      <c r="AG76" s="613"/>
      <c r="AH76" s="616" t="e">
        <f>+SUM(AH8:AH73)/2</f>
        <v>#REF!</v>
      </c>
    </row>
    <row r="77" spans="2:39" ht="15" customHeight="1" x14ac:dyDescent="0.25">
      <c r="B77" s="1117" t="s">
        <v>70</v>
      </c>
      <c r="C77" s="1221" t="s">
        <v>629</v>
      </c>
      <c r="D77" s="1221"/>
      <c r="E77" s="1221"/>
      <c r="F77" s="375"/>
      <c r="G77" s="376"/>
      <c r="H77" s="377"/>
      <c r="I77" s="379">
        <f>+P.Detall!I100</f>
        <v>8702581</v>
      </c>
      <c r="J77" s="15"/>
      <c r="K77" s="28"/>
      <c r="AC77" s="612"/>
      <c r="AD77" s="613"/>
      <c r="AE77" s="613"/>
      <c r="AF77" s="613"/>
      <c r="AG77" s="613"/>
      <c r="AH77" s="616"/>
    </row>
    <row r="78" spans="2:39" ht="15" customHeight="1" x14ac:dyDescent="0.25">
      <c r="B78" s="1117" t="s">
        <v>71</v>
      </c>
      <c r="C78" s="1221" t="s">
        <v>810</v>
      </c>
      <c r="D78" s="1221" t="s">
        <v>630</v>
      </c>
      <c r="E78" s="1221"/>
      <c r="F78" s="375"/>
      <c r="G78" s="376"/>
      <c r="H78" s="377"/>
      <c r="I78" s="379">
        <f>+ROUND(I77*0.19,0)</f>
        <v>1653490</v>
      </c>
      <c r="J78" s="15"/>
      <c r="K78" s="28"/>
      <c r="AC78" s="615"/>
      <c r="AD78" s="613"/>
      <c r="AE78" s="613"/>
      <c r="AF78" s="613"/>
      <c r="AG78" s="613"/>
      <c r="AH78" s="616"/>
    </row>
    <row r="79" spans="2:39" x14ac:dyDescent="0.25">
      <c r="B79" s="1117" t="s">
        <v>72</v>
      </c>
      <c r="C79" s="1221" t="s">
        <v>631</v>
      </c>
      <c r="D79" s="1221"/>
      <c r="E79" s="1221"/>
      <c r="F79" s="375"/>
      <c r="G79" s="376"/>
      <c r="H79" s="377"/>
      <c r="I79" s="378">
        <f>+I78+I77</f>
        <v>10356071</v>
      </c>
      <c r="J79" s="15"/>
      <c r="K79" s="28"/>
      <c r="AC79" s="615" t="str">
        <f>+C79</f>
        <v>SUBTOTAL FORMULACIÓN E IMPLEMENTACIÓN DE MANEJO AMBIENTAL (B+C)</v>
      </c>
      <c r="AD79" s="613"/>
      <c r="AE79" s="613"/>
      <c r="AF79" s="613"/>
      <c r="AG79" s="613"/>
      <c r="AH79" s="616">
        <f>+'Presup '!I98</f>
        <v>0</v>
      </c>
      <c r="AI79">
        <v>149794951</v>
      </c>
    </row>
    <row r="80" spans="2:39" x14ac:dyDescent="0.25">
      <c r="B80" s="1117" t="s">
        <v>632</v>
      </c>
      <c r="C80" s="1221" t="s">
        <v>633</v>
      </c>
      <c r="D80" s="1221"/>
      <c r="E80" s="1221"/>
      <c r="F80" s="375"/>
      <c r="G80" s="376"/>
      <c r="H80" s="377"/>
      <c r="I80" s="379">
        <f>+P.Detall!I103</f>
        <v>12565630</v>
      </c>
      <c r="J80" s="15"/>
      <c r="K80" s="28"/>
      <c r="AC80" s="615"/>
      <c r="AD80" s="613"/>
      <c r="AE80" s="613"/>
      <c r="AF80" s="613"/>
      <c r="AG80" s="613"/>
      <c r="AH80" s="616"/>
    </row>
    <row r="81" spans="2:35" x14ac:dyDescent="0.25">
      <c r="B81" s="1117" t="s">
        <v>634</v>
      </c>
      <c r="C81" s="1221" t="s">
        <v>811</v>
      </c>
      <c r="D81" s="1221" t="s">
        <v>630</v>
      </c>
      <c r="E81" s="1221"/>
      <c r="F81" s="375"/>
      <c r="G81" s="376"/>
      <c r="H81" s="377"/>
      <c r="I81" s="379">
        <f>ROUND(I80*0.19,0)</f>
        <v>2387470</v>
      </c>
      <c r="J81" s="15"/>
      <c r="K81" s="28"/>
      <c r="AC81" s="615"/>
      <c r="AD81" s="613"/>
      <c r="AE81" s="613"/>
      <c r="AF81" s="613"/>
      <c r="AG81" s="613"/>
      <c r="AH81" s="616"/>
    </row>
    <row r="82" spans="2:35" x14ac:dyDescent="0.25">
      <c r="B82" s="1117" t="s">
        <v>635</v>
      </c>
      <c r="C82" s="1221" t="s">
        <v>636</v>
      </c>
      <c r="D82" s="1221"/>
      <c r="E82" s="1221"/>
      <c r="F82" s="375"/>
      <c r="G82" s="376"/>
      <c r="H82" s="377"/>
      <c r="I82" s="378">
        <f>+I81+I80</f>
        <v>14953100</v>
      </c>
      <c r="J82" s="15"/>
      <c r="K82" s="28"/>
      <c r="AC82" s="615" t="str">
        <f>+C82</f>
        <v>SUBTOTAL FORMULACIÓN E IMPLEMENTACIÓN PLAN DE MANEJO DE TRÁNSITO (E+F)</v>
      </c>
      <c r="AD82" s="613"/>
      <c r="AE82" s="613"/>
      <c r="AF82" s="613"/>
      <c r="AG82" s="613"/>
      <c r="AH82" s="616">
        <f>+I82</f>
        <v>14953100</v>
      </c>
      <c r="AI82">
        <v>146662473</v>
      </c>
    </row>
    <row r="83" spans="2:35" x14ac:dyDescent="0.25">
      <c r="B83" s="1117" t="s">
        <v>637</v>
      </c>
      <c r="C83" s="1221" t="s">
        <v>1110</v>
      </c>
      <c r="D83" s="1221"/>
      <c r="E83" s="1221"/>
      <c r="F83" s="375"/>
      <c r="G83" s="376"/>
      <c r="H83" s="377"/>
      <c r="I83" s="379">
        <f>+'Presup '!I97</f>
        <v>0</v>
      </c>
      <c r="J83" s="15"/>
      <c r="K83" s="28"/>
      <c r="AC83" s="615" t="str">
        <f>+C83</f>
        <v>CARACTERIZACION VIAL</v>
      </c>
      <c r="AD83" s="613"/>
      <c r="AE83" s="613"/>
      <c r="AF83" s="613"/>
      <c r="AG83" s="613"/>
      <c r="AH83" s="616">
        <f>+I83</f>
        <v>0</v>
      </c>
      <c r="AI83">
        <v>3013913</v>
      </c>
    </row>
    <row r="84" spans="2:35" x14ac:dyDescent="0.25">
      <c r="B84" s="1117" t="s">
        <v>639</v>
      </c>
      <c r="C84" s="1221" t="str">
        <f>+'Presup '!D105</f>
        <v>PROTOCOLO DE BIOSEGURIDAD</v>
      </c>
      <c r="D84" s="1221"/>
      <c r="E84" s="1221"/>
      <c r="F84" s="375"/>
      <c r="G84" s="376"/>
      <c r="H84" s="377"/>
      <c r="I84" s="379"/>
      <c r="J84" s="15"/>
      <c r="K84" s="28"/>
      <c r="AC84" s="612"/>
      <c r="AD84" s="613"/>
      <c r="AE84" s="613"/>
      <c r="AF84" s="613"/>
      <c r="AG84" s="613"/>
      <c r="AH84" s="617"/>
    </row>
    <row r="85" spans="2:35" x14ac:dyDescent="0.25">
      <c r="B85" s="1117" t="s">
        <v>640</v>
      </c>
      <c r="C85" s="1221"/>
      <c r="D85" s="1221"/>
      <c r="E85" s="1221"/>
      <c r="F85" s="375"/>
      <c r="G85" s="376"/>
      <c r="H85" s="377"/>
      <c r="I85" s="378"/>
      <c r="J85" s="15"/>
      <c r="K85" s="28"/>
      <c r="AC85" s="615" t="str">
        <f>+C84</f>
        <v>PROTOCOLO DE BIOSEGURIDAD</v>
      </c>
      <c r="AD85" s="613"/>
      <c r="AE85" s="613"/>
      <c r="AF85" s="613"/>
      <c r="AG85" s="613"/>
      <c r="AH85" s="616">
        <f>+'Presup '!I105</f>
        <v>6707620</v>
      </c>
      <c r="AI85">
        <v>26330320</v>
      </c>
    </row>
    <row r="86" spans="2:35" x14ac:dyDescent="0.25">
      <c r="B86" s="1117" t="s">
        <v>642</v>
      </c>
      <c r="C86" s="1221" t="s">
        <v>643</v>
      </c>
      <c r="D86" s="1221"/>
      <c r="E86" s="1221"/>
      <c r="F86" s="375"/>
      <c r="G86" s="376"/>
      <c r="H86" s="377"/>
      <c r="I86" s="379" t="e">
        <f>+I83+I82+I79+I76</f>
        <v>#REF!</v>
      </c>
      <c r="J86" s="15"/>
      <c r="K86" s="1225" t="e">
        <f>+I86/6.036</f>
        <v>#REF!</v>
      </c>
      <c r="L86" s="1225"/>
      <c r="AC86" s="612"/>
      <c r="AD86" s="613"/>
      <c r="AE86" s="613"/>
      <c r="AF86" s="613"/>
      <c r="AG86" s="613"/>
      <c r="AH86" s="616"/>
    </row>
    <row r="87" spans="2:35" x14ac:dyDescent="0.25">
      <c r="AC87" s="615" t="str">
        <f>+'Presup '!C108</f>
        <v>INTERVENTORIA:</v>
      </c>
      <c r="AD87" s="613"/>
      <c r="AE87" s="613"/>
      <c r="AF87" s="613"/>
      <c r="AG87" s="613"/>
      <c r="AH87" s="616">
        <f>+'Presup '!I108</f>
        <v>0</v>
      </c>
      <c r="AI87">
        <v>1008964288</v>
      </c>
    </row>
    <row r="88" spans="2:35" x14ac:dyDescent="0.25">
      <c r="F88"/>
      <c r="G88"/>
      <c r="H88"/>
      <c r="I88"/>
      <c r="AC88" s="612"/>
      <c r="AD88" s="613"/>
      <c r="AE88" s="613"/>
      <c r="AF88" s="613"/>
      <c r="AG88" s="613"/>
      <c r="AH88" s="617"/>
    </row>
    <row r="89" spans="2:35" x14ac:dyDescent="0.25">
      <c r="F89"/>
      <c r="G89"/>
      <c r="H89"/>
      <c r="I89"/>
      <c r="AC89" s="618"/>
      <c r="AD89" s="619"/>
      <c r="AE89" s="619"/>
      <c r="AF89" s="619"/>
      <c r="AG89" s="619" t="s">
        <v>586</v>
      </c>
      <c r="AH89" s="620" t="e">
        <f>+SUM(AH76:AH87)</f>
        <v>#REF!</v>
      </c>
    </row>
    <row r="90" spans="2:35" x14ac:dyDescent="0.25">
      <c r="F90"/>
      <c r="G90"/>
      <c r="H90"/>
      <c r="I90"/>
    </row>
    <row r="93" spans="2:35" hidden="1" x14ac:dyDescent="0.25"/>
    <row r="94" spans="2:35" hidden="1" x14ac:dyDescent="0.25"/>
    <row r="95" spans="2:35" hidden="1" x14ac:dyDescent="0.25">
      <c r="F95" s="1193" t="s">
        <v>73</v>
      </c>
      <c r="G95" s="1193"/>
      <c r="H95" s="1193"/>
      <c r="I95" s="1193"/>
    </row>
    <row r="96" spans="2:35" hidden="1" x14ac:dyDescent="0.25">
      <c r="F96" s="1177" t="s">
        <v>74</v>
      </c>
      <c r="G96" s="1177"/>
      <c r="H96" s="1177"/>
      <c r="I96" s="1177"/>
    </row>
    <row r="97" spans="6:9" x14ac:dyDescent="0.25">
      <c r="F97" s="1180"/>
      <c r="G97" s="1180"/>
      <c r="H97" s="1180"/>
      <c r="I97" s="1180"/>
    </row>
  </sheetData>
  <mergeCells count="27">
    <mergeCell ref="C86:E86"/>
    <mergeCell ref="K86:L86"/>
    <mergeCell ref="F95:I95"/>
    <mergeCell ref="F96:I96"/>
    <mergeCell ref="F97:I97"/>
    <mergeCell ref="AC5:AH5"/>
    <mergeCell ref="C80:E80"/>
    <mergeCell ref="C81:E81"/>
    <mergeCell ref="C82:E82"/>
    <mergeCell ref="C83:E83"/>
    <mergeCell ref="G18:H18"/>
    <mergeCell ref="G22:H22"/>
    <mergeCell ref="G25:H25"/>
    <mergeCell ref="G50:H50"/>
    <mergeCell ref="G60:H60"/>
    <mergeCell ref="G64:H64"/>
    <mergeCell ref="B1:W2"/>
    <mergeCell ref="B3:W3"/>
    <mergeCell ref="B4:W4"/>
    <mergeCell ref="C84:E84"/>
    <mergeCell ref="C85:E85"/>
    <mergeCell ref="G68:H68"/>
    <mergeCell ref="G73:H73"/>
    <mergeCell ref="C76:E76"/>
    <mergeCell ref="C77:E77"/>
    <mergeCell ref="C78:E78"/>
    <mergeCell ref="C79:E79"/>
  </mergeCells>
  <hyperlinks>
    <hyperlink ref="E8" location="'200.2'!A1" display="DESMONTE Y LIMPIEZA EN ZONAS NO BOSCOSAS           "/>
    <hyperlink ref="E9" location="'200,4P'!A1" display="LOCALIZACIÓN Y REPLANTEO (CARRETERA)     "/>
    <hyperlink ref="E10" location="'201,7'!A1" display="DEMOLICIÓN DE ESTRUCTURAS"/>
    <hyperlink ref="E11" location="'215'!A1" display="REMOSIÓN DE ALCANTARILLAS"/>
    <hyperlink ref="E12" location="'210,1,1'!A1" display="EXCAVACION SIN CLASIFICAR DE LA EXPLANACIÓN Y CANALES"/>
    <hyperlink ref="E13" location="'210,2,1'!A1" display="EXCAVACION EN ROCA DE LA EXPLANACION Y CANALES"/>
    <hyperlink ref="E14" location="'211,1'!A1" display="REMOCION DE DERRUMBES"/>
    <hyperlink ref="E16" location="'230,1'!A1" display="MEJORAMIENTO DE LA SUBRASANTE EMPLEANDO UNICAMENTE MATERIAL ADICIONADO "/>
    <hyperlink ref="E17" location="'310,1'!A1" display="CONFORMACIÓN DE LA CALZADA EXISTENTE CON ADICIÓN DE MATERIAL"/>
    <hyperlink ref="E20" location="'311,1'!A1" display="AFIRMADO"/>
    <hyperlink ref="E21" location="'320,1'!A1" display="SUBBASE GRANULAR"/>
    <hyperlink ref="E24" location="'500,1'!A1" display="PAVIMENTO DE CONCRETO HIDRÁULICO"/>
    <hyperlink ref="E28" location="'600,1,1'!A1" display="EXCAVACIONES VARIAS SIN CLASIFICAR"/>
    <hyperlink ref="E29" location="'600,2,1'!A1" display="EXCAVACIONES VARIAS EN ROCA EN SECO"/>
    <hyperlink ref="E30" location="'6002,2'!A1" display="EXCAVACIONES VARIAS EN ROCA BAJO AGUA"/>
    <hyperlink ref="E31" location="'600,2,4'!A1" display="EXCAVACIONES VARIAS EN MATERIAL COMÚN BAJO AGUA"/>
    <hyperlink ref="E33" location="'630,1'!A1" display="CONCRETO CLASE C"/>
    <hyperlink ref="E34" location="'630,2'!A1" display="CONCRETO CLASE D"/>
    <hyperlink ref="E35" location="'630,3'!A1" display="CONCRETO CLASE F"/>
    <hyperlink ref="E36" location="'630,4'!A1" display="CONCRETO CLASE G"/>
    <hyperlink ref="E38" location="'640,1'!A1" display="ACERO DE REFUERZO fy 412 Mpa"/>
    <hyperlink ref="E39" location="'610,1'!A1" display="RELLENO PARA ESTRUCTURAS CON RECEBO"/>
    <hyperlink ref="E40" location="'661,1'!A1" display="TUBERÍA DE CONCRETO REFORZADO 900 MM DIÁMETRO INTERIOR (TIPO 1)"/>
    <hyperlink ref="E42" location="'660,1'!A1" display="CUNETA DE CONCRETO FUNDIDA EN EL LUGAR"/>
    <hyperlink ref="E43" location="'672,1'!A1" display="BORDILLOS DE CONCRETO"/>
    <hyperlink ref="E45" location="'673,1'!A1" display="GEOTEXTIL "/>
    <hyperlink ref="E46" location="'673,2'!A1" display="MATERIAL GRANULAR FILTRANTE"/>
    <hyperlink ref="E47" location="'674,2'!A1" display="DREN HORIZONTAL DE LONGITUD MAYOR A DIEZ METROS"/>
    <hyperlink ref="E49" location="'681,1'!A1" display="GAVIÓN"/>
    <hyperlink ref="E52" location="'700,3'!A1" display="MARCA VIAL CON PINTURA EN FRIO"/>
    <hyperlink ref="E53" location="'700,1'!A1" display="LÍNEA DE DEMARCACIÓN CON PINTURA EN FRIO"/>
    <hyperlink ref="E54" location="'701,1'!A1" display="TACHA REFLECTIVA"/>
    <hyperlink ref="E55" location="'710,1'!A1" display="SEÑALES VERTICAL DE TRANSITO TIPO I CON LÁMINA  RETROREFLECTIVA TIPO I"/>
    <hyperlink ref="E56" location="'710,2'!A1" display="SEÑALES VERTICAL DE TRANSITO TIPO II CON LÁMINA  RETROREFLECTIVA TIPO I"/>
    <hyperlink ref="E57" location="'730,1'!A1" display="DEFENSAS METÁLICAS"/>
    <hyperlink ref="E58" location="'730,2'!A1" display="SECCIÓN FINAL DE DEFENSAS METÁLICAS"/>
    <hyperlink ref="E59" location="'740,1'!A1" display="CAPTAFAROS"/>
    <hyperlink ref="E62" location="'800,1'!A1" display="CERCA DE ALAMBRE DE PUAS CON POSTES DE MADERA"/>
    <hyperlink ref="E63" location="'810,1'!A1" display="PROTECCIÓN DE TALUDES CON BLOQUES DE CESPED"/>
    <hyperlink ref="E66" location="'P1'!A1" display="CONFORMACION DE DEPÓSITO DE MATERIAL SOBRANTE"/>
    <hyperlink ref="E70" location="'900,1'!A1" display="TRANSPORTE DE MATERIALES PROVENIENTES DE LA EXCAVACIÓN DE LA EXPLANACIÓN, CANALES Y PRÉSTAMOS, ENTRE CIEN METROS (100 M) Y MIL METROS (1000M) DE DISTANCIA."/>
    <hyperlink ref="E67" location="'P2'!Área_de_impresión" display="PERNOS DE 1 PLG, INCLUYE PERFORACIÓN, ARMADO E INSTALACIÓN, LLENADO Y SUMINISTRO DE MATERIAL"/>
  </hyperlinks>
  <printOptions horizontalCentered="1"/>
  <pageMargins left="0.23622047244094491" right="0.23622047244094491" top="0.74803149606299213" bottom="0.74803149606299213" header="0.31496062992125984" footer="0.31496062992125984"/>
  <pageSetup paperSize="125" scale="60" orientation="landscape" horizontalDpi="200" verticalDpi="200" r:id="rId1"/>
  <rowBreaks count="1" manualBreakCount="1">
    <brk id="50" max="3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view="pageBreakPreview" topLeftCell="A28" zoomScale="85" zoomScaleNormal="100" zoomScaleSheetLayoutView="85" workbookViewId="0">
      <selection activeCell="D32" sqref="D32"/>
    </sheetView>
  </sheetViews>
  <sheetFormatPr baseColWidth="10" defaultRowHeight="15" x14ac:dyDescent="0.25"/>
  <cols>
    <col min="1" max="1" width="9.28515625" customWidth="1"/>
    <col min="3" max="3" width="33.5703125" customWidth="1"/>
  </cols>
  <sheetData>
    <row r="1" spans="2:5" ht="7.5" customHeight="1" thickBot="1" x14ac:dyDescent="0.3"/>
    <row r="2" spans="2:5" x14ac:dyDescent="0.25">
      <c r="B2" s="1226" t="str">
        <f>+'Presup '!B5</f>
        <v>MEJORAMIENTO VÍA LA LAGUNA, SALINAS, LOS OLIVOS</v>
      </c>
      <c r="C2" s="1227"/>
      <c r="D2" s="1227"/>
      <c r="E2" s="1228"/>
    </row>
    <row r="3" spans="2:5" ht="15.75" thickBot="1" x14ac:dyDescent="0.3">
      <c r="B3" s="1229"/>
      <c r="C3" s="1230"/>
      <c r="D3" s="1230"/>
      <c r="E3" s="1231"/>
    </row>
    <row r="4" spans="2:5" x14ac:dyDescent="0.25">
      <c r="B4" s="1232" t="s">
        <v>1048</v>
      </c>
      <c r="C4" s="1233"/>
      <c r="D4" s="1233"/>
      <c r="E4" s="1234"/>
    </row>
    <row r="5" spans="2:5" x14ac:dyDescent="0.25">
      <c r="B5" s="1235"/>
      <c r="C5" s="1236"/>
      <c r="D5" s="1236"/>
      <c r="E5" s="1237"/>
    </row>
    <row r="6" spans="2:5" x14ac:dyDescent="0.25">
      <c r="B6" s="896">
        <v>1</v>
      </c>
      <c r="C6" s="897" t="s">
        <v>1032</v>
      </c>
      <c r="D6" s="898"/>
      <c r="E6" s="899">
        <v>1</v>
      </c>
    </row>
    <row r="7" spans="2:5" x14ac:dyDescent="0.25">
      <c r="B7" s="1238"/>
      <c r="C7" s="1239"/>
      <c r="D7" s="1239"/>
      <c r="E7" s="1240"/>
    </row>
    <row r="8" spans="2:5" x14ac:dyDescent="0.25">
      <c r="B8" s="896">
        <v>2</v>
      </c>
      <c r="C8" s="897" t="s">
        <v>1033</v>
      </c>
      <c r="D8" s="898"/>
      <c r="E8" s="899">
        <f>ROUND(SUM(D9:D21),2)</f>
        <v>0.85</v>
      </c>
    </row>
    <row r="9" spans="2:5" x14ac:dyDescent="0.25">
      <c r="B9" s="900">
        <v>2.0099999999999998</v>
      </c>
      <c r="C9" s="901" t="s">
        <v>1034</v>
      </c>
      <c r="D9" s="902">
        <v>8.3333333333333343E-2</v>
      </c>
      <c r="E9" s="903"/>
    </row>
    <row r="10" spans="2:5" x14ac:dyDescent="0.25">
      <c r="B10" s="900">
        <v>2.02</v>
      </c>
      <c r="C10" s="904" t="s">
        <v>1035</v>
      </c>
      <c r="D10" s="905">
        <v>0.01</v>
      </c>
      <c r="E10" s="903"/>
    </row>
    <row r="11" spans="2:5" x14ac:dyDescent="0.25">
      <c r="B11" s="900">
        <v>2.0299999999999998</v>
      </c>
      <c r="C11" s="901" t="s">
        <v>1036</v>
      </c>
      <c r="D11" s="902">
        <v>8.3333333333333343E-2</v>
      </c>
      <c r="E11" s="903"/>
    </row>
    <row r="12" spans="2:5" x14ac:dyDescent="0.25">
      <c r="B12" s="900">
        <v>2.04</v>
      </c>
      <c r="C12" s="904" t="s">
        <v>741</v>
      </c>
      <c r="D12" s="902">
        <v>4.1700000000000001E-2</v>
      </c>
      <c r="E12" s="903"/>
    </row>
    <row r="13" spans="2:5" x14ac:dyDescent="0.25">
      <c r="B13" s="900">
        <v>2.0499999999999998</v>
      </c>
      <c r="C13" s="904" t="s">
        <v>1037</v>
      </c>
      <c r="D13" s="902">
        <v>0</v>
      </c>
      <c r="E13" s="903"/>
    </row>
    <row r="14" spans="2:5" x14ac:dyDescent="0.25">
      <c r="B14" s="900">
        <v>2.06</v>
      </c>
      <c r="C14" s="904" t="s">
        <v>1038</v>
      </c>
      <c r="D14" s="902">
        <v>0.12</v>
      </c>
      <c r="E14" s="903"/>
    </row>
    <row r="15" spans="2:5" x14ac:dyDescent="0.25">
      <c r="B15" s="900">
        <v>2.0699999999999998</v>
      </c>
      <c r="C15" s="904" t="s">
        <v>1039</v>
      </c>
      <c r="D15" s="902">
        <v>6.9599999999999995E-2</v>
      </c>
      <c r="E15" s="903"/>
    </row>
    <row r="16" spans="2:5" x14ac:dyDescent="0.25">
      <c r="B16" s="900">
        <v>2.08</v>
      </c>
      <c r="C16" s="904" t="s">
        <v>1040</v>
      </c>
      <c r="D16" s="902">
        <v>0.04</v>
      </c>
      <c r="E16" s="903"/>
    </row>
    <row r="17" spans="2:5" x14ac:dyDescent="0.25">
      <c r="B17" s="900">
        <v>2.09</v>
      </c>
      <c r="C17" s="904" t="s">
        <v>1041</v>
      </c>
      <c r="D17" s="902">
        <v>0</v>
      </c>
      <c r="E17" s="903"/>
    </row>
    <row r="18" spans="2:5" x14ac:dyDescent="0.25">
      <c r="B18" s="906">
        <v>2.1</v>
      </c>
      <c r="C18" s="904" t="s">
        <v>1042</v>
      </c>
      <c r="D18" s="902">
        <v>0</v>
      </c>
      <c r="E18" s="903"/>
    </row>
    <row r="19" spans="2:5" x14ac:dyDescent="0.25">
      <c r="B19" s="900">
        <v>2.11</v>
      </c>
      <c r="C19" s="901" t="s">
        <v>1045</v>
      </c>
      <c r="D19" s="902">
        <v>0.12</v>
      </c>
      <c r="E19" s="903"/>
    </row>
    <row r="20" spans="2:5" ht="45" x14ac:dyDescent="0.25">
      <c r="B20" s="906">
        <v>2.12</v>
      </c>
      <c r="C20" s="901" t="s">
        <v>1046</v>
      </c>
      <c r="D20" s="902">
        <v>0.15</v>
      </c>
      <c r="E20" s="903"/>
    </row>
    <row r="21" spans="2:5" x14ac:dyDescent="0.25">
      <c r="B21" s="900">
        <v>2.13</v>
      </c>
      <c r="C21" s="904" t="s">
        <v>1043</v>
      </c>
      <c r="D21" s="902">
        <v>0.13</v>
      </c>
      <c r="E21" s="903"/>
    </row>
    <row r="22" spans="2:5" ht="15.75" thickBot="1" x14ac:dyDescent="0.3">
      <c r="B22" s="1238"/>
      <c r="C22" s="1239"/>
      <c r="D22" s="1239"/>
      <c r="E22" s="1240"/>
    </row>
    <row r="23" spans="2:5" ht="15.75" thickBot="1" x14ac:dyDescent="0.3">
      <c r="B23" s="907"/>
      <c r="C23" s="908" t="s">
        <v>1044</v>
      </c>
      <c r="D23" s="909"/>
      <c r="E23" s="910">
        <f>E6+E8</f>
        <v>1.85</v>
      </c>
    </row>
    <row r="24" spans="2:5" ht="15.75" thickBot="1" x14ac:dyDescent="0.3"/>
    <row r="25" spans="2:5" x14ac:dyDescent="0.25">
      <c r="B25" s="1241" t="s">
        <v>1047</v>
      </c>
      <c r="C25" s="1242"/>
      <c r="D25" s="1242"/>
      <c r="E25" s="1243"/>
    </row>
    <row r="26" spans="2:5" x14ac:dyDescent="0.25">
      <c r="B26" s="1244"/>
      <c r="C26" s="1245"/>
      <c r="D26" s="1245"/>
      <c r="E26" s="1246"/>
    </row>
    <row r="27" spans="2:5" x14ac:dyDescent="0.25">
      <c r="B27" s="1244"/>
      <c r="C27" s="1245"/>
      <c r="D27" s="1245"/>
      <c r="E27" s="1246"/>
    </row>
    <row r="28" spans="2:5" x14ac:dyDescent="0.25">
      <c r="B28" s="1244"/>
      <c r="C28" s="1245"/>
      <c r="D28" s="1245"/>
      <c r="E28" s="1246"/>
    </row>
    <row r="29" spans="2:5" x14ac:dyDescent="0.25">
      <c r="B29" s="1244"/>
      <c r="C29" s="1245"/>
      <c r="D29" s="1245"/>
      <c r="E29" s="1246"/>
    </row>
    <row r="30" spans="2:5" ht="15.75" thickBot="1" x14ac:dyDescent="0.3">
      <c r="B30" s="1247"/>
      <c r="C30" s="1248"/>
      <c r="D30" s="1248"/>
      <c r="E30" s="1249"/>
    </row>
    <row r="34" spans="2:3" x14ac:dyDescent="0.25">
      <c r="B34" s="448"/>
      <c r="C34" s="448"/>
    </row>
    <row r="35" spans="2:3" x14ac:dyDescent="0.25">
      <c r="B35" s="744" t="str">
        <f>+'Presup '!F123</f>
        <v>ING. JHONATAN STIVEN PANTOJA MORILLO</v>
      </c>
    </row>
    <row r="36" spans="2:3" x14ac:dyDescent="0.25">
      <c r="B36" s="744" t="str">
        <f>+'Presup '!F124</f>
        <v xml:space="preserve">M.P. 111037-0520109 NRÑ </v>
      </c>
    </row>
  </sheetData>
  <mergeCells count="5">
    <mergeCell ref="B2:E3"/>
    <mergeCell ref="B4:E5"/>
    <mergeCell ref="B7:E7"/>
    <mergeCell ref="B22:E22"/>
    <mergeCell ref="B25:E30"/>
  </mergeCells>
  <pageMargins left="0.7" right="0.7" top="0.75" bottom="0.75" header="0.3" footer="0.3"/>
  <pageSetup orientation="portrait" horizontalDpi="4294967292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5"/>
  <sheetViews>
    <sheetView view="pageBreakPreview" topLeftCell="A29" zoomScale="85" zoomScaleNormal="100" zoomScaleSheetLayoutView="85" workbookViewId="0">
      <selection activeCell="F34" sqref="F34"/>
    </sheetView>
  </sheetViews>
  <sheetFormatPr baseColWidth="10" defaultRowHeight="15" x14ac:dyDescent="0.25"/>
  <cols>
    <col min="1" max="1" width="9.7109375" customWidth="1"/>
    <col min="3" max="3" width="28.85546875" customWidth="1"/>
  </cols>
  <sheetData>
    <row r="1" spans="2:5" ht="15.75" thickBot="1" x14ac:dyDescent="0.3"/>
    <row r="2" spans="2:5" ht="15" customHeight="1" x14ac:dyDescent="0.25">
      <c r="B2" s="1226" t="str">
        <f>+'Presup '!B5</f>
        <v>MEJORAMIENTO VÍA LA LAGUNA, SALINAS, LOS OLIVOS</v>
      </c>
      <c r="C2" s="1227"/>
      <c r="D2" s="1227"/>
      <c r="E2" s="1228"/>
    </row>
    <row r="3" spans="2:5" ht="15.75" thickBot="1" x14ac:dyDescent="0.3">
      <c r="B3" s="1229"/>
      <c r="C3" s="1230"/>
      <c r="D3" s="1230"/>
      <c r="E3" s="1231"/>
    </row>
    <row r="4" spans="2:5" ht="15" customHeight="1" x14ac:dyDescent="0.25">
      <c r="B4" s="1232" t="s">
        <v>1049</v>
      </c>
      <c r="C4" s="1233"/>
      <c r="D4" s="1233"/>
      <c r="E4" s="1234"/>
    </row>
    <row r="5" spans="2:5" x14ac:dyDescent="0.25">
      <c r="B5" s="1235"/>
      <c r="C5" s="1236"/>
      <c r="D5" s="1236"/>
      <c r="E5" s="1237"/>
    </row>
    <row r="6" spans="2:5" x14ac:dyDescent="0.25">
      <c r="B6" s="896">
        <v>1</v>
      </c>
      <c r="C6" s="897" t="s">
        <v>1032</v>
      </c>
      <c r="D6" s="898"/>
      <c r="E6" s="899">
        <v>1</v>
      </c>
    </row>
    <row r="7" spans="2:5" x14ac:dyDescent="0.25">
      <c r="B7" s="1238"/>
      <c r="C7" s="1239"/>
      <c r="D7" s="1239"/>
      <c r="E7" s="1240"/>
    </row>
    <row r="8" spans="2:5" x14ac:dyDescent="0.25">
      <c r="B8" s="896">
        <v>2</v>
      </c>
      <c r="C8" s="897" t="s">
        <v>1033</v>
      </c>
      <c r="D8" s="898"/>
      <c r="E8" s="899">
        <f>ROUND(SUM(D9:D21),2)</f>
        <v>0.73</v>
      </c>
    </row>
    <row r="9" spans="2:5" x14ac:dyDescent="0.25">
      <c r="B9" s="900">
        <v>2.0099999999999998</v>
      </c>
      <c r="C9" s="901" t="s">
        <v>1034</v>
      </c>
      <c r="D9" s="902">
        <v>8.3333333333333343E-2</v>
      </c>
      <c r="E9" s="903"/>
    </row>
    <row r="10" spans="2:5" x14ac:dyDescent="0.25">
      <c r="B10" s="900">
        <v>2.02</v>
      </c>
      <c r="C10" s="904" t="s">
        <v>1035</v>
      </c>
      <c r="D10" s="905">
        <v>0.01</v>
      </c>
      <c r="E10" s="903"/>
    </row>
    <row r="11" spans="2:5" x14ac:dyDescent="0.25">
      <c r="B11" s="900">
        <v>2.0299999999999998</v>
      </c>
      <c r="C11" s="901" t="s">
        <v>1036</v>
      </c>
      <c r="D11" s="902">
        <v>8.3333333333333343E-2</v>
      </c>
      <c r="E11" s="903"/>
    </row>
    <row r="12" spans="2:5" x14ac:dyDescent="0.25">
      <c r="B12" s="900">
        <v>2.04</v>
      </c>
      <c r="C12" s="904" t="s">
        <v>741</v>
      </c>
      <c r="D12" s="902">
        <v>4.1700000000000001E-2</v>
      </c>
      <c r="E12" s="903"/>
    </row>
    <row r="13" spans="2:5" x14ac:dyDescent="0.25">
      <c r="B13" s="900">
        <v>2.0499999999999998</v>
      </c>
      <c r="C13" s="904" t="s">
        <v>1037</v>
      </c>
      <c r="D13" s="902">
        <v>0</v>
      </c>
      <c r="E13" s="903"/>
    </row>
    <row r="14" spans="2:5" x14ac:dyDescent="0.25">
      <c r="B14" s="900">
        <v>2.06</v>
      </c>
      <c r="C14" s="904" t="s">
        <v>1038</v>
      </c>
      <c r="D14" s="902">
        <v>0.12</v>
      </c>
      <c r="E14" s="903"/>
    </row>
    <row r="15" spans="2:5" ht="25.5" x14ac:dyDescent="0.25">
      <c r="B15" s="900">
        <v>2.0699999999999998</v>
      </c>
      <c r="C15" s="904" t="s">
        <v>1039</v>
      </c>
      <c r="D15" s="902">
        <v>6.9599999999999995E-2</v>
      </c>
      <c r="E15" s="903"/>
    </row>
    <row r="16" spans="2:5" x14ac:dyDescent="0.25">
      <c r="B16" s="900">
        <v>2.08</v>
      </c>
      <c r="C16" s="904" t="s">
        <v>1040</v>
      </c>
      <c r="D16" s="902">
        <v>0.04</v>
      </c>
      <c r="E16" s="903"/>
    </row>
    <row r="17" spans="2:5" x14ac:dyDescent="0.25">
      <c r="B17" s="900">
        <v>2.09</v>
      </c>
      <c r="C17" s="904" t="s">
        <v>1041</v>
      </c>
      <c r="D17" s="902">
        <v>0</v>
      </c>
      <c r="E17" s="903"/>
    </row>
    <row r="18" spans="2:5" x14ac:dyDescent="0.25">
      <c r="B18" s="906">
        <v>2.1</v>
      </c>
      <c r="C18" s="904" t="s">
        <v>1042</v>
      </c>
      <c r="D18" s="902">
        <v>0</v>
      </c>
      <c r="E18" s="903"/>
    </row>
    <row r="19" spans="2:5" x14ac:dyDescent="0.25">
      <c r="B19" s="900">
        <v>2.11</v>
      </c>
      <c r="C19" s="901" t="s">
        <v>1045</v>
      </c>
      <c r="D19" s="902">
        <v>0</v>
      </c>
      <c r="E19" s="903"/>
    </row>
    <row r="20" spans="2:5" ht="45" x14ac:dyDescent="0.25">
      <c r="B20" s="906">
        <v>2.12</v>
      </c>
      <c r="C20" s="901" t="s">
        <v>1046</v>
      </c>
      <c r="D20" s="902">
        <v>0.15</v>
      </c>
      <c r="E20" s="903"/>
    </row>
    <row r="21" spans="2:5" x14ac:dyDescent="0.25">
      <c r="B21" s="900">
        <v>2.13</v>
      </c>
      <c r="C21" s="904" t="s">
        <v>1043</v>
      </c>
      <c r="D21" s="902">
        <v>0.13</v>
      </c>
      <c r="E21" s="903"/>
    </row>
    <row r="22" spans="2:5" ht="15.75" thickBot="1" x14ac:dyDescent="0.3">
      <c r="B22" s="1238"/>
      <c r="C22" s="1239"/>
      <c r="D22" s="1239"/>
      <c r="E22" s="1240"/>
    </row>
    <row r="23" spans="2:5" ht="26.25" thickBot="1" x14ac:dyDescent="0.3">
      <c r="B23" s="907"/>
      <c r="C23" s="908" t="s">
        <v>1044</v>
      </c>
      <c r="D23" s="909"/>
      <c r="E23" s="910">
        <f>E6+E8</f>
        <v>1.73</v>
      </c>
    </row>
    <row r="24" spans="2:5" ht="15.75" thickBot="1" x14ac:dyDescent="0.3"/>
    <row r="25" spans="2:5" x14ac:dyDescent="0.25">
      <c r="B25" s="1241" t="s">
        <v>1047</v>
      </c>
      <c r="C25" s="1242"/>
      <c r="D25" s="1242"/>
      <c r="E25" s="1243"/>
    </row>
    <row r="26" spans="2:5" x14ac:dyDescent="0.25">
      <c r="B26" s="1244"/>
      <c r="C26" s="1245"/>
      <c r="D26" s="1245"/>
      <c r="E26" s="1246"/>
    </row>
    <row r="27" spans="2:5" x14ac:dyDescent="0.25">
      <c r="B27" s="1244"/>
      <c r="C27" s="1245"/>
      <c r="D27" s="1245"/>
      <c r="E27" s="1246"/>
    </row>
    <row r="28" spans="2:5" x14ac:dyDescent="0.25">
      <c r="B28" s="1244"/>
      <c r="C28" s="1245"/>
      <c r="D28" s="1245"/>
      <c r="E28" s="1246"/>
    </row>
    <row r="29" spans="2:5" x14ac:dyDescent="0.25">
      <c r="B29" s="1244"/>
      <c r="C29" s="1245"/>
      <c r="D29" s="1245"/>
      <c r="E29" s="1246"/>
    </row>
    <row r="30" spans="2:5" ht="15.75" thickBot="1" x14ac:dyDescent="0.3">
      <c r="B30" s="1247"/>
      <c r="C30" s="1248"/>
      <c r="D30" s="1248"/>
      <c r="E30" s="1249"/>
    </row>
    <row r="33" spans="2:3" x14ac:dyDescent="0.25">
      <c r="B33" s="448"/>
      <c r="C33" s="448"/>
    </row>
    <row r="34" spans="2:3" x14ac:dyDescent="0.25">
      <c r="B34" s="744" t="str">
        <f>+'FP 1'!B35</f>
        <v>ING. JHONATAN STIVEN PANTOJA MORILLO</v>
      </c>
    </row>
    <row r="35" spans="2:3" x14ac:dyDescent="0.25">
      <c r="B35" s="744" t="str">
        <f>+'FP 1'!B36</f>
        <v xml:space="preserve">M.P. 111037-0520109 NRÑ </v>
      </c>
    </row>
  </sheetData>
  <mergeCells count="5">
    <mergeCell ref="B2:E3"/>
    <mergeCell ref="B4:E5"/>
    <mergeCell ref="B7:E7"/>
    <mergeCell ref="B25:E30"/>
    <mergeCell ref="B22:E2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101"/>
  <sheetViews>
    <sheetView view="pageBreakPreview" topLeftCell="A68" zoomScale="85" zoomScaleNormal="100" zoomScaleSheetLayoutView="85" workbookViewId="0">
      <selection activeCell="G81" sqref="G81"/>
    </sheetView>
  </sheetViews>
  <sheetFormatPr baseColWidth="10" defaultRowHeight="12.75" x14ac:dyDescent="0.25"/>
  <cols>
    <col min="1" max="1" width="11" style="92" customWidth="1"/>
    <col min="2" max="2" width="49" style="88" customWidth="1"/>
    <col min="3" max="3" width="19.5703125" style="88" customWidth="1"/>
    <col min="4" max="4" width="17.5703125" style="88" bestFit="1" customWidth="1"/>
    <col min="5" max="5" width="23.140625" style="88" bestFit="1" customWidth="1"/>
    <col min="6" max="6" width="18.42578125" style="88" customWidth="1"/>
    <col min="7" max="7" width="26" style="88" customWidth="1"/>
    <col min="8" max="8" width="17.140625" style="88" customWidth="1"/>
    <col min="9" max="9" width="17.85546875" style="88" customWidth="1"/>
    <col min="10" max="10" width="15.85546875" style="88" customWidth="1"/>
    <col min="11" max="11" width="21.5703125" style="88" customWidth="1"/>
    <col min="12" max="12" width="18" style="88" customWidth="1"/>
    <col min="13" max="13" width="12.28515625" style="88" customWidth="1"/>
    <col min="14" max="14" width="17" style="88" customWidth="1"/>
    <col min="15" max="15" width="16.5703125" style="88" customWidth="1"/>
    <col min="16" max="16" width="11.42578125" style="88"/>
    <col min="17" max="17" width="8.85546875" style="88" customWidth="1"/>
    <col min="18" max="18" width="15.85546875" style="88" customWidth="1"/>
    <col min="19" max="256" width="11.42578125" style="88"/>
    <col min="257" max="257" width="11" style="88" customWidth="1"/>
    <col min="258" max="258" width="49" style="88" customWidth="1"/>
    <col min="259" max="259" width="19.5703125" style="88" customWidth="1"/>
    <col min="260" max="260" width="17.5703125" style="88" bestFit="1" customWidth="1"/>
    <col min="261" max="261" width="23.140625" style="88" bestFit="1" customWidth="1"/>
    <col min="262" max="262" width="22.85546875" style="88" bestFit="1" customWidth="1"/>
    <col min="263" max="263" width="28.28515625" style="88" bestFit="1" customWidth="1"/>
    <col min="264" max="264" width="19" style="88" customWidth="1"/>
    <col min="265" max="265" width="19.5703125" style="88" customWidth="1"/>
    <col min="266" max="266" width="23.5703125" style="88" customWidth="1"/>
    <col min="267" max="267" width="13.28515625" style="88" bestFit="1" customWidth="1"/>
    <col min="268" max="268" width="15.7109375" style="88" bestFit="1" customWidth="1"/>
    <col min="269" max="269" width="20.5703125" style="88" bestFit="1" customWidth="1"/>
    <col min="270" max="270" width="14.28515625" style="88" bestFit="1" customWidth="1"/>
    <col min="271" max="512" width="11.42578125" style="88"/>
    <col min="513" max="513" width="11" style="88" customWidth="1"/>
    <col min="514" max="514" width="49" style="88" customWidth="1"/>
    <col min="515" max="515" width="19.5703125" style="88" customWidth="1"/>
    <col min="516" max="516" width="17.5703125" style="88" bestFit="1" customWidth="1"/>
    <col min="517" max="517" width="23.140625" style="88" bestFit="1" customWidth="1"/>
    <col min="518" max="518" width="22.85546875" style="88" bestFit="1" customWidth="1"/>
    <col min="519" max="519" width="28.28515625" style="88" bestFit="1" customWidth="1"/>
    <col min="520" max="520" width="19" style="88" customWidth="1"/>
    <col min="521" max="521" width="19.5703125" style="88" customWidth="1"/>
    <col min="522" max="522" width="23.5703125" style="88" customWidth="1"/>
    <col min="523" max="523" width="13.28515625" style="88" bestFit="1" customWidth="1"/>
    <col min="524" max="524" width="15.7109375" style="88" bestFit="1" customWidth="1"/>
    <col min="525" max="525" width="20.5703125" style="88" bestFit="1" customWidth="1"/>
    <col min="526" max="526" width="14.28515625" style="88" bestFit="1" customWidth="1"/>
    <col min="527" max="768" width="11.42578125" style="88"/>
    <col min="769" max="769" width="11" style="88" customWidth="1"/>
    <col min="770" max="770" width="49" style="88" customWidth="1"/>
    <col min="771" max="771" width="19.5703125" style="88" customWidth="1"/>
    <col min="772" max="772" width="17.5703125" style="88" bestFit="1" customWidth="1"/>
    <col min="773" max="773" width="23.140625" style="88" bestFit="1" customWidth="1"/>
    <col min="774" max="774" width="22.85546875" style="88" bestFit="1" customWidth="1"/>
    <col min="775" max="775" width="28.28515625" style="88" bestFit="1" customWidth="1"/>
    <col min="776" max="776" width="19" style="88" customWidth="1"/>
    <col min="777" max="777" width="19.5703125" style="88" customWidth="1"/>
    <col min="778" max="778" width="23.5703125" style="88" customWidth="1"/>
    <col min="779" max="779" width="13.28515625" style="88" bestFit="1" customWidth="1"/>
    <col min="780" max="780" width="15.7109375" style="88" bestFit="1" customWidth="1"/>
    <col min="781" max="781" width="20.5703125" style="88" bestFit="1" customWidth="1"/>
    <col min="782" max="782" width="14.28515625" style="88" bestFit="1" customWidth="1"/>
    <col min="783" max="1024" width="11.42578125" style="88"/>
    <col min="1025" max="1025" width="11" style="88" customWidth="1"/>
    <col min="1026" max="1026" width="49" style="88" customWidth="1"/>
    <col min="1027" max="1027" width="19.5703125" style="88" customWidth="1"/>
    <col min="1028" max="1028" width="17.5703125" style="88" bestFit="1" customWidth="1"/>
    <col min="1029" max="1029" width="23.140625" style="88" bestFit="1" customWidth="1"/>
    <col min="1030" max="1030" width="22.85546875" style="88" bestFit="1" customWidth="1"/>
    <col min="1031" max="1031" width="28.28515625" style="88" bestFit="1" customWidth="1"/>
    <col min="1032" max="1032" width="19" style="88" customWidth="1"/>
    <col min="1033" max="1033" width="19.5703125" style="88" customWidth="1"/>
    <col min="1034" max="1034" width="23.5703125" style="88" customWidth="1"/>
    <col min="1035" max="1035" width="13.28515625" style="88" bestFit="1" customWidth="1"/>
    <col min="1036" max="1036" width="15.7109375" style="88" bestFit="1" customWidth="1"/>
    <col min="1037" max="1037" width="20.5703125" style="88" bestFit="1" customWidth="1"/>
    <col min="1038" max="1038" width="14.28515625" style="88" bestFit="1" customWidth="1"/>
    <col min="1039" max="1280" width="11.42578125" style="88"/>
    <col min="1281" max="1281" width="11" style="88" customWidth="1"/>
    <col min="1282" max="1282" width="49" style="88" customWidth="1"/>
    <col min="1283" max="1283" width="19.5703125" style="88" customWidth="1"/>
    <col min="1284" max="1284" width="17.5703125" style="88" bestFit="1" customWidth="1"/>
    <col min="1285" max="1285" width="23.140625" style="88" bestFit="1" customWidth="1"/>
    <col min="1286" max="1286" width="22.85546875" style="88" bestFit="1" customWidth="1"/>
    <col min="1287" max="1287" width="28.28515625" style="88" bestFit="1" customWidth="1"/>
    <col min="1288" max="1288" width="19" style="88" customWidth="1"/>
    <col min="1289" max="1289" width="19.5703125" style="88" customWidth="1"/>
    <col min="1290" max="1290" width="23.5703125" style="88" customWidth="1"/>
    <col min="1291" max="1291" width="13.28515625" style="88" bestFit="1" customWidth="1"/>
    <col min="1292" max="1292" width="15.7109375" style="88" bestFit="1" customWidth="1"/>
    <col min="1293" max="1293" width="20.5703125" style="88" bestFit="1" customWidth="1"/>
    <col min="1294" max="1294" width="14.28515625" style="88" bestFit="1" customWidth="1"/>
    <col min="1295" max="1536" width="11.42578125" style="88"/>
    <col min="1537" max="1537" width="11" style="88" customWidth="1"/>
    <col min="1538" max="1538" width="49" style="88" customWidth="1"/>
    <col min="1539" max="1539" width="19.5703125" style="88" customWidth="1"/>
    <col min="1540" max="1540" width="17.5703125" style="88" bestFit="1" customWidth="1"/>
    <col min="1541" max="1541" width="23.140625" style="88" bestFit="1" customWidth="1"/>
    <col min="1542" max="1542" width="22.85546875" style="88" bestFit="1" customWidth="1"/>
    <col min="1543" max="1543" width="28.28515625" style="88" bestFit="1" customWidth="1"/>
    <col min="1544" max="1544" width="19" style="88" customWidth="1"/>
    <col min="1545" max="1545" width="19.5703125" style="88" customWidth="1"/>
    <col min="1546" max="1546" width="23.5703125" style="88" customWidth="1"/>
    <col min="1547" max="1547" width="13.28515625" style="88" bestFit="1" customWidth="1"/>
    <col min="1548" max="1548" width="15.7109375" style="88" bestFit="1" customWidth="1"/>
    <col min="1549" max="1549" width="20.5703125" style="88" bestFit="1" customWidth="1"/>
    <col min="1550" max="1550" width="14.28515625" style="88" bestFit="1" customWidth="1"/>
    <col min="1551" max="1792" width="11.42578125" style="88"/>
    <col min="1793" max="1793" width="11" style="88" customWidth="1"/>
    <col min="1794" max="1794" width="49" style="88" customWidth="1"/>
    <col min="1795" max="1795" width="19.5703125" style="88" customWidth="1"/>
    <col min="1796" max="1796" width="17.5703125" style="88" bestFit="1" customWidth="1"/>
    <col min="1797" max="1797" width="23.140625" style="88" bestFit="1" customWidth="1"/>
    <col min="1798" max="1798" width="22.85546875" style="88" bestFit="1" customWidth="1"/>
    <col min="1799" max="1799" width="28.28515625" style="88" bestFit="1" customWidth="1"/>
    <col min="1800" max="1800" width="19" style="88" customWidth="1"/>
    <col min="1801" max="1801" width="19.5703125" style="88" customWidth="1"/>
    <col min="1802" max="1802" width="23.5703125" style="88" customWidth="1"/>
    <col min="1803" max="1803" width="13.28515625" style="88" bestFit="1" customWidth="1"/>
    <col min="1804" max="1804" width="15.7109375" style="88" bestFit="1" customWidth="1"/>
    <col min="1805" max="1805" width="20.5703125" style="88" bestFit="1" customWidth="1"/>
    <col min="1806" max="1806" width="14.28515625" style="88" bestFit="1" customWidth="1"/>
    <col min="1807" max="2048" width="11.42578125" style="88"/>
    <col min="2049" max="2049" width="11" style="88" customWidth="1"/>
    <col min="2050" max="2050" width="49" style="88" customWidth="1"/>
    <col min="2051" max="2051" width="19.5703125" style="88" customWidth="1"/>
    <col min="2052" max="2052" width="17.5703125" style="88" bestFit="1" customWidth="1"/>
    <col min="2053" max="2053" width="23.140625" style="88" bestFit="1" customWidth="1"/>
    <col min="2054" max="2054" width="22.85546875" style="88" bestFit="1" customWidth="1"/>
    <col min="2055" max="2055" width="28.28515625" style="88" bestFit="1" customWidth="1"/>
    <col min="2056" max="2056" width="19" style="88" customWidth="1"/>
    <col min="2057" max="2057" width="19.5703125" style="88" customWidth="1"/>
    <col min="2058" max="2058" width="23.5703125" style="88" customWidth="1"/>
    <col min="2059" max="2059" width="13.28515625" style="88" bestFit="1" customWidth="1"/>
    <col min="2060" max="2060" width="15.7109375" style="88" bestFit="1" customWidth="1"/>
    <col min="2061" max="2061" width="20.5703125" style="88" bestFit="1" customWidth="1"/>
    <col min="2062" max="2062" width="14.28515625" style="88" bestFit="1" customWidth="1"/>
    <col min="2063" max="2304" width="11.42578125" style="88"/>
    <col min="2305" max="2305" width="11" style="88" customWidth="1"/>
    <col min="2306" max="2306" width="49" style="88" customWidth="1"/>
    <col min="2307" max="2307" width="19.5703125" style="88" customWidth="1"/>
    <col min="2308" max="2308" width="17.5703125" style="88" bestFit="1" customWidth="1"/>
    <col min="2309" max="2309" width="23.140625" style="88" bestFit="1" customWidth="1"/>
    <col min="2310" max="2310" width="22.85546875" style="88" bestFit="1" customWidth="1"/>
    <col min="2311" max="2311" width="28.28515625" style="88" bestFit="1" customWidth="1"/>
    <col min="2312" max="2312" width="19" style="88" customWidth="1"/>
    <col min="2313" max="2313" width="19.5703125" style="88" customWidth="1"/>
    <col min="2314" max="2314" width="23.5703125" style="88" customWidth="1"/>
    <col min="2315" max="2315" width="13.28515625" style="88" bestFit="1" customWidth="1"/>
    <col min="2316" max="2316" width="15.7109375" style="88" bestFit="1" customWidth="1"/>
    <col min="2317" max="2317" width="20.5703125" style="88" bestFit="1" customWidth="1"/>
    <col min="2318" max="2318" width="14.28515625" style="88" bestFit="1" customWidth="1"/>
    <col min="2319" max="2560" width="11.42578125" style="88"/>
    <col min="2561" max="2561" width="11" style="88" customWidth="1"/>
    <col min="2562" max="2562" width="49" style="88" customWidth="1"/>
    <col min="2563" max="2563" width="19.5703125" style="88" customWidth="1"/>
    <col min="2564" max="2564" width="17.5703125" style="88" bestFit="1" customWidth="1"/>
    <col min="2565" max="2565" width="23.140625" style="88" bestFit="1" customWidth="1"/>
    <col min="2566" max="2566" width="22.85546875" style="88" bestFit="1" customWidth="1"/>
    <col min="2567" max="2567" width="28.28515625" style="88" bestFit="1" customWidth="1"/>
    <col min="2568" max="2568" width="19" style="88" customWidth="1"/>
    <col min="2569" max="2569" width="19.5703125" style="88" customWidth="1"/>
    <col min="2570" max="2570" width="23.5703125" style="88" customWidth="1"/>
    <col min="2571" max="2571" width="13.28515625" style="88" bestFit="1" customWidth="1"/>
    <col min="2572" max="2572" width="15.7109375" style="88" bestFit="1" customWidth="1"/>
    <col min="2573" max="2573" width="20.5703125" style="88" bestFit="1" customWidth="1"/>
    <col min="2574" max="2574" width="14.28515625" style="88" bestFit="1" customWidth="1"/>
    <col min="2575" max="2816" width="11.42578125" style="88"/>
    <col min="2817" max="2817" width="11" style="88" customWidth="1"/>
    <col min="2818" max="2818" width="49" style="88" customWidth="1"/>
    <col min="2819" max="2819" width="19.5703125" style="88" customWidth="1"/>
    <col min="2820" max="2820" width="17.5703125" style="88" bestFit="1" customWidth="1"/>
    <col min="2821" max="2821" width="23.140625" style="88" bestFit="1" customWidth="1"/>
    <col min="2822" max="2822" width="22.85546875" style="88" bestFit="1" customWidth="1"/>
    <col min="2823" max="2823" width="28.28515625" style="88" bestFit="1" customWidth="1"/>
    <col min="2824" max="2824" width="19" style="88" customWidth="1"/>
    <col min="2825" max="2825" width="19.5703125" style="88" customWidth="1"/>
    <col min="2826" max="2826" width="23.5703125" style="88" customWidth="1"/>
    <col min="2827" max="2827" width="13.28515625" style="88" bestFit="1" customWidth="1"/>
    <col min="2828" max="2828" width="15.7109375" style="88" bestFit="1" customWidth="1"/>
    <col min="2829" max="2829" width="20.5703125" style="88" bestFit="1" customWidth="1"/>
    <col min="2830" max="2830" width="14.28515625" style="88" bestFit="1" customWidth="1"/>
    <col min="2831" max="3072" width="11.42578125" style="88"/>
    <col min="3073" max="3073" width="11" style="88" customWidth="1"/>
    <col min="3074" max="3074" width="49" style="88" customWidth="1"/>
    <col min="3075" max="3075" width="19.5703125" style="88" customWidth="1"/>
    <col min="3076" max="3076" width="17.5703125" style="88" bestFit="1" customWidth="1"/>
    <col min="3077" max="3077" width="23.140625" style="88" bestFit="1" customWidth="1"/>
    <col min="3078" max="3078" width="22.85546875" style="88" bestFit="1" customWidth="1"/>
    <col min="3079" max="3079" width="28.28515625" style="88" bestFit="1" customWidth="1"/>
    <col min="3080" max="3080" width="19" style="88" customWidth="1"/>
    <col min="3081" max="3081" width="19.5703125" style="88" customWidth="1"/>
    <col min="3082" max="3082" width="23.5703125" style="88" customWidth="1"/>
    <col min="3083" max="3083" width="13.28515625" style="88" bestFit="1" customWidth="1"/>
    <col min="3084" max="3084" width="15.7109375" style="88" bestFit="1" customWidth="1"/>
    <col min="3085" max="3085" width="20.5703125" style="88" bestFit="1" customWidth="1"/>
    <col min="3086" max="3086" width="14.28515625" style="88" bestFit="1" customWidth="1"/>
    <col min="3087" max="3328" width="11.42578125" style="88"/>
    <col min="3329" max="3329" width="11" style="88" customWidth="1"/>
    <col min="3330" max="3330" width="49" style="88" customWidth="1"/>
    <col min="3331" max="3331" width="19.5703125" style="88" customWidth="1"/>
    <col min="3332" max="3332" width="17.5703125" style="88" bestFit="1" customWidth="1"/>
    <col min="3333" max="3333" width="23.140625" style="88" bestFit="1" customWidth="1"/>
    <col min="3334" max="3334" width="22.85546875" style="88" bestFit="1" customWidth="1"/>
    <col min="3335" max="3335" width="28.28515625" style="88" bestFit="1" customWidth="1"/>
    <col min="3336" max="3336" width="19" style="88" customWidth="1"/>
    <col min="3337" max="3337" width="19.5703125" style="88" customWidth="1"/>
    <col min="3338" max="3338" width="23.5703125" style="88" customWidth="1"/>
    <col min="3339" max="3339" width="13.28515625" style="88" bestFit="1" customWidth="1"/>
    <col min="3340" max="3340" width="15.7109375" style="88" bestFit="1" customWidth="1"/>
    <col min="3341" max="3341" width="20.5703125" style="88" bestFit="1" customWidth="1"/>
    <col min="3342" max="3342" width="14.28515625" style="88" bestFit="1" customWidth="1"/>
    <col min="3343" max="3584" width="11.42578125" style="88"/>
    <col min="3585" max="3585" width="11" style="88" customWidth="1"/>
    <col min="3586" max="3586" width="49" style="88" customWidth="1"/>
    <col min="3587" max="3587" width="19.5703125" style="88" customWidth="1"/>
    <col min="3588" max="3588" width="17.5703125" style="88" bestFit="1" customWidth="1"/>
    <col min="3589" max="3589" width="23.140625" style="88" bestFit="1" customWidth="1"/>
    <col min="3590" max="3590" width="22.85546875" style="88" bestFit="1" customWidth="1"/>
    <col min="3591" max="3591" width="28.28515625" style="88" bestFit="1" customWidth="1"/>
    <col min="3592" max="3592" width="19" style="88" customWidth="1"/>
    <col min="3593" max="3593" width="19.5703125" style="88" customWidth="1"/>
    <col min="3594" max="3594" width="23.5703125" style="88" customWidth="1"/>
    <col min="3595" max="3595" width="13.28515625" style="88" bestFit="1" customWidth="1"/>
    <col min="3596" max="3596" width="15.7109375" style="88" bestFit="1" customWidth="1"/>
    <col min="3597" max="3597" width="20.5703125" style="88" bestFit="1" customWidth="1"/>
    <col min="3598" max="3598" width="14.28515625" style="88" bestFit="1" customWidth="1"/>
    <col min="3599" max="3840" width="11.42578125" style="88"/>
    <col min="3841" max="3841" width="11" style="88" customWidth="1"/>
    <col min="3842" max="3842" width="49" style="88" customWidth="1"/>
    <col min="3843" max="3843" width="19.5703125" style="88" customWidth="1"/>
    <col min="3844" max="3844" width="17.5703125" style="88" bestFit="1" customWidth="1"/>
    <col min="3845" max="3845" width="23.140625" style="88" bestFit="1" customWidth="1"/>
    <col min="3846" max="3846" width="22.85546875" style="88" bestFit="1" customWidth="1"/>
    <col min="3847" max="3847" width="28.28515625" style="88" bestFit="1" customWidth="1"/>
    <col min="3848" max="3848" width="19" style="88" customWidth="1"/>
    <col min="3849" max="3849" width="19.5703125" style="88" customWidth="1"/>
    <col min="3850" max="3850" width="23.5703125" style="88" customWidth="1"/>
    <col min="3851" max="3851" width="13.28515625" style="88" bestFit="1" customWidth="1"/>
    <col min="3852" max="3852" width="15.7109375" style="88" bestFit="1" customWidth="1"/>
    <col min="3853" max="3853" width="20.5703125" style="88" bestFit="1" customWidth="1"/>
    <col min="3854" max="3854" width="14.28515625" style="88" bestFit="1" customWidth="1"/>
    <col min="3855" max="4096" width="11.42578125" style="88"/>
    <col min="4097" max="4097" width="11" style="88" customWidth="1"/>
    <col min="4098" max="4098" width="49" style="88" customWidth="1"/>
    <col min="4099" max="4099" width="19.5703125" style="88" customWidth="1"/>
    <col min="4100" max="4100" width="17.5703125" style="88" bestFit="1" customWidth="1"/>
    <col min="4101" max="4101" width="23.140625" style="88" bestFit="1" customWidth="1"/>
    <col min="4102" max="4102" width="22.85546875" style="88" bestFit="1" customWidth="1"/>
    <col min="4103" max="4103" width="28.28515625" style="88" bestFit="1" customWidth="1"/>
    <col min="4104" max="4104" width="19" style="88" customWidth="1"/>
    <col min="4105" max="4105" width="19.5703125" style="88" customWidth="1"/>
    <col min="4106" max="4106" width="23.5703125" style="88" customWidth="1"/>
    <col min="4107" max="4107" width="13.28515625" style="88" bestFit="1" customWidth="1"/>
    <col min="4108" max="4108" width="15.7109375" style="88" bestFit="1" customWidth="1"/>
    <col min="4109" max="4109" width="20.5703125" style="88" bestFit="1" customWidth="1"/>
    <col min="4110" max="4110" width="14.28515625" style="88" bestFit="1" customWidth="1"/>
    <col min="4111" max="4352" width="11.42578125" style="88"/>
    <col min="4353" max="4353" width="11" style="88" customWidth="1"/>
    <col min="4354" max="4354" width="49" style="88" customWidth="1"/>
    <col min="4355" max="4355" width="19.5703125" style="88" customWidth="1"/>
    <col min="4356" max="4356" width="17.5703125" style="88" bestFit="1" customWidth="1"/>
    <col min="4357" max="4357" width="23.140625" style="88" bestFit="1" customWidth="1"/>
    <col min="4358" max="4358" width="22.85546875" style="88" bestFit="1" customWidth="1"/>
    <col min="4359" max="4359" width="28.28515625" style="88" bestFit="1" customWidth="1"/>
    <col min="4360" max="4360" width="19" style="88" customWidth="1"/>
    <col min="4361" max="4361" width="19.5703125" style="88" customWidth="1"/>
    <col min="4362" max="4362" width="23.5703125" style="88" customWidth="1"/>
    <col min="4363" max="4363" width="13.28515625" style="88" bestFit="1" customWidth="1"/>
    <col min="4364" max="4364" width="15.7109375" style="88" bestFit="1" customWidth="1"/>
    <col min="4365" max="4365" width="20.5703125" style="88" bestFit="1" customWidth="1"/>
    <col min="4366" max="4366" width="14.28515625" style="88" bestFit="1" customWidth="1"/>
    <col min="4367" max="4608" width="11.42578125" style="88"/>
    <col min="4609" max="4609" width="11" style="88" customWidth="1"/>
    <col min="4610" max="4610" width="49" style="88" customWidth="1"/>
    <col min="4611" max="4611" width="19.5703125" style="88" customWidth="1"/>
    <col min="4612" max="4612" width="17.5703125" style="88" bestFit="1" customWidth="1"/>
    <col min="4613" max="4613" width="23.140625" style="88" bestFit="1" customWidth="1"/>
    <col min="4614" max="4614" width="22.85546875" style="88" bestFit="1" customWidth="1"/>
    <col min="4615" max="4615" width="28.28515625" style="88" bestFit="1" customWidth="1"/>
    <col min="4616" max="4616" width="19" style="88" customWidth="1"/>
    <col min="4617" max="4617" width="19.5703125" style="88" customWidth="1"/>
    <col min="4618" max="4618" width="23.5703125" style="88" customWidth="1"/>
    <col min="4619" max="4619" width="13.28515625" style="88" bestFit="1" customWidth="1"/>
    <col min="4620" max="4620" width="15.7109375" style="88" bestFit="1" customWidth="1"/>
    <col min="4621" max="4621" width="20.5703125" style="88" bestFit="1" customWidth="1"/>
    <col min="4622" max="4622" width="14.28515625" style="88" bestFit="1" customWidth="1"/>
    <col min="4623" max="4864" width="11.42578125" style="88"/>
    <col min="4865" max="4865" width="11" style="88" customWidth="1"/>
    <col min="4866" max="4866" width="49" style="88" customWidth="1"/>
    <col min="4867" max="4867" width="19.5703125" style="88" customWidth="1"/>
    <col min="4868" max="4868" width="17.5703125" style="88" bestFit="1" customWidth="1"/>
    <col min="4869" max="4869" width="23.140625" style="88" bestFit="1" customWidth="1"/>
    <col min="4870" max="4870" width="22.85546875" style="88" bestFit="1" customWidth="1"/>
    <col min="4871" max="4871" width="28.28515625" style="88" bestFit="1" customWidth="1"/>
    <col min="4872" max="4872" width="19" style="88" customWidth="1"/>
    <col min="4873" max="4873" width="19.5703125" style="88" customWidth="1"/>
    <col min="4874" max="4874" width="23.5703125" style="88" customWidth="1"/>
    <col min="4875" max="4875" width="13.28515625" style="88" bestFit="1" customWidth="1"/>
    <col min="4876" max="4876" width="15.7109375" style="88" bestFit="1" customWidth="1"/>
    <col min="4877" max="4877" width="20.5703125" style="88" bestFit="1" customWidth="1"/>
    <col min="4878" max="4878" width="14.28515625" style="88" bestFit="1" customWidth="1"/>
    <col min="4879" max="5120" width="11.42578125" style="88"/>
    <col min="5121" max="5121" width="11" style="88" customWidth="1"/>
    <col min="5122" max="5122" width="49" style="88" customWidth="1"/>
    <col min="5123" max="5123" width="19.5703125" style="88" customWidth="1"/>
    <col min="5124" max="5124" width="17.5703125" style="88" bestFit="1" customWidth="1"/>
    <col min="5125" max="5125" width="23.140625" style="88" bestFit="1" customWidth="1"/>
    <col min="5126" max="5126" width="22.85546875" style="88" bestFit="1" customWidth="1"/>
    <col min="5127" max="5127" width="28.28515625" style="88" bestFit="1" customWidth="1"/>
    <col min="5128" max="5128" width="19" style="88" customWidth="1"/>
    <col min="5129" max="5129" width="19.5703125" style="88" customWidth="1"/>
    <col min="5130" max="5130" width="23.5703125" style="88" customWidth="1"/>
    <col min="5131" max="5131" width="13.28515625" style="88" bestFit="1" customWidth="1"/>
    <col min="5132" max="5132" width="15.7109375" style="88" bestFit="1" customWidth="1"/>
    <col min="5133" max="5133" width="20.5703125" style="88" bestFit="1" customWidth="1"/>
    <col min="5134" max="5134" width="14.28515625" style="88" bestFit="1" customWidth="1"/>
    <col min="5135" max="5376" width="11.42578125" style="88"/>
    <col min="5377" max="5377" width="11" style="88" customWidth="1"/>
    <col min="5378" max="5378" width="49" style="88" customWidth="1"/>
    <col min="5379" max="5379" width="19.5703125" style="88" customWidth="1"/>
    <col min="5380" max="5380" width="17.5703125" style="88" bestFit="1" customWidth="1"/>
    <col min="5381" max="5381" width="23.140625" style="88" bestFit="1" customWidth="1"/>
    <col min="5382" max="5382" width="22.85546875" style="88" bestFit="1" customWidth="1"/>
    <col min="5383" max="5383" width="28.28515625" style="88" bestFit="1" customWidth="1"/>
    <col min="5384" max="5384" width="19" style="88" customWidth="1"/>
    <col min="5385" max="5385" width="19.5703125" style="88" customWidth="1"/>
    <col min="5386" max="5386" width="23.5703125" style="88" customWidth="1"/>
    <col min="5387" max="5387" width="13.28515625" style="88" bestFit="1" customWidth="1"/>
    <col min="5388" max="5388" width="15.7109375" style="88" bestFit="1" customWidth="1"/>
    <col min="5389" max="5389" width="20.5703125" style="88" bestFit="1" customWidth="1"/>
    <col min="5390" max="5390" width="14.28515625" style="88" bestFit="1" customWidth="1"/>
    <col min="5391" max="5632" width="11.42578125" style="88"/>
    <col min="5633" max="5633" width="11" style="88" customWidth="1"/>
    <col min="5634" max="5634" width="49" style="88" customWidth="1"/>
    <col min="5635" max="5635" width="19.5703125" style="88" customWidth="1"/>
    <col min="5636" max="5636" width="17.5703125" style="88" bestFit="1" customWidth="1"/>
    <col min="5637" max="5637" width="23.140625" style="88" bestFit="1" customWidth="1"/>
    <col min="5638" max="5638" width="22.85546875" style="88" bestFit="1" customWidth="1"/>
    <col min="5639" max="5639" width="28.28515625" style="88" bestFit="1" customWidth="1"/>
    <col min="5640" max="5640" width="19" style="88" customWidth="1"/>
    <col min="5641" max="5641" width="19.5703125" style="88" customWidth="1"/>
    <col min="5642" max="5642" width="23.5703125" style="88" customWidth="1"/>
    <col min="5643" max="5643" width="13.28515625" style="88" bestFit="1" customWidth="1"/>
    <col min="5644" max="5644" width="15.7109375" style="88" bestFit="1" customWidth="1"/>
    <col min="5645" max="5645" width="20.5703125" style="88" bestFit="1" customWidth="1"/>
    <col min="5646" max="5646" width="14.28515625" style="88" bestFit="1" customWidth="1"/>
    <col min="5647" max="5888" width="11.42578125" style="88"/>
    <col min="5889" max="5889" width="11" style="88" customWidth="1"/>
    <col min="5890" max="5890" width="49" style="88" customWidth="1"/>
    <col min="5891" max="5891" width="19.5703125" style="88" customWidth="1"/>
    <col min="5892" max="5892" width="17.5703125" style="88" bestFit="1" customWidth="1"/>
    <col min="5893" max="5893" width="23.140625" style="88" bestFit="1" customWidth="1"/>
    <col min="5894" max="5894" width="22.85546875" style="88" bestFit="1" customWidth="1"/>
    <col min="5895" max="5895" width="28.28515625" style="88" bestFit="1" customWidth="1"/>
    <col min="5896" max="5896" width="19" style="88" customWidth="1"/>
    <col min="5897" max="5897" width="19.5703125" style="88" customWidth="1"/>
    <col min="5898" max="5898" width="23.5703125" style="88" customWidth="1"/>
    <col min="5899" max="5899" width="13.28515625" style="88" bestFit="1" customWidth="1"/>
    <col min="5900" max="5900" width="15.7109375" style="88" bestFit="1" customWidth="1"/>
    <col min="5901" max="5901" width="20.5703125" style="88" bestFit="1" customWidth="1"/>
    <col min="5902" max="5902" width="14.28515625" style="88" bestFit="1" customWidth="1"/>
    <col min="5903" max="6144" width="11.42578125" style="88"/>
    <col min="6145" max="6145" width="11" style="88" customWidth="1"/>
    <col min="6146" max="6146" width="49" style="88" customWidth="1"/>
    <col min="6147" max="6147" width="19.5703125" style="88" customWidth="1"/>
    <col min="6148" max="6148" width="17.5703125" style="88" bestFit="1" customWidth="1"/>
    <col min="6149" max="6149" width="23.140625" style="88" bestFit="1" customWidth="1"/>
    <col min="6150" max="6150" width="22.85546875" style="88" bestFit="1" customWidth="1"/>
    <col min="6151" max="6151" width="28.28515625" style="88" bestFit="1" customWidth="1"/>
    <col min="6152" max="6152" width="19" style="88" customWidth="1"/>
    <col min="6153" max="6153" width="19.5703125" style="88" customWidth="1"/>
    <col min="6154" max="6154" width="23.5703125" style="88" customWidth="1"/>
    <col min="6155" max="6155" width="13.28515625" style="88" bestFit="1" customWidth="1"/>
    <col min="6156" max="6156" width="15.7109375" style="88" bestFit="1" customWidth="1"/>
    <col min="6157" max="6157" width="20.5703125" style="88" bestFit="1" customWidth="1"/>
    <col min="6158" max="6158" width="14.28515625" style="88" bestFit="1" customWidth="1"/>
    <col min="6159" max="6400" width="11.42578125" style="88"/>
    <col min="6401" max="6401" width="11" style="88" customWidth="1"/>
    <col min="6402" max="6402" width="49" style="88" customWidth="1"/>
    <col min="6403" max="6403" width="19.5703125" style="88" customWidth="1"/>
    <col min="6404" max="6404" width="17.5703125" style="88" bestFit="1" customWidth="1"/>
    <col min="6405" max="6405" width="23.140625" style="88" bestFit="1" customWidth="1"/>
    <col min="6406" max="6406" width="22.85546875" style="88" bestFit="1" customWidth="1"/>
    <col min="6407" max="6407" width="28.28515625" style="88" bestFit="1" customWidth="1"/>
    <col min="6408" max="6408" width="19" style="88" customWidth="1"/>
    <col min="6409" max="6409" width="19.5703125" style="88" customWidth="1"/>
    <col min="6410" max="6410" width="23.5703125" style="88" customWidth="1"/>
    <col min="6411" max="6411" width="13.28515625" style="88" bestFit="1" customWidth="1"/>
    <col min="6412" max="6412" width="15.7109375" style="88" bestFit="1" customWidth="1"/>
    <col min="6413" max="6413" width="20.5703125" style="88" bestFit="1" customWidth="1"/>
    <col min="6414" max="6414" width="14.28515625" style="88" bestFit="1" customWidth="1"/>
    <col min="6415" max="6656" width="11.42578125" style="88"/>
    <col min="6657" max="6657" width="11" style="88" customWidth="1"/>
    <col min="6658" max="6658" width="49" style="88" customWidth="1"/>
    <col min="6659" max="6659" width="19.5703125" style="88" customWidth="1"/>
    <col min="6660" max="6660" width="17.5703125" style="88" bestFit="1" customWidth="1"/>
    <col min="6661" max="6661" width="23.140625" style="88" bestFit="1" customWidth="1"/>
    <col min="6662" max="6662" width="22.85546875" style="88" bestFit="1" customWidth="1"/>
    <col min="6663" max="6663" width="28.28515625" style="88" bestFit="1" customWidth="1"/>
    <col min="6664" max="6664" width="19" style="88" customWidth="1"/>
    <col min="6665" max="6665" width="19.5703125" style="88" customWidth="1"/>
    <col min="6666" max="6666" width="23.5703125" style="88" customWidth="1"/>
    <col min="6667" max="6667" width="13.28515625" style="88" bestFit="1" customWidth="1"/>
    <col min="6668" max="6668" width="15.7109375" style="88" bestFit="1" customWidth="1"/>
    <col min="6669" max="6669" width="20.5703125" style="88" bestFit="1" customWidth="1"/>
    <col min="6670" max="6670" width="14.28515625" style="88" bestFit="1" customWidth="1"/>
    <col min="6671" max="6912" width="11.42578125" style="88"/>
    <col min="6913" max="6913" width="11" style="88" customWidth="1"/>
    <col min="6914" max="6914" width="49" style="88" customWidth="1"/>
    <col min="6915" max="6915" width="19.5703125" style="88" customWidth="1"/>
    <col min="6916" max="6916" width="17.5703125" style="88" bestFit="1" customWidth="1"/>
    <col min="6917" max="6917" width="23.140625" style="88" bestFit="1" customWidth="1"/>
    <col min="6918" max="6918" width="22.85546875" style="88" bestFit="1" customWidth="1"/>
    <col min="6919" max="6919" width="28.28515625" style="88" bestFit="1" customWidth="1"/>
    <col min="6920" max="6920" width="19" style="88" customWidth="1"/>
    <col min="6921" max="6921" width="19.5703125" style="88" customWidth="1"/>
    <col min="6922" max="6922" width="23.5703125" style="88" customWidth="1"/>
    <col min="6923" max="6923" width="13.28515625" style="88" bestFit="1" customWidth="1"/>
    <col min="6924" max="6924" width="15.7109375" style="88" bestFit="1" customWidth="1"/>
    <col min="6925" max="6925" width="20.5703125" style="88" bestFit="1" customWidth="1"/>
    <col min="6926" max="6926" width="14.28515625" style="88" bestFit="1" customWidth="1"/>
    <col min="6927" max="7168" width="11.42578125" style="88"/>
    <col min="7169" max="7169" width="11" style="88" customWidth="1"/>
    <col min="7170" max="7170" width="49" style="88" customWidth="1"/>
    <col min="7171" max="7171" width="19.5703125" style="88" customWidth="1"/>
    <col min="7172" max="7172" width="17.5703125" style="88" bestFit="1" customWidth="1"/>
    <col min="7173" max="7173" width="23.140625" style="88" bestFit="1" customWidth="1"/>
    <col min="7174" max="7174" width="22.85546875" style="88" bestFit="1" customWidth="1"/>
    <col min="7175" max="7175" width="28.28515625" style="88" bestFit="1" customWidth="1"/>
    <col min="7176" max="7176" width="19" style="88" customWidth="1"/>
    <col min="7177" max="7177" width="19.5703125" style="88" customWidth="1"/>
    <col min="7178" max="7178" width="23.5703125" style="88" customWidth="1"/>
    <col min="7179" max="7179" width="13.28515625" style="88" bestFit="1" customWidth="1"/>
    <col min="7180" max="7180" width="15.7109375" style="88" bestFit="1" customWidth="1"/>
    <col min="7181" max="7181" width="20.5703125" style="88" bestFit="1" customWidth="1"/>
    <col min="7182" max="7182" width="14.28515625" style="88" bestFit="1" customWidth="1"/>
    <col min="7183" max="7424" width="11.42578125" style="88"/>
    <col min="7425" max="7425" width="11" style="88" customWidth="1"/>
    <col min="7426" max="7426" width="49" style="88" customWidth="1"/>
    <col min="7427" max="7427" width="19.5703125" style="88" customWidth="1"/>
    <col min="7428" max="7428" width="17.5703125" style="88" bestFit="1" customWidth="1"/>
    <col min="7429" max="7429" width="23.140625" style="88" bestFit="1" customWidth="1"/>
    <col min="7430" max="7430" width="22.85546875" style="88" bestFit="1" customWidth="1"/>
    <col min="7431" max="7431" width="28.28515625" style="88" bestFit="1" customWidth="1"/>
    <col min="7432" max="7432" width="19" style="88" customWidth="1"/>
    <col min="7433" max="7433" width="19.5703125" style="88" customWidth="1"/>
    <col min="7434" max="7434" width="23.5703125" style="88" customWidth="1"/>
    <col min="7435" max="7435" width="13.28515625" style="88" bestFit="1" customWidth="1"/>
    <col min="7436" max="7436" width="15.7109375" style="88" bestFit="1" customWidth="1"/>
    <col min="7437" max="7437" width="20.5703125" style="88" bestFit="1" customWidth="1"/>
    <col min="7438" max="7438" width="14.28515625" style="88" bestFit="1" customWidth="1"/>
    <col min="7439" max="7680" width="11.42578125" style="88"/>
    <col min="7681" max="7681" width="11" style="88" customWidth="1"/>
    <col min="7682" max="7682" width="49" style="88" customWidth="1"/>
    <col min="7683" max="7683" width="19.5703125" style="88" customWidth="1"/>
    <col min="7684" max="7684" width="17.5703125" style="88" bestFit="1" customWidth="1"/>
    <col min="7685" max="7685" width="23.140625" style="88" bestFit="1" customWidth="1"/>
    <col min="7686" max="7686" width="22.85546875" style="88" bestFit="1" customWidth="1"/>
    <col min="7687" max="7687" width="28.28515625" style="88" bestFit="1" customWidth="1"/>
    <col min="7688" max="7688" width="19" style="88" customWidth="1"/>
    <col min="7689" max="7689" width="19.5703125" style="88" customWidth="1"/>
    <col min="7690" max="7690" width="23.5703125" style="88" customWidth="1"/>
    <col min="7691" max="7691" width="13.28515625" style="88" bestFit="1" customWidth="1"/>
    <col min="7692" max="7692" width="15.7109375" style="88" bestFit="1" customWidth="1"/>
    <col min="7693" max="7693" width="20.5703125" style="88" bestFit="1" customWidth="1"/>
    <col min="7694" max="7694" width="14.28515625" style="88" bestFit="1" customWidth="1"/>
    <col min="7695" max="7936" width="11.42578125" style="88"/>
    <col min="7937" max="7937" width="11" style="88" customWidth="1"/>
    <col min="7938" max="7938" width="49" style="88" customWidth="1"/>
    <col min="7939" max="7939" width="19.5703125" style="88" customWidth="1"/>
    <col min="7940" max="7940" width="17.5703125" style="88" bestFit="1" customWidth="1"/>
    <col min="7941" max="7941" width="23.140625" style="88" bestFit="1" customWidth="1"/>
    <col min="7942" max="7942" width="22.85546875" style="88" bestFit="1" customWidth="1"/>
    <col min="7943" max="7943" width="28.28515625" style="88" bestFit="1" customWidth="1"/>
    <col min="7944" max="7944" width="19" style="88" customWidth="1"/>
    <col min="7945" max="7945" width="19.5703125" style="88" customWidth="1"/>
    <col min="7946" max="7946" width="23.5703125" style="88" customWidth="1"/>
    <col min="7947" max="7947" width="13.28515625" style="88" bestFit="1" customWidth="1"/>
    <col min="7948" max="7948" width="15.7109375" style="88" bestFit="1" customWidth="1"/>
    <col min="7949" max="7949" width="20.5703125" style="88" bestFit="1" customWidth="1"/>
    <col min="7950" max="7950" width="14.28515625" style="88" bestFit="1" customWidth="1"/>
    <col min="7951" max="8192" width="11.42578125" style="88"/>
    <col min="8193" max="8193" width="11" style="88" customWidth="1"/>
    <col min="8194" max="8194" width="49" style="88" customWidth="1"/>
    <col min="8195" max="8195" width="19.5703125" style="88" customWidth="1"/>
    <col min="8196" max="8196" width="17.5703125" style="88" bestFit="1" customWidth="1"/>
    <col min="8197" max="8197" width="23.140625" style="88" bestFit="1" customWidth="1"/>
    <col min="8198" max="8198" width="22.85546875" style="88" bestFit="1" customWidth="1"/>
    <col min="8199" max="8199" width="28.28515625" style="88" bestFit="1" customWidth="1"/>
    <col min="8200" max="8200" width="19" style="88" customWidth="1"/>
    <col min="8201" max="8201" width="19.5703125" style="88" customWidth="1"/>
    <col min="8202" max="8202" width="23.5703125" style="88" customWidth="1"/>
    <col min="8203" max="8203" width="13.28515625" style="88" bestFit="1" customWidth="1"/>
    <col min="8204" max="8204" width="15.7109375" style="88" bestFit="1" customWidth="1"/>
    <col min="8205" max="8205" width="20.5703125" style="88" bestFit="1" customWidth="1"/>
    <col min="8206" max="8206" width="14.28515625" style="88" bestFit="1" customWidth="1"/>
    <col min="8207" max="8448" width="11.42578125" style="88"/>
    <col min="8449" max="8449" width="11" style="88" customWidth="1"/>
    <col min="8450" max="8450" width="49" style="88" customWidth="1"/>
    <col min="8451" max="8451" width="19.5703125" style="88" customWidth="1"/>
    <col min="8452" max="8452" width="17.5703125" style="88" bestFit="1" customWidth="1"/>
    <col min="8453" max="8453" width="23.140625" style="88" bestFit="1" customWidth="1"/>
    <col min="8454" max="8454" width="22.85546875" style="88" bestFit="1" customWidth="1"/>
    <col min="8455" max="8455" width="28.28515625" style="88" bestFit="1" customWidth="1"/>
    <col min="8456" max="8456" width="19" style="88" customWidth="1"/>
    <col min="8457" max="8457" width="19.5703125" style="88" customWidth="1"/>
    <col min="8458" max="8458" width="23.5703125" style="88" customWidth="1"/>
    <col min="8459" max="8459" width="13.28515625" style="88" bestFit="1" customWidth="1"/>
    <col min="8460" max="8460" width="15.7109375" style="88" bestFit="1" customWidth="1"/>
    <col min="8461" max="8461" width="20.5703125" style="88" bestFit="1" customWidth="1"/>
    <col min="8462" max="8462" width="14.28515625" style="88" bestFit="1" customWidth="1"/>
    <col min="8463" max="8704" width="11.42578125" style="88"/>
    <col min="8705" max="8705" width="11" style="88" customWidth="1"/>
    <col min="8706" max="8706" width="49" style="88" customWidth="1"/>
    <col min="8707" max="8707" width="19.5703125" style="88" customWidth="1"/>
    <col min="8708" max="8708" width="17.5703125" style="88" bestFit="1" customWidth="1"/>
    <col min="8709" max="8709" width="23.140625" style="88" bestFit="1" customWidth="1"/>
    <col min="8710" max="8710" width="22.85546875" style="88" bestFit="1" customWidth="1"/>
    <col min="8711" max="8711" width="28.28515625" style="88" bestFit="1" customWidth="1"/>
    <col min="8712" max="8712" width="19" style="88" customWidth="1"/>
    <col min="8713" max="8713" width="19.5703125" style="88" customWidth="1"/>
    <col min="8714" max="8714" width="23.5703125" style="88" customWidth="1"/>
    <col min="8715" max="8715" width="13.28515625" style="88" bestFit="1" customWidth="1"/>
    <col min="8716" max="8716" width="15.7109375" style="88" bestFit="1" customWidth="1"/>
    <col min="8717" max="8717" width="20.5703125" style="88" bestFit="1" customWidth="1"/>
    <col min="8718" max="8718" width="14.28515625" style="88" bestFit="1" customWidth="1"/>
    <col min="8719" max="8960" width="11.42578125" style="88"/>
    <col min="8961" max="8961" width="11" style="88" customWidth="1"/>
    <col min="8962" max="8962" width="49" style="88" customWidth="1"/>
    <col min="8963" max="8963" width="19.5703125" style="88" customWidth="1"/>
    <col min="8964" max="8964" width="17.5703125" style="88" bestFit="1" customWidth="1"/>
    <col min="8965" max="8965" width="23.140625" style="88" bestFit="1" customWidth="1"/>
    <col min="8966" max="8966" width="22.85546875" style="88" bestFit="1" customWidth="1"/>
    <col min="8967" max="8967" width="28.28515625" style="88" bestFit="1" customWidth="1"/>
    <col min="8968" max="8968" width="19" style="88" customWidth="1"/>
    <col min="8969" max="8969" width="19.5703125" style="88" customWidth="1"/>
    <col min="8970" max="8970" width="23.5703125" style="88" customWidth="1"/>
    <col min="8971" max="8971" width="13.28515625" style="88" bestFit="1" customWidth="1"/>
    <col min="8972" max="8972" width="15.7109375" style="88" bestFit="1" customWidth="1"/>
    <col min="8973" max="8973" width="20.5703125" style="88" bestFit="1" customWidth="1"/>
    <col min="8974" max="8974" width="14.28515625" style="88" bestFit="1" customWidth="1"/>
    <col min="8975" max="9216" width="11.42578125" style="88"/>
    <col min="9217" max="9217" width="11" style="88" customWidth="1"/>
    <col min="9218" max="9218" width="49" style="88" customWidth="1"/>
    <col min="9219" max="9219" width="19.5703125" style="88" customWidth="1"/>
    <col min="9220" max="9220" width="17.5703125" style="88" bestFit="1" customWidth="1"/>
    <col min="9221" max="9221" width="23.140625" style="88" bestFit="1" customWidth="1"/>
    <col min="9222" max="9222" width="22.85546875" style="88" bestFit="1" customWidth="1"/>
    <col min="9223" max="9223" width="28.28515625" style="88" bestFit="1" customWidth="1"/>
    <col min="9224" max="9224" width="19" style="88" customWidth="1"/>
    <col min="9225" max="9225" width="19.5703125" style="88" customWidth="1"/>
    <col min="9226" max="9226" width="23.5703125" style="88" customWidth="1"/>
    <col min="9227" max="9227" width="13.28515625" style="88" bestFit="1" customWidth="1"/>
    <col min="9228" max="9228" width="15.7109375" style="88" bestFit="1" customWidth="1"/>
    <col min="9229" max="9229" width="20.5703125" style="88" bestFit="1" customWidth="1"/>
    <col min="9230" max="9230" width="14.28515625" style="88" bestFit="1" customWidth="1"/>
    <col min="9231" max="9472" width="11.42578125" style="88"/>
    <col min="9473" max="9473" width="11" style="88" customWidth="1"/>
    <col min="9474" max="9474" width="49" style="88" customWidth="1"/>
    <col min="9475" max="9475" width="19.5703125" style="88" customWidth="1"/>
    <col min="9476" max="9476" width="17.5703125" style="88" bestFit="1" customWidth="1"/>
    <col min="9477" max="9477" width="23.140625" style="88" bestFit="1" customWidth="1"/>
    <col min="9478" max="9478" width="22.85546875" style="88" bestFit="1" customWidth="1"/>
    <col min="9479" max="9479" width="28.28515625" style="88" bestFit="1" customWidth="1"/>
    <col min="9480" max="9480" width="19" style="88" customWidth="1"/>
    <col min="9481" max="9481" width="19.5703125" style="88" customWidth="1"/>
    <col min="9482" max="9482" width="23.5703125" style="88" customWidth="1"/>
    <col min="9483" max="9483" width="13.28515625" style="88" bestFit="1" customWidth="1"/>
    <col min="9484" max="9484" width="15.7109375" style="88" bestFit="1" customWidth="1"/>
    <col min="9485" max="9485" width="20.5703125" style="88" bestFit="1" customWidth="1"/>
    <col min="9486" max="9486" width="14.28515625" style="88" bestFit="1" customWidth="1"/>
    <col min="9487" max="9728" width="11.42578125" style="88"/>
    <col min="9729" max="9729" width="11" style="88" customWidth="1"/>
    <col min="9730" max="9730" width="49" style="88" customWidth="1"/>
    <col min="9731" max="9731" width="19.5703125" style="88" customWidth="1"/>
    <col min="9732" max="9732" width="17.5703125" style="88" bestFit="1" customWidth="1"/>
    <col min="9733" max="9733" width="23.140625" style="88" bestFit="1" customWidth="1"/>
    <col min="9734" max="9734" width="22.85546875" style="88" bestFit="1" customWidth="1"/>
    <col min="9735" max="9735" width="28.28515625" style="88" bestFit="1" customWidth="1"/>
    <col min="9736" max="9736" width="19" style="88" customWidth="1"/>
    <col min="9737" max="9737" width="19.5703125" style="88" customWidth="1"/>
    <col min="9738" max="9738" width="23.5703125" style="88" customWidth="1"/>
    <col min="9739" max="9739" width="13.28515625" style="88" bestFit="1" customWidth="1"/>
    <col min="9740" max="9740" width="15.7109375" style="88" bestFit="1" customWidth="1"/>
    <col min="9741" max="9741" width="20.5703125" style="88" bestFit="1" customWidth="1"/>
    <col min="9742" max="9742" width="14.28515625" style="88" bestFit="1" customWidth="1"/>
    <col min="9743" max="9984" width="11.42578125" style="88"/>
    <col min="9985" max="9985" width="11" style="88" customWidth="1"/>
    <col min="9986" max="9986" width="49" style="88" customWidth="1"/>
    <col min="9987" max="9987" width="19.5703125" style="88" customWidth="1"/>
    <col min="9988" max="9988" width="17.5703125" style="88" bestFit="1" customWidth="1"/>
    <col min="9989" max="9989" width="23.140625" style="88" bestFit="1" customWidth="1"/>
    <col min="9990" max="9990" width="22.85546875" style="88" bestFit="1" customWidth="1"/>
    <col min="9991" max="9991" width="28.28515625" style="88" bestFit="1" customWidth="1"/>
    <col min="9992" max="9992" width="19" style="88" customWidth="1"/>
    <col min="9993" max="9993" width="19.5703125" style="88" customWidth="1"/>
    <col min="9994" max="9994" width="23.5703125" style="88" customWidth="1"/>
    <col min="9995" max="9995" width="13.28515625" style="88" bestFit="1" customWidth="1"/>
    <col min="9996" max="9996" width="15.7109375" style="88" bestFit="1" customWidth="1"/>
    <col min="9997" max="9997" width="20.5703125" style="88" bestFit="1" customWidth="1"/>
    <col min="9998" max="9998" width="14.28515625" style="88" bestFit="1" customWidth="1"/>
    <col min="9999" max="10240" width="11.42578125" style="88"/>
    <col min="10241" max="10241" width="11" style="88" customWidth="1"/>
    <col min="10242" max="10242" width="49" style="88" customWidth="1"/>
    <col min="10243" max="10243" width="19.5703125" style="88" customWidth="1"/>
    <col min="10244" max="10244" width="17.5703125" style="88" bestFit="1" customWidth="1"/>
    <col min="10245" max="10245" width="23.140625" style="88" bestFit="1" customWidth="1"/>
    <col min="10246" max="10246" width="22.85546875" style="88" bestFit="1" customWidth="1"/>
    <col min="10247" max="10247" width="28.28515625" style="88" bestFit="1" customWidth="1"/>
    <col min="10248" max="10248" width="19" style="88" customWidth="1"/>
    <col min="10249" max="10249" width="19.5703125" style="88" customWidth="1"/>
    <col min="10250" max="10250" width="23.5703125" style="88" customWidth="1"/>
    <col min="10251" max="10251" width="13.28515625" style="88" bestFit="1" customWidth="1"/>
    <col min="10252" max="10252" width="15.7109375" style="88" bestFit="1" customWidth="1"/>
    <col min="10253" max="10253" width="20.5703125" style="88" bestFit="1" customWidth="1"/>
    <col min="10254" max="10254" width="14.28515625" style="88" bestFit="1" customWidth="1"/>
    <col min="10255" max="10496" width="11.42578125" style="88"/>
    <col min="10497" max="10497" width="11" style="88" customWidth="1"/>
    <col min="10498" max="10498" width="49" style="88" customWidth="1"/>
    <col min="10499" max="10499" width="19.5703125" style="88" customWidth="1"/>
    <col min="10500" max="10500" width="17.5703125" style="88" bestFit="1" customWidth="1"/>
    <col min="10501" max="10501" width="23.140625" style="88" bestFit="1" customWidth="1"/>
    <col min="10502" max="10502" width="22.85546875" style="88" bestFit="1" customWidth="1"/>
    <col min="10503" max="10503" width="28.28515625" style="88" bestFit="1" customWidth="1"/>
    <col min="10504" max="10504" width="19" style="88" customWidth="1"/>
    <col min="10505" max="10505" width="19.5703125" style="88" customWidth="1"/>
    <col min="10506" max="10506" width="23.5703125" style="88" customWidth="1"/>
    <col min="10507" max="10507" width="13.28515625" style="88" bestFit="1" customWidth="1"/>
    <col min="10508" max="10508" width="15.7109375" style="88" bestFit="1" customWidth="1"/>
    <col min="10509" max="10509" width="20.5703125" style="88" bestFit="1" customWidth="1"/>
    <col min="10510" max="10510" width="14.28515625" style="88" bestFit="1" customWidth="1"/>
    <col min="10511" max="10752" width="11.42578125" style="88"/>
    <col min="10753" max="10753" width="11" style="88" customWidth="1"/>
    <col min="10754" max="10754" width="49" style="88" customWidth="1"/>
    <col min="10755" max="10755" width="19.5703125" style="88" customWidth="1"/>
    <col min="10756" max="10756" width="17.5703125" style="88" bestFit="1" customWidth="1"/>
    <col min="10757" max="10757" width="23.140625" style="88" bestFit="1" customWidth="1"/>
    <col min="10758" max="10758" width="22.85546875" style="88" bestFit="1" customWidth="1"/>
    <col min="10759" max="10759" width="28.28515625" style="88" bestFit="1" customWidth="1"/>
    <col min="10760" max="10760" width="19" style="88" customWidth="1"/>
    <col min="10761" max="10761" width="19.5703125" style="88" customWidth="1"/>
    <col min="10762" max="10762" width="23.5703125" style="88" customWidth="1"/>
    <col min="10763" max="10763" width="13.28515625" style="88" bestFit="1" customWidth="1"/>
    <col min="10764" max="10764" width="15.7109375" style="88" bestFit="1" customWidth="1"/>
    <col min="10765" max="10765" width="20.5703125" style="88" bestFit="1" customWidth="1"/>
    <col min="10766" max="10766" width="14.28515625" style="88" bestFit="1" customWidth="1"/>
    <col min="10767" max="11008" width="11.42578125" style="88"/>
    <col min="11009" max="11009" width="11" style="88" customWidth="1"/>
    <col min="11010" max="11010" width="49" style="88" customWidth="1"/>
    <col min="11011" max="11011" width="19.5703125" style="88" customWidth="1"/>
    <col min="11012" max="11012" width="17.5703125" style="88" bestFit="1" customWidth="1"/>
    <col min="11013" max="11013" width="23.140625" style="88" bestFit="1" customWidth="1"/>
    <col min="11014" max="11014" width="22.85546875" style="88" bestFit="1" customWidth="1"/>
    <col min="11015" max="11015" width="28.28515625" style="88" bestFit="1" customWidth="1"/>
    <col min="11016" max="11016" width="19" style="88" customWidth="1"/>
    <col min="11017" max="11017" width="19.5703125" style="88" customWidth="1"/>
    <col min="11018" max="11018" width="23.5703125" style="88" customWidth="1"/>
    <col min="11019" max="11019" width="13.28515625" style="88" bestFit="1" customWidth="1"/>
    <col min="11020" max="11020" width="15.7109375" style="88" bestFit="1" customWidth="1"/>
    <col min="11021" max="11021" width="20.5703125" style="88" bestFit="1" customWidth="1"/>
    <col min="11022" max="11022" width="14.28515625" style="88" bestFit="1" customWidth="1"/>
    <col min="11023" max="11264" width="11.42578125" style="88"/>
    <col min="11265" max="11265" width="11" style="88" customWidth="1"/>
    <col min="11266" max="11266" width="49" style="88" customWidth="1"/>
    <col min="11267" max="11267" width="19.5703125" style="88" customWidth="1"/>
    <col min="11268" max="11268" width="17.5703125" style="88" bestFit="1" customWidth="1"/>
    <col min="11269" max="11269" width="23.140625" style="88" bestFit="1" customWidth="1"/>
    <col min="11270" max="11270" width="22.85546875" style="88" bestFit="1" customWidth="1"/>
    <col min="11271" max="11271" width="28.28515625" style="88" bestFit="1" customWidth="1"/>
    <col min="11272" max="11272" width="19" style="88" customWidth="1"/>
    <col min="11273" max="11273" width="19.5703125" style="88" customWidth="1"/>
    <col min="11274" max="11274" width="23.5703125" style="88" customWidth="1"/>
    <col min="11275" max="11275" width="13.28515625" style="88" bestFit="1" customWidth="1"/>
    <col min="11276" max="11276" width="15.7109375" style="88" bestFit="1" customWidth="1"/>
    <col min="11277" max="11277" width="20.5703125" style="88" bestFit="1" customWidth="1"/>
    <col min="11278" max="11278" width="14.28515625" style="88" bestFit="1" customWidth="1"/>
    <col min="11279" max="11520" width="11.42578125" style="88"/>
    <col min="11521" max="11521" width="11" style="88" customWidth="1"/>
    <col min="11522" max="11522" width="49" style="88" customWidth="1"/>
    <col min="11523" max="11523" width="19.5703125" style="88" customWidth="1"/>
    <col min="11524" max="11524" width="17.5703125" style="88" bestFit="1" customWidth="1"/>
    <col min="11525" max="11525" width="23.140625" style="88" bestFit="1" customWidth="1"/>
    <col min="11526" max="11526" width="22.85546875" style="88" bestFit="1" customWidth="1"/>
    <col min="11527" max="11527" width="28.28515625" style="88" bestFit="1" customWidth="1"/>
    <col min="11528" max="11528" width="19" style="88" customWidth="1"/>
    <col min="11529" max="11529" width="19.5703125" style="88" customWidth="1"/>
    <col min="11530" max="11530" width="23.5703125" style="88" customWidth="1"/>
    <col min="11531" max="11531" width="13.28515625" style="88" bestFit="1" customWidth="1"/>
    <col min="11532" max="11532" width="15.7109375" style="88" bestFit="1" customWidth="1"/>
    <col min="11533" max="11533" width="20.5703125" style="88" bestFit="1" customWidth="1"/>
    <col min="11534" max="11534" width="14.28515625" style="88" bestFit="1" customWidth="1"/>
    <col min="11535" max="11776" width="11.42578125" style="88"/>
    <col min="11777" max="11777" width="11" style="88" customWidth="1"/>
    <col min="11778" max="11778" width="49" style="88" customWidth="1"/>
    <col min="11779" max="11779" width="19.5703125" style="88" customWidth="1"/>
    <col min="11780" max="11780" width="17.5703125" style="88" bestFit="1" customWidth="1"/>
    <col min="11781" max="11781" width="23.140625" style="88" bestFit="1" customWidth="1"/>
    <col min="11782" max="11782" width="22.85546875" style="88" bestFit="1" customWidth="1"/>
    <col min="11783" max="11783" width="28.28515625" style="88" bestFit="1" customWidth="1"/>
    <col min="11784" max="11784" width="19" style="88" customWidth="1"/>
    <col min="11785" max="11785" width="19.5703125" style="88" customWidth="1"/>
    <col min="11786" max="11786" width="23.5703125" style="88" customWidth="1"/>
    <col min="11787" max="11787" width="13.28515625" style="88" bestFit="1" customWidth="1"/>
    <col min="11788" max="11788" width="15.7109375" style="88" bestFit="1" customWidth="1"/>
    <col min="11789" max="11789" width="20.5703125" style="88" bestFit="1" customWidth="1"/>
    <col min="11790" max="11790" width="14.28515625" style="88" bestFit="1" customWidth="1"/>
    <col min="11791" max="12032" width="11.42578125" style="88"/>
    <col min="12033" max="12033" width="11" style="88" customWidth="1"/>
    <col min="12034" max="12034" width="49" style="88" customWidth="1"/>
    <col min="12035" max="12035" width="19.5703125" style="88" customWidth="1"/>
    <col min="12036" max="12036" width="17.5703125" style="88" bestFit="1" customWidth="1"/>
    <col min="12037" max="12037" width="23.140625" style="88" bestFit="1" customWidth="1"/>
    <col min="12038" max="12038" width="22.85546875" style="88" bestFit="1" customWidth="1"/>
    <col min="12039" max="12039" width="28.28515625" style="88" bestFit="1" customWidth="1"/>
    <col min="12040" max="12040" width="19" style="88" customWidth="1"/>
    <col min="12041" max="12041" width="19.5703125" style="88" customWidth="1"/>
    <col min="12042" max="12042" width="23.5703125" style="88" customWidth="1"/>
    <col min="12043" max="12043" width="13.28515625" style="88" bestFit="1" customWidth="1"/>
    <col min="12044" max="12044" width="15.7109375" style="88" bestFit="1" customWidth="1"/>
    <col min="12045" max="12045" width="20.5703125" style="88" bestFit="1" customWidth="1"/>
    <col min="12046" max="12046" width="14.28515625" style="88" bestFit="1" customWidth="1"/>
    <col min="12047" max="12288" width="11.42578125" style="88"/>
    <col min="12289" max="12289" width="11" style="88" customWidth="1"/>
    <col min="12290" max="12290" width="49" style="88" customWidth="1"/>
    <col min="12291" max="12291" width="19.5703125" style="88" customWidth="1"/>
    <col min="12292" max="12292" width="17.5703125" style="88" bestFit="1" customWidth="1"/>
    <col min="12293" max="12293" width="23.140625" style="88" bestFit="1" customWidth="1"/>
    <col min="12294" max="12294" width="22.85546875" style="88" bestFit="1" customWidth="1"/>
    <col min="12295" max="12295" width="28.28515625" style="88" bestFit="1" customWidth="1"/>
    <col min="12296" max="12296" width="19" style="88" customWidth="1"/>
    <col min="12297" max="12297" width="19.5703125" style="88" customWidth="1"/>
    <col min="12298" max="12298" width="23.5703125" style="88" customWidth="1"/>
    <col min="12299" max="12299" width="13.28515625" style="88" bestFit="1" customWidth="1"/>
    <col min="12300" max="12300" width="15.7109375" style="88" bestFit="1" customWidth="1"/>
    <col min="12301" max="12301" width="20.5703125" style="88" bestFit="1" customWidth="1"/>
    <col min="12302" max="12302" width="14.28515625" style="88" bestFit="1" customWidth="1"/>
    <col min="12303" max="12544" width="11.42578125" style="88"/>
    <col min="12545" max="12545" width="11" style="88" customWidth="1"/>
    <col min="12546" max="12546" width="49" style="88" customWidth="1"/>
    <col min="12547" max="12547" width="19.5703125" style="88" customWidth="1"/>
    <col min="12548" max="12548" width="17.5703125" style="88" bestFit="1" customWidth="1"/>
    <col min="12549" max="12549" width="23.140625" style="88" bestFit="1" customWidth="1"/>
    <col min="12550" max="12550" width="22.85546875" style="88" bestFit="1" customWidth="1"/>
    <col min="12551" max="12551" width="28.28515625" style="88" bestFit="1" customWidth="1"/>
    <col min="12552" max="12552" width="19" style="88" customWidth="1"/>
    <col min="12553" max="12553" width="19.5703125" style="88" customWidth="1"/>
    <col min="12554" max="12554" width="23.5703125" style="88" customWidth="1"/>
    <col min="12555" max="12555" width="13.28515625" style="88" bestFit="1" customWidth="1"/>
    <col min="12556" max="12556" width="15.7109375" style="88" bestFit="1" customWidth="1"/>
    <col min="12557" max="12557" width="20.5703125" style="88" bestFit="1" customWidth="1"/>
    <col min="12558" max="12558" width="14.28515625" style="88" bestFit="1" customWidth="1"/>
    <col min="12559" max="12800" width="11.42578125" style="88"/>
    <col min="12801" max="12801" width="11" style="88" customWidth="1"/>
    <col min="12802" max="12802" width="49" style="88" customWidth="1"/>
    <col min="12803" max="12803" width="19.5703125" style="88" customWidth="1"/>
    <col min="12804" max="12804" width="17.5703125" style="88" bestFit="1" customWidth="1"/>
    <col min="12805" max="12805" width="23.140625" style="88" bestFit="1" customWidth="1"/>
    <col min="12806" max="12806" width="22.85546875" style="88" bestFit="1" customWidth="1"/>
    <col min="12807" max="12807" width="28.28515625" style="88" bestFit="1" customWidth="1"/>
    <col min="12808" max="12808" width="19" style="88" customWidth="1"/>
    <col min="12809" max="12809" width="19.5703125" style="88" customWidth="1"/>
    <col min="12810" max="12810" width="23.5703125" style="88" customWidth="1"/>
    <col min="12811" max="12811" width="13.28515625" style="88" bestFit="1" customWidth="1"/>
    <col min="12812" max="12812" width="15.7109375" style="88" bestFit="1" customWidth="1"/>
    <col min="12813" max="12813" width="20.5703125" style="88" bestFit="1" customWidth="1"/>
    <col min="12814" max="12814" width="14.28515625" style="88" bestFit="1" customWidth="1"/>
    <col min="12815" max="13056" width="11.42578125" style="88"/>
    <col min="13057" max="13057" width="11" style="88" customWidth="1"/>
    <col min="13058" max="13058" width="49" style="88" customWidth="1"/>
    <col min="13059" max="13059" width="19.5703125" style="88" customWidth="1"/>
    <col min="13060" max="13060" width="17.5703125" style="88" bestFit="1" customWidth="1"/>
    <col min="13061" max="13061" width="23.140625" style="88" bestFit="1" customWidth="1"/>
    <col min="13062" max="13062" width="22.85546875" style="88" bestFit="1" customWidth="1"/>
    <col min="13063" max="13063" width="28.28515625" style="88" bestFit="1" customWidth="1"/>
    <col min="13064" max="13064" width="19" style="88" customWidth="1"/>
    <col min="13065" max="13065" width="19.5703125" style="88" customWidth="1"/>
    <col min="13066" max="13066" width="23.5703125" style="88" customWidth="1"/>
    <col min="13067" max="13067" width="13.28515625" style="88" bestFit="1" customWidth="1"/>
    <col min="13068" max="13068" width="15.7109375" style="88" bestFit="1" customWidth="1"/>
    <col min="13069" max="13069" width="20.5703125" style="88" bestFit="1" customWidth="1"/>
    <col min="13070" max="13070" width="14.28515625" style="88" bestFit="1" customWidth="1"/>
    <col min="13071" max="13312" width="11.42578125" style="88"/>
    <col min="13313" max="13313" width="11" style="88" customWidth="1"/>
    <col min="13314" max="13314" width="49" style="88" customWidth="1"/>
    <col min="13315" max="13315" width="19.5703125" style="88" customWidth="1"/>
    <col min="13316" max="13316" width="17.5703125" style="88" bestFit="1" customWidth="1"/>
    <col min="13317" max="13317" width="23.140625" style="88" bestFit="1" customWidth="1"/>
    <col min="13318" max="13318" width="22.85546875" style="88" bestFit="1" customWidth="1"/>
    <col min="13319" max="13319" width="28.28515625" style="88" bestFit="1" customWidth="1"/>
    <col min="13320" max="13320" width="19" style="88" customWidth="1"/>
    <col min="13321" max="13321" width="19.5703125" style="88" customWidth="1"/>
    <col min="13322" max="13322" width="23.5703125" style="88" customWidth="1"/>
    <col min="13323" max="13323" width="13.28515625" style="88" bestFit="1" customWidth="1"/>
    <col min="13324" max="13324" width="15.7109375" style="88" bestFit="1" customWidth="1"/>
    <col min="13325" max="13325" width="20.5703125" style="88" bestFit="1" customWidth="1"/>
    <col min="13326" max="13326" width="14.28515625" style="88" bestFit="1" customWidth="1"/>
    <col min="13327" max="13568" width="11.42578125" style="88"/>
    <col min="13569" max="13569" width="11" style="88" customWidth="1"/>
    <col min="13570" max="13570" width="49" style="88" customWidth="1"/>
    <col min="13571" max="13571" width="19.5703125" style="88" customWidth="1"/>
    <col min="13572" max="13572" width="17.5703125" style="88" bestFit="1" customWidth="1"/>
    <col min="13573" max="13573" width="23.140625" style="88" bestFit="1" customWidth="1"/>
    <col min="13574" max="13574" width="22.85546875" style="88" bestFit="1" customWidth="1"/>
    <col min="13575" max="13575" width="28.28515625" style="88" bestFit="1" customWidth="1"/>
    <col min="13576" max="13576" width="19" style="88" customWidth="1"/>
    <col min="13577" max="13577" width="19.5703125" style="88" customWidth="1"/>
    <col min="13578" max="13578" width="23.5703125" style="88" customWidth="1"/>
    <col min="13579" max="13579" width="13.28515625" style="88" bestFit="1" customWidth="1"/>
    <col min="13580" max="13580" width="15.7109375" style="88" bestFit="1" customWidth="1"/>
    <col min="13581" max="13581" width="20.5703125" style="88" bestFit="1" customWidth="1"/>
    <col min="13582" max="13582" width="14.28515625" style="88" bestFit="1" customWidth="1"/>
    <col min="13583" max="13824" width="11.42578125" style="88"/>
    <col min="13825" max="13825" width="11" style="88" customWidth="1"/>
    <col min="13826" max="13826" width="49" style="88" customWidth="1"/>
    <col min="13827" max="13827" width="19.5703125" style="88" customWidth="1"/>
    <col min="13828" max="13828" width="17.5703125" style="88" bestFit="1" customWidth="1"/>
    <col min="13829" max="13829" width="23.140625" style="88" bestFit="1" customWidth="1"/>
    <col min="13830" max="13830" width="22.85546875" style="88" bestFit="1" customWidth="1"/>
    <col min="13831" max="13831" width="28.28515625" style="88" bestFit="1" customWidth="1"/>
    <col min="13832" max="13832" width="19" style="88" customWidth="1"/>
    <col min="13833" max="13833" width="19.5703125" style="88" customWidth="1"/>
    <col min="13834" max="13834" width="23.5703125" style="88" customWidth="1"/>
    <col min="13835" max="13835" width="13.28515625" style="88" bestFit="1" customWidth="1"/>
    <col min="13836" max="13836" width="15.7109375" style="88" bestFit="1" customWidth="1"/>
    <col min="13837" max="13837" width="20.5703125" style="88" bestFit="1" customWidth="1"/>
    <col min="13838" max="13838" width="14.28515625" style="88" bestFit="1" customWidth="1"/>
    <col min="13839" max="14080" width="11.42578125" style="88"/>
    <col min="14081" max="14081" width="11" style="88" customWidth="1"/>
    <col min="14082" max="14082" width="49" style="88" customWidth="1"/>
    <col min="14083" max="14083" width="19.5703125" style="88" customWidth="1"/>
    <col min="14084" max="14084" width="17.5703125" style="88" bestFit="1" customWidth="1"/>
    <col min="14085" max="14085" width="23.140625" style="88" bestFit="1" customWidth="1"/>
    <col min="14086" max="14086" width="22.85546875" style="88" bestFit="1" customWidth="1"/>
    <col min="14087" max="14087" width="28.28515625" style="88" bestFit="1" customWidth="1"/>
    <col min="14088" max="14088" width="19" style="88" customWidth="1"/>
    <col min="14089" max="14089" width="19.5703125" style="88" customWidth="1"/>
    <col min="14090" max="14090" width="23.5703125" style="88" customWidth="1"/>
    <col min="14091" max="14091" width="13.28515625" style="88" bestFit="1" customWidth="1"/>
    <col min="14092" max="14092" width="15.7109375" style="88" bestFit="1" customWidth="1"/>
    <col min="14093" max="14093" width="20.5703125" style="88" bestFit="1" customWidth="1"/>
    <col min="14094" max="14094" width="14.28515625" style="88" bestFit="1" customWidth="1"/>
    <col min="14095" max="14336" width="11.42578125" style="88"/>
    <col min="14337" max="14337" width="11" style="88" customWidth="1"/>
    <col min="14338" max="14338" width="49" style="88" customWidth="1"/>
    <col min="14339" max="14339" width="19.5703125" style="88" customWidth="1"/>
    <col min="14340" max="14340" width="17.5703125" style="88" bestFit="1" customWidth="1"/>
    <col min="14341" max="14341" width="23.140625" style="88" bestFit="1" customWidth="1"/>
    <col min="14342" max="14342" width="22.85546875" style="88" bestFit="1" customWidth="1"/>
    <col min="14343" max="14343" width="28.28515625" style="88" bestFit="1" customWidth="1"/>
    <col min="14344" max="14344" width="19" style="88" customWidth="1"/>
    <col min="14345" max="14345" width="19.5703125" style="88" customWidth="1"/>
    <col min="14346" max="14346" width="23.5703125" style="88" customWidth="1"/>
    <col min="14347" max="14347" width="13.28515625" style="88" bestFit="1" customWidth="1"/>
    <col min="14348" max="14348" width="15.7109375" style="88" bestFit="1" customWidth="1"/>
    <col min="14349" max="14349" width="20.5703125" style="88" bestFit="1" customWidth="1"/>
    <col min="14350" max="14350" width="14.28515625" style="88" bestFit="1" customWidth="1"/>
    <col min="14351" max="14592" width="11.42578125" style="88"/>
    <col min="14593" max="14593" width="11" style="88" customWidth="1"/>
    <col min="14594" max="14594" width="49" style="88" customWidth="1"/>
    <col min="14595" max="14595" width="19.5703125" style="88" customWidth="1"/>
    <col min="14596" max="14596" width="17.5703125" style="88" bestFit="1" customWidth="1"/>
    <col min="14597" max="14597" width="23.140625" style="88" bestFit="1" customWidth="1"/>
    <col min="14598" max="14598" width="22.85546875" style="88" bestFit="1" customWidth="1"/>
    <col min="14599" max="14599" width="28.28515625" style="88" bestFit="1" customWidth="1"/>
    <col min="14600" max="14600" width="19" style="88" customWidth="1"/>
    <col min="14601" max="14601" width="19.5703125" style="88" customWidth="1"/>
    <col min="14602" max="14602" width="23.5703125" style="88" customWidth="1"/>
    <col min="14603" max="14603" width="13.28515625" style="88" bestFit="1" customWidth="1"/>
    <col min="14604" max="14604" width="15.7109375" style="88" bestFit="1" customWidth="1"/>
    <col min="14605" max="14605" width="20.5703125" style="88" bestFit="1" customWidth="1"/>
    <col min="14606" max="14606" width="14.28515625" style="88" bestFit="1" customWidth="1"/>
    <col min="14607" max="14848" width="11.42578125" style="88"/>
    <col min="14849" max="14849" width="11" style="88" customWidth="1"/>
    <col min="14850" max="14850" width="49" style="88" customWidth="1"/>
    <col min="14851" max="14851" width="19.5703125" style="88" customWidth="1"/>
    <col min="14852" max="14852" width="17.5703125" style="88" bestFit="1" customWidth="1"/>
    <col min="14853" max="14853" width="23.140625" style="88" bestFit="1" customWidth="1"/>
    <col min="14854" max="14854" width="22.85546875" style="88" bestFit="1" customWidth="1"/>
    <col min="14855" max="14855" width="28.28515625" style="88" bestFit="1" customWidth="1"/>
    <col min="14856" max="14856" width="19" style="88" customWidth="1"/>
    <col min="14857" max="14857" width="19.5703125" style="88" customWidth="1"/>
    <col min="14858" max="14858" width="23.5703125" style="88" customWidth="1"/>
    <col min="14859" max="14859" width="13.28515625" style="88" bestFit="1" customWidth="1"/>
    <col min="14860" max="14860" width="15.7109375" style="88" bestFit="1" customWidth="1"/>
    <col min="14861" max="14861" width="20.5703125" style="88" bestFit="1" customWidth="1"/>
    <col min="14862" max="14862" width="14.28515625" style="88" bestFit="1" customWidth="1"/>
    <col min="14863" max="15104" width="11.42578125" style="88"/>
    <col min="15105" max="15105" width="11" style="88" customWidth="1"/>
    <col min="15106" max="15106" width="49" style="88" customWidth="1"/>
    <col min="15107" max="15107" width="19.5703125" style="88" customWidth="1"/>
    <col min="15108" max="15108" width="17.5703125" style="88" bestFit="1" customWidth="1"/>
    <col min="15109" max="15109" width="23.140625" style="88" bestFit="1" customWidth="1"/>
    <col min="15110" max="15110" width="22.85546875" style="88" bestFit="1" customWidth="1"/>
    <col min="15111" max="15111" width="28.28515625" style="88" bestFit="1" customWidth="1"/>
    <col min="15112" max="15112" width="19" style="88" customWidth="1"/>
    <col min="15113" max="15113" width="19.5703125" style="88" customWidth="1"/>
    <col min="15114" max="15114" width="23.5703125" style="88" customWidth="1"/>
    <col min="15115" max="15115" width="13.28515625" style="88" bestFit="1" customWidth="1"/>
    <col min="15116" max="15116" width="15.7109375" style="88" bestFit="1" customWidth="1"/>
    <col min="15117" max="15117" width="20.5703125" style="88" bestFit="1" customWidth="1"/>
    <col min="15118" max="15118" width="14.28515625" style="88" bestFit="1" customWidth="1"/>
    <col min="15119" max="15360" width="11.42578125" style="88"/>
    <col min="15361" max="15361" width="11" style="88" customWidth="1"/>
    <col min="15362" max="15362" width="49" style="88" customWidth="1"/>
    <col min="15363" max="15363" width="19.5703125" style="88" customWidth="1"/>
    <col min="15364" max="15364" width="17.5703125" style="88" bestFit="1" customWidth="1"/>
    <col min="15365" max="15365" width="23.140625" style="88" bestFit="1" customWidth="1"/>
    <col min="15366" max="15366" width="22.85546875" style="88" bestFit="1" customWidth="1"/>
    <col min="15367" max="15367" width="28.28515625" style="88" bestFit="1" customWidth="1"/>
    <col min="15368" max="15368" width="19" style="88" customWidth="1"/>
    <col min="15369" max="15369" width="19.5703125" style="88" customWidth="1"/>
    <col min="15370" max="15370" width="23.5703125" style="88" customWidth="1"/>
    <col min="15371" max="15371" width="13.28515625" style="88" bestFit="1" customWidth="1"/>
    <col min="15372" max="15372" width="15.7109375" style="88" bestFit="1" customWidth="1"/>
    <col min="15373" max="15373" width="20.5703125" style="88" bestFit="1" customWidth="1"/>
    <col min="15374" max="15374" width="14.28515625" style="88" bestFit="1" customWidth="1"/>
    <col min="15375" max="15616" width="11.42578125" style="88"/>
    <col min="15617" max="15617" width="11" style="88" customWidth="1"/>
    <col min="15618" max="15618" width="49" style="88" customWidth="1"/>
    <col min="15619" max="15619" width="19.5703125" style="88" customWidth="1"/>
    <col min="15620" max="15620" width="17.5703125" style="88" bestFit="1" customWidth="1"/>
    <col min="15621" max="15621" width="23.140625" style="88" bestFit="1" customWidth="1"/>
    <col min="15622" max="15622" width="22.85546875" style="88" bestFit="1" customWidth="1"/>
    <col min="15623" max="15623" width="28.28515625" style="88" bestFit="1" customWidth="1"/>
    <col min="15624" max="15624" width="19" style="88" customWidth="1"/>
    <col min="15625" max="15625" width="19.5703125" style="88" customWidth="1"/>
    <col min="15626" max="15626" width="23.5703125" style="88" customWidth="1"/>
    <col min="15627" max="15627" width="13.28515625" style="88" bestFit="1" customWidth="1"/>
    <col min="15628" max="15628" width="15.7109375" style="88" bestFit="1" customWidth="1"/>
    <col min="15629" max="15629" width="20.5703125" style="88" bestFit="1" customWidth="1"/>
    <col min="15630" max="15630" width="14.28515625" style="88" bestFit="1" customWidth="1"/>
    <col min="15631" max="15872" width="11.42578125" style="88"/>
    <col min="15873" max="15873" width="11" style="88" customWidth="1"/>
    <col min="15874" max="15874" width="49" style="88" customWidth="1"/>
    <col min="15875" max="15875" width="19.5703125" style="88" customWidth="1"/>
    <col min="15876" max="15876" width="17.5703125" style="88" bestFit="1" customWidth="1"/>
    <col min="15877" max="15877" width="23.140625" style="88" bestFit="1" customWidth="1"/>
    <col min="15878" max="15878" width="22.85546875" style="88" bestFit="1" customWidth="1"/>
    <col min="15879" max="15879" width="28.28515625" style="88" bestFit="1" customWidth="1"/>
    <col min="15880" max="15880" width="19" style="88" customWidth="1"/>
    <col min="15881" max="15881" width="19.5703125" style="88" customWidth="1"/>
    <col min="15882" max="15882" width="23.5703125" style="88" customWidth="1"/>
    <col min="15883" max="15883" width="13.28515625" style="88" bestFit="1" customWidth="1"/>
    <col min="15884" max="15884" width="15.7109375" style="88" bestFit="1" customWidth="1"/>
    <col min="15885" max="15885" width="20.5703125" style="88" bestFit="1" customWidth="1"/>
    <col min="15886" max="15886" width="14.28515625" style="88" bestFit="1" customWidth="1"/>
    <col min="15887" max="16128" width="11.42578125" style="88"/>
    <col min="16129" max="16129" width="11" style="88" customWidth="1"/>
    <col min="16130" max="16130" width="49" style="88" customWidth="1"/>
    <col min="16131" max="16131" width="19.5703125" style="88" customWidth="1"/>
    <col min="16132" max="16132" width="17.5703125" style="88" bestFit="1" customWidth="1"/>
    <col min="16133" max="16133" width="23.140625" style="88" bestFit="1" customWidth="1"/>
    <col min="16134" max="16134" width="22.85546875" style="88" bestFit="1" customWidth="1"/>
    <col min="16135" max="16135" width="28.28515625" style="88" bestFit="1" customWidth="1"/>
    <col min="16136" max="16136" width="19" style="88" customWidth="1"/>
    <col min="16137" max="16137" width="19.5703125" style="88" customWidth="1"/>
    <col min="16138" max="16138" width="23.5703125" style="88" customWidth="1"/>
    <col min="16139" max="16139" width="13.28515625" style="88" bestFit="1" customWidth="1"/>
    <col min="16140" max="16140" width="15.7109375" style="88" bestFit="1" customWidth="1"/>
    <col min="16141" max="16141" width="20.5703125" style="88" bestFit="1" customWidth="1"/>
    <col min="16142" max="16142" width="14.28515625" style="88" bestFit="1" customWidth="1"/>
    <col min="16143" max="16384" width="11.42578125" style="88"/>
  </cols>
  <sheetData>
    <row r="1" spans="1:14" ht="18.75" customHeight="1" x14ac:dyDescent="0.25">
      <c r="A1" s="1175" t="s">
        <v>0</v>
      </c>
      <c r="B1" s="1175"/>
      <c r="C1" s="1175"/>
      <c r="D1" s="1175"/>
      <c r="E1" s="1175"/>
      <c r="F1" s="1175"/>
      <c r="G1" s="1175"/>
      <c r="H1" s="1175"/>
      <c r="I1" s="941"/>
      <c r="J1" s="941"/>
      <c r="K1" s="87"/>
    </row>
    <row r="2" spans="1:14" ht="18.75" customHeight="1" x14ac:dyDescent="0.25">
      <c r="A2" s="1175" t="s">
        <v>1</v>
      </c>
      <c r="B2" s="1175"/>
      <c r="C2" s="1175"/>
      <c r="D2" s="1175"/>
      <c r="E2" s="1175"/>
      <c r="F2" s="1175"/>
      <c r="G2" s="1175"/>
      <c r="H2" s="1175"/>
      <c r="I2" s="941"/>
      <c r="J2" s="941"/>
      <c r="K2" s="87"/>
    </row>
    <row r="3" spans="1:14" ht="18.75" customHeight="1" x14ac:dyDescent="0.25">
      <c r="A3" s="1175" t="str">
        <f>+'Presup '!B3</f>
        <v>ALCALDÍA MUNICIPAL DE SAN LORENZO</v>
      </c>
      <c r="B3" s="1175"/>
      <c r="C3" s="1175"/>
      <c r="D3" s="1175"/>
      <c r="E3" s="1175"/>
      <c r="F3" s="1175"/>
      <c r="G3" s="1175"/>
      <c r="H3" s="1175"/>
      <c r="I3" s="941"/>
      <c r="J3" s="941"/>
      <c r="K3" s="87"/>
    </row>
    <row r="4" spans="1:14" ht="15" x14ac:dyDescent="0.25">
      <c r="A4" s="942"/>
      <c r="B4" s="942"/>
      <c r="C4" s="942"/>
      <c r="D4" s="942"/>
      <c r="E4" s="942"/>
      <c r="F4" s="942"/>
      <c r="G4" s="942"/>
      <c r="H4" s="89"/>
      <c r="I4" s="89"/>
      <c r="J4" s="89"/>
      <c r="K4" s="89"/>
    </row>
    <row r="5" spans="1:14" ht="44.25" customHeight="1" thickBot="1" x14ac:dyDescent="0.3">
      <c r="A5" s="1272" t="str">
        <f>+'Presup '!B5</f>
        <v>MEJORAMIENTO VÍA LA LAGUNA, SALINAS, LOS OLIVOS</v>
      </c>
      <c r="B5" s="1272"/>
      <c r="C5" s="1272"/>
      <c r="D5" s="1272"/>
      <c r="E5" s="1272"/>
      <c r="F5" s="1272"/>
      <c r="G5" s="1272"/>
      <c r="H5" s="1272"/>
      <c r="I5" s="949"/>
      <c r="J5" s="949"/>
      <c r="K5" s="90"/>
    </row>
    <row r="6" spans="1:14" ht="13.5" customHeight="1" x14ac:dyDescent="0.25">
      <c r="A6" s="90"/>
      <c r="B6" s="90"/>
      <c r="C6" s="90"/>
      <c r="D6" s="90"/>
      <c r="E6" s="90"/>
      <c r="F6" s="90"/>
      <c r="G6" s="90"/>
      <c r="H6" s="90"/>
      <c r="I6" s="922" t="s">
        <v>1053</v>
      </c>
      <c r="J6" s="923">
        <f>'FP 1'!E23</f>
        <v>1.85</v>
      </c>
      <c r="K6" s="90"/>
    </row>
    <row r="7" spans="1:14" ht="16.5" thickBot="1" x14ac:dyDescent="0.3">
      <c r="I7" s="924" t="s">
        <v>1052</v>
      </c>
      <c r="J7" s="925">
        <f>'FP 2'!E23</f>
        <v>1.73</v>
      </c>
    </row>
    <row r="8" spans="1:14" ht="16.5" thickBot="1" x14ac:dyDescent="0.3">
      <c r="I8" s="924" t="s">
        <v>1054</v>
      </c>
      <c r="J8" s="926">
        <f>908526*2</f>
        <v>1817052</v>
      </c>
    </row>
    <row r="9" spans="1:14" ht="18.75" customHeight="1" x14ac:dyDescent="0.25">
      <c r="A9" s="1275" t="s">
        <v>178</v>
      </c>
      <c r="B9" s="1275"/>
      <c r="C9" s="1275"/>
      <c r="D9" s="1276" t="str">
        <f>+A5</f>
        <v>MEJORAMIENTO VÍA LA LAGUNA, SALINAS, LOS OLIVOS</v>
      </c>
      <c r="E9" s="1276"/>
      <c r="F9" s="1276"/>
      <c r="G9" s="1276"/>
      <c r="H9" s="1276"/>
      <c r="I9" s="371"/>
      <c r="J9" s="371"/>
      <c r="K9" s="91"/>
      <c r="L9" s="371">
        <f>+C12-G17</f>
        <v>-114116890.10000002</v>
      </c>
      <c r="M9" s="371"/>
    </row>
    <row r="12" spans="1:14" ht="12.75" customHeight="1" x14ac:dyDescent="0.25">
      <c r="A12" s="1273" t="s">
        <v>766</v>
      </c>
      <c r="B12" s="1273"/>
      <c r="C12" s="1274">
        <f>+P.Detall!I99</f>
        <v>763014745</v>
      </c>
      <c r="D12" s="1274"/>
      <c r="F12" s="1277" t="s">
        <v>179</v>
      </c>
      <c r="G12" s="1277"/>
      <c r="H12" s="948"/>
      <c r="I12" s="948"/>
      <c r="J12" s="948"/>
      <c r="K12" s="948"/>
      <c r="L12" s="948"/>
      <c r="M12" s="948"/>
    </row>
    <row r="13" spans="1:14" x14ac:dyDescent="0.25">
      <c r="A13" s="1273" t="s">
        <v>180</v>
      </c>
      <c r="B13" s="1273"/>
      <c r="C13" s="1274">
        <f>+P.Detall!S97</f>
        <v>544542812.10000002</v>
      </c>
      <c r="D13" s="1274"/>
      <c r="F13" s="93" t="s">
        <v>181</v>
      </c>
      <c r="G13" s="94">
        <f>C13</f>
        <v>544542812.10000002</v>
      </c>
      <c r="H13" s="95">
        <f>100%-(H14+H15+H16)</f>
        <v>0.38923292051659064</v>
      </c>
      <c r="I13" s="456"/>
      <c r="J13" s="456"/>
      <c r="K13" s="96"/>
      <c r="L13" s="96"/>
      <c r="M13" s="96"/>
      <c r="N13" s="88" t="s">
        <v>791</v>
      </c>
    </row>
    <row r="14" spans="1:14" x14ac:dyDescent="0.25">
      <c r="A14" s="1273" t="s">
        <v>182</v>
      </c>
      <c r="B14" s="1273"/>
      <c r="C14" s="1278">
        <v>6</v>
      </c>
      <c r="D14" s="1278"/>
      <c r="E14" s="88" t="s">
        <v>183</v>
      </c>
      <c r="F14" s="97" t="s">
        <v>184</v>
      </c>
      <c r="G14" s="476">
        <f>ROUND((G13*N14),0)</f>
        <v>278134541</v>
      </c>
      <c r="H14" s="99">
        <f>G14/$G$13</f>
        <v>0.51076707803265109</v>
      </c>
      <c r="I14" s="933"/>
      <c r="J14" s="457"/>
      <c r="K14" s="100"/>
      <c r="L14" s="96"/>
      <c r="M14" s="96"/>
      <c r="N14" s="138">
        <f>G84</f>
        <v>0.5107670773558326</v>
      </c>
    </row>
    <row r="15" spans="1:14" x14ac:dyDescent="0.25">
      <c r="A15" s="102"/>
      <c r="B15" s="103"/>
      <c r="C15" s="103"/>
      <c r="F15" s="97" t="s">
        <v>185</v>
      </c>
      <c r="G15" s="476">
        <f>ROUND((G13*N15),0)</f>
        <v>27227141</v>
      </c>
      <c r="H15" s="99">
        <f>G15/$G$13</f>
        <v>5.0000000725379141E-2</v>
      </c>
      <c r="I15" s="933"/>
      <c r="J15" s="457"/>
      <c r="K15" s="96"/>
      <c r="L15" s="96"/>
      <c r="M15" s="96"/>
      <c r="N15" s="104">
        <v>0.05</v>
      </c>
    </row>
    <row r="16" spans="1:14" x14ac:dyDescent="0.25">
      <c r="A16" s="102"/>
      <c r="B16" s="103"/>
      <c r="C16" s="103"/>
      <c r="F16" s="97" t="s">
        <v>186</v>
      </c>
      <c r="G16" s="476">
        <f>ROUND((G13*N16),0)</f>
        <v>27227141</v>
      </c>
      <c r="H16" s="99">
        <f>G16/$G$13</f>
        <v>5.0000000725379141E-2</v>
      </c>
      <c r="I16" s="457"/>
      <c r="J16" s="457"/>
      <c r="K16" s="96"/>
      <c r="L16" s="96"/>
      <c r="M16" s="96"/>
      <c r="N16" s="104">
        <v>0.05</v>
      </c>
    </row>
    <row r="17" spans="1:256" x14ac:dyDescent="0.25">
      <c r="A17" s="1279" t="s">
        <v>187</v>
      </c>
      <c r="B17" s="1279"/>
      <c r="C17" s="1279"/>
      <c r="F17" s="105" t="s">
        <v>8</v>
      </c>
      <c r="G17" s="477">
        <f>SUM(G13:G16)</f>
        <v>877131635.10000002</v>
      </c>
      <c r="H17" s="95">
        <f>SUM(H13:H16)</f>
        <v>1</v>
      </c>
      <c r="I17" s="1049">
        <f>+C12-G17</f>
        <v>-114116890.10000002</v>
      </c>
      <c r="J17" s="456"/>
      <c r="K17" s="96"/>
      <c r="L17" s="96">
        <f>O21</f>
        <v>15295219703</v>
      </c>
      <c r="M17" s="96"/>
      <c r="N17" s="106">
        <f>SUM(N14:N16)</f>
        <v>0.61076707735583269</v>
      </c>
      <c r="O17" s="948">
        <v>15295219703</v>
      </c>
      <c r="P17" s="101"/>
    </row>
    <row r="18" spans="1:256" x14ac:dyDescent="0.25">
      <c r="A18" s="1252" t="s">
        <v>188</v>
      </c>
      <c r="B18" s="1252"/>
      <c r="C18" s="1252"/>
      <c r="D18" s="1252"/>
      <c r="E18" s="1252"/>
      <c r="F18" s="1252"/>
      <c r="G18" s="1252"/>
      <c r="H18" s="107"/>
      <c r="I18" s="107"/>
      <c r="J18" s="107"/>
      <c r="K18" s="107"/>
      <c r="L18" s="107">
        <f>G17-L17</f>
        <v>-14418088067.9</v>
      </c>
      <c r="M18" s="107"/>
      <c r="N18" s="108"/>
      <c r="O18" s="109"/>
    </row>
    <row r="19" spans="1:256" ht="25.5" x14ac:dyDescent="0.25">
      <c r="A19" s="110" t="s">
        <v>189</v>
      </c>
      <c r="B19" s="1271" t="s">
        <v>190</v>
      </c>
      <c r="C19" s="1271" t="s">
        <v>191</v>
      </c>
      <c r="D19" s="947" t="s">
        <v>192</v>
      </c>
      <c r="E19" s="947" t="s">
        <v>193</v>
      </c>
      <c r="F19" s="947" t="s">
        <v>194</v>
      </c>
      <c r="G19" s="947" t="s">
        <v>195</v>
      </c>
      <c r="H19" s="947" t="s">
        <v>195</v>
      </c>
      <c r="I19" s="111"/>
      <c r="J19" s="111"/>
      <c r="K19" s="111"/>
      <c r="L19" s="111"/>
      <c r="M19" s="111"/>
      <c r="N19" s="112"/>
      <c r="O19" s="948"/>
      <c r="P19" s="948"/>
      <c r="Q19" s="948"/>
      <c r="R19" s="948"/>
      <c r="S19" s="948"/>
      <c r="T19" s="948"/>
      <c r="U19" s="948"/>
      <c r="V19" s="948"/>
      <c r="W19" s="948"/>
      <c r="X19" s="948"/>
      <c r="Y19" s="948"/>
      <c r="Z19" s="948"/>
      <c r="AA19" s="948"/>
      <c r="AB19" s="948"/>
      <c r="AC19" s="948"/>
      <c r="AD19" s="948"/>
      <c r="AE19" s="948"/>
      <c r="AF19" s="948"/>
      <c r="AG19" s="948"/>
      <c r="AH19" s="948"/>
      <c r="AI19" s="948"/>
      <c r="AJ19" s="948"/>
      <c r="AK19" s="948"/>
      <c r="AL19" s="948"/>
      <c r="AM19" s="948"/>
      <c r="AN19" s="948"/>
      <c r="AO19" s="948"/>
      <c r="AP19" s="948"/>
      <c r="AQ19" s="948"/>
      <c r="AR19" s="948"/>
      <c r="AS19" s="948"/>
      <c r="AT19" s="948"/>
      <c r="AU19" s="948"/>
      <c r="AV19" s="948"/>
      <c r="AW19" s="948"/>
      <c r="AX19" s="948"/>
      <c r="AY19" s="948"/>
      <c r="AZ19" s="948"/>
      <c r="BA19" s="948"/>
      <c r="BB19" s="948"/>
      <c r="BC19" s="948"/>
      <c r="BD19" s="948"/>
      <c r="BE19" s="948"/>
      <c r="BF19" s="948"/>
      <c r="BG19" s="948"/>
      <c r="BH19" s="948"/>
      <c r="BI19" s="948"/>
      <c r="BJ19" s="948"/>
      <c r="BK19" s="948"/>
      <c r="BL19" s="948"/>
      <c r="BM19" s="948"/>
      <c r="BN19" s="948"/>
      <c r="BO19" s="948"/>
      <c r="BP19" s="948"/>
      <c r="BQ19" s="948"/>
      <c r="BR19" s="948"/>
      <c r="BS19" s="948"/>
      <c r="BT19" s="948"/>
      <c r="BU19" s="948"/>
      <c r="BV19" s="948"/>
      <c r="BW19" s="948"/>
      <c r="BX19" s="948"/>
      <c r="BY19" s="948"/>
      <c r="BZ19" s="948"/>
      <c r="CA19" s="948"/>
      <c r="CB19" s="948"/>
      <c r="CC19" s="948"/>
      <c r="CD19" s="948"/>
      <c r="CE19" s="948"/>
      <c r="CF19" s="948"/>
      <c r="CG19" s="948"/>
      <c r="CH19" s="948"/>
      <c r="CI19" s="948"/>
      <c r="CJ19" s="948"/>
      <c r="CK19" s="948"/>
      <c r="CL19" s="948"/>
      <c r="CM19" s="948"/>
      <c r="CN19" s="948"/>
      <c r="CO19" s="948"/>
      <c r="CP19" s="948"/>
      <c r="CQ19" s="948"/>
      <c r="CR19" s="948"/>
      <c r="CS19" s="948"/>
      <c r="CT19" s="948"/>
      <c r="CU19" s="948"/>
      <c r="CV19" s="948"/>
      <c r="CW19" s="948"/>
      <c r="CX19" s="948"/>
      <c r="CY19" s="948"/>
      <c r="CZ19" s="948"/>
      <c r="DA19" s="948"/>
      <c r="DB19" s="948"/>
      <c r="DC19" s="948"/>
      <c r="DD19" s="948"/>
      <c r="DE19" s="948"/>
      <c r="DF19" s="948"/>
      <c r="DG19" s="948"/>
      <c r="DH19" s="948"/>
      <c r="DI19" s="948"/>
      <c r="DJ19" s="948"/>
      <c r="DK19" s="948"/>
      <c r="DL19" s="948"/>
      <c r="DM19" s="948"/>
      <c r="DN19" s="948"/>
      <c r="DO19" s="948"/>
      <c r="DP19" s="948"/>
      <c r="DQ19" s="948"/>
      <c r="DR19" s="948"/>
      <c r="DS19" s="948"/>
      <c r="DT19" s="948"/>
      <c r="DU19" s="948"/>
      <c r="DV19" s="948"/>
      <c r="DW19" s="948"/>
      <c r="DX19" s="948"/>
      <c r="DY19" s="948"/>
      <c r="DZ19" s="948"/>
      <c r="EA19" s="948"/>
      <c r="EB19" s="948"/>
      <c r="EC19" s="948"/>
      <c r="ED19" s="948"/>
      <c r="EE19" s="948"/>
      <c r="EF19" s="948"/>
      <c r="EG19" s="948"/>
      <c r="EH19" s="948"/>
      <c r="EI19" s="948"/>
      <c r="EJ19" s="948"/>
      <c r="EK19" s="948"/>
      <c r="EL19" s="948"/>
      <c r="EM19" s="948"/>
      <c r="EN19" s="948"/>
      <c r="EO19" s="948"/>
      <c r="EP19" s="948"/>
      <c r="EQ19" s="948"/>
      <c r="ER19" s="948"/>
      <c r="ES19" s="948"/>
      <c r="ET19" s="948"/>
      <c r="EU19" s="948"/>
      <c r="EV19" s="948"/>
      <c r="EW19" s="948"/>
      <c r="EX19" s="948"/>
      <c r="EY19" s="948"/>
      <c r="EZ19" s="948"/>
      <c r="FA19" s="948"/>
      <c r="FB19" s="948"/>
      <c r="FC19" s="948"/>
      <c r="FD19" s="948"/>
      <c r="FE19" s="948"/>
      <c r="FF19" s="948"/>
      <c r="FG19" s="948"/>
      <c r="FH19" s="948"/>
      <c r="FI19" s="948"/>
      <c r="FJ19" s="948"/>
      <c r="FK19" s="948"/>
      <c r="FL19" s="948"/>
      <c r="FM19" s="948"/>
      <c r="FN19" s="948"/>
      <c r="FO19" s="948"/>
      <c r="FP19" s="948"/>
      <c r="FQ19" s="948"/>
      <c r="FR19" s="948"/>
      <c r="FS19" s="948"/>
      <c r="FT19" s="948"/>
      <c r="FU19" s="948"/>
      <c r="FV19" s="948"/>
      <c r="FW19" s="948"/>
      <c r="FX19" s="948"/>
      <c r="FY19" s="948"/>
      <c r="FZ19" s="948"/>
      <c r="GA19" s="948"/>
      <c r="GB19" s="948"/>
      <c r="GC19" s="948"/>
      <c r="GD19" s="948"/>
      <c r="GE19" s="948"/>
      <c r="GF19" s="948"/>
      <c r="GG19" s="948"/>
      <c r="GH19" s="948"/>
      <c r="GI19" s="948"/>
      <c r="GJ19" s="948"/>
      <c r="GK19" s="948"/>
      <c r="GL19" s="948"/>
      <c r="GM19" s="948"/>
      <c r="GN19" s="948"/>
      <c r="GO19" s="948"/>
      <c r="GP19" s="948"/>
      <c r="GQ19" s="948"/>
      <c r="GR19" s="948"/>
      <c r="GS19" s="948"/>
      <c r="GT19" s="948"/>
      <c r="GU19" s="948"/>
      <c r="GV19" s="948"/>
      <c r="GW19" s="948"/>
      <c r="GX19" s="948"/>
      <c r="GY19" s="948"/>
      <c r="GZ19" s="948"/>
      <c r="HA19" s="948"/>
      <c r="HB19" s="948"/>
      <c r="HC19" s="948"/>
      <c r="HD19" s="948"/>
      <c r="HE19" s="948"/>
      <c r="HF19" s="948"/>
      <c r="HG19" s="948"/>
      <c r="HH19" s="948"/>
      <c r="HI19" s="948"/>
      <c r="HJ19" s="948"/>
      <c r="HK19" s="948"/>
      <c r="HL19" s="948"/>
      <c r="HM19" s="948"/>
      <c r="HN19" s="948"/>
      <c r="HO19" s="948"/>
      <c r="HP19" s="948"/>
      <c r="HQ19" s="948"/>
      <c r="HR19" s="948"/>
      <c r="HS19" s="948"/>
      <c r="HT19" s="948"/>
      <c r="HU19" s="948"/>
      <c r="HV19" s="948"/>
      <c r="HW19" s="948"/>
      <c r="HX19" s="948"/>
      <c r="HY19" s="948"/>
      <c r="HZ19" s="948"/>
      <c r="IA19" s="948"/>
      <c r="IB19" s="948"/>
      <c r="IC19" s="948"/>
      <c r="ID19" s="948"/>
      <c r="IE19" s="948"/>
      <c r="IF19" s="948"/>
      <c r="IG19" s="948"/>
      <c r="IH19" s="948"/>
      <c r="II19" s="948"/>
      <c r="IJ19" s="948"/>
      <c r="IK19" s="948"/>
      <c r="IL19" s="948"/>
      <c r="IM19" s="948"/>
      <c r="IN19" s="948"/>
      <c r="IO19" s="948"/>
      <c r="IP19" s="948"/>
      <c r="IQ19" s="948"/>
      <c r="IR19" s="948"/>
      <c r="IS19" s="948"/>
      <c r="IT19" s="948"/>
      <c r="IU19" s="948"/>
      <c r="IV19" s="948"/>
    </row>
    <row r="20" spans="1:256" x14ac:dyDescent="0.25">
      <c r="A20" s="110" t="s">
        <v>69</v>
      </c>
      <c r="B20" s="1271"/>
      <c r="C20" s="1271"/>
      <c r="D20" s="947" t="s">
        <v>70</v>
      </c>
      <c r="E20" s="947" t="s">
        <v>71</v>
      </c>
      <c r="F20" s="947" t="s">
        <v>72</v>
      </c>
      <c r="G20" s="947" t="s">
        <v>196</v>
      </c>
      <c r="H20" s="947" t="s">
        <v>196</v>
      </c>
      <c r="I20" s="111"/>
      <c r="J20" s="111"/>
      <c r="K20" s="458" t="s">
        <v>183</v>
      </c>
      <c r="L20" s="946">
        <f>+C14</f>
        <v>6</v>
      </c>
      <c r="M20" s="111"/>
      <c r="N20" s="948"/>
      <c r="O20" s="113">
        <v>1</v>
      </c>
      <c r="P20" s="113">
        <f>G17/O17</f>
        <v>5.7346782336703518E-2</v>
      </c>
      <c r="Q20" s="948"/>
      <c r="R20" s="948"/>
      <c r="S20" s="948"/>
      <c r="T20" s="948"/>
      <c r="U20" s="948"/>
      <c r="V20" s="948"/>
      <c r="W20" s="948"/>
      <c r="X20" s="948"/>
      <c r="Y20" s="948"/>
      <c r="Z20" s="948"/>
      <c r="AA20" s="948"/>
      <c r="AB20" s="948"/>
      <c r="AC20" s="948"/>
      <c r="AD20" s="948"/>
      <c r="AE20" s="948"/>
      <c r="AF20" s="948"/>
      <c r="AG20" s="948"/>
      <c r="AH20" s="948"/>
      <c r="AI20" s="948"/>
      <c r="AJ20" s="948"/>
      <c r="AK20" s="948"/>
      <c r="AL20" s="948"/>
      <c r="AM20" s="948"/>
      <c r="AN20" s="948"/>
      <c r="AO20" s="948"/>
      <c r="AP20" s="948"/>
      <c r="AQ20" s="948"/>
      <c r="AR20" s="948"/>
      <c r="AS20" s="948"/>
      <c r="AT20" s="948"/>
      <c r="AU20" s="948"/>
      <c r="AV20" s="948"/>
      <c r="AW20" s="948"/>
      <c r="AX20" s="948"/>
      <c r="AY20" s="948"/>
      <c r="AZ20" s="948"/>
      <c r="BA20" s="948"/>
      <c r="BB20" s="948"/>
      <c r="BC20" s="948"/>
      <c r="BD20" s="948"/>
      <c r="BE20" s="948"/>
      <c r="BF20" s="948"/>
      <c r="BG20" s="948"/>
      <c r="BH20" s="948"/>
      <c r="BI20" s="948"/>
      <c r="BJ20" s="948"/>
      <c r="BK20" s="948"/>
      <c r="BL20" s="948"/>
      <c r="BM20" s="948"/>
      <c r="BN20" s="948"/>
      <c r="BO20" s="948"/>
      <c r="BP20" s="948"/>
      <c r="BQ20" s="948"/>
      <c r="BR20" s="948"/>
      <c r="BS20" s="948"/>
      <c r="BT20" s="948"/>
      <c r="BU20" s="948"/>
      <c r="BV20" s="948"/>
      <c r="BW20" s="948"/>
      <c r="BX20" s="948"/>
      <c r="BY20" s="948"/>
      <c r="BZ20" s="948"/>
      <c r="CA20" s="948"/>
      <c r="CB20" s="948"/>
      <c r="CC20" s="948"/>
      <c r="CD20" s="948"/>
      <c r="CE20" s="948"/>
      <c r="CF20" s="948"/>
      <c r="CG20" s="948"/>
      <c r="CH20" s="948"/>
      <c r="CI20" s="948"/>
      <c r="CJ20" s="948"/>
      <c r="CK20" s="948"/>
      <c r="CL20" s="948"/>
      <c r="CM20" s="948"/>
      <c r="CN20" s="948"/>
      <c r="CO20" s="948"/>
      <c r="CP20" s="948"/>
      <c r="CQ20" s="948"/>
      <c r="CR20" s="948"/>
      <c r="CS20" s="948"/>
      <c r="CT20" s="948"/>
      <c r="CU20" s="948"/>
      <c r="CV20" s="948"/>
      <c r="CW20" s="948"/>
      <c r="CX20" s="948"/>
      <c r="CY20" s="948"/>
      <c r="CZ20" s="948"/>
      <c r="DA20" s="948"/>
      <c r="DB20" s="948"/>
      <c r="DC20" s="948"/>
      <c r="DD20" s="948"/>
      <c r="DE20" s="948"/>
      <c r="DF20" s="948"/>
      <c r="DG20" s="948"/>
      <c r="DH20" s="948"/>
      <c r="DI20" s="948"/>
      <c r="DJ20" s="948"/>
      <c r="DK20" s="948"/>
      <c r="DL20" s="948"/>
      <c r="DM20" s="948"/>
      <c r="DN20" s="948"/>
      <c r="DO20" s="948"/>
      <c r="DP20" s="948"/>
      <c r="DQ20" s="948"/>
      <c r="DR20" s="948"/>
      <c r="DS20" s="948"/>
      <c r="DT20" s="948"/>
      <c r="DU20" s="948"/>
      <c r="DV20" s="948"/>
      <c r="DW20" s="948"/>
      <c r="DX20" s="948"/>
      <c r="DY20" s="948"/>
      <c r="DZ20" s="948"/>
      <c r="EA20" s="948"/>
      <c r="EB20" s="948"/>
      <c r="EC20" s="948"/>
      <c r="ED20" s="948"/>
      <c r="EE20" s="948"/>
      <c r="EF20" s="948"/>
      <c r="EG20" s="948"/>
      <c r="EH20" s="948"/>
      <c r="EI20" s="948"/>
      <c r="EJ20" s="948"/>
      <c r="EK20" s="948"/>
      <c r="EL20" s="948"/>
      <c r="EM20" s="948"/>
      <c r="EN20" s="948"/>
      <c r="EO20" s="948"/>
      <c r="EP20" s="948"/>
      <c r="EQ20" s="948"/>
      <c r="ER20" s="948"/>
      <c r="ES20" s="948"/>
      <c r="ET20" s="948"/>
      <c r="EU20" s="948"/>
      <c r="EV20" s="948"/>
      <c r="EW20" s="948"/>
      <c r="EX20" s="948"/>
      <c r="EY20" s="948"/>
      <c r="EZ20" s="948"/>
      <c r="FA20" s="948"/>
      <c r="FB20" s="948"/>
      <c r="FC20" s="948"/>
      <c r="FD20" s="948"/>
      <c r="FE20" s="948"/>
      <c r="FF20" s="948"/>
      <c r="FG20" s="948"/>
      <c r="FH20" s="948"/>
      <c r="FI20" s="948"/>
      <c r="FJ20" s="948"/>
      <c r="FK20" s="948"/>
      <c r="FL20" s="948"/>
      <c r="FM20" s="948"/>
      <c r="FN20" s="948"/>
      <c r="FO20" s="948"/>
      <c r="FP20" s="948"/>
      <c r="FQ20" s="948"/>
      <c r="FR20" s="948"/>
      <c r="FS20" s="948"/>
      <c r="FT20" s="948"/>
      <c r="FU20" s="948"/>
      <c r="FV20" s="948"/>
      <c r="FW20" s="948"/>
      <c r="FX20" s="948"/>
      <c r="FY20" s="948"/>
      <c r="FZ20" s="948"/>
      <c r="GA20" s="948"/>
      <c r="GB20" s="948"/>
      <c r="GC20" s="948"/>
      <c r="GD20" s="948"/>
      <c r="GE20" s="948"/>
      <c r="GF20" s="948"/>
      <c r="GG20" s="948"/>
      <c r="GH20" s="948"/>
      <c r="GI20" s="948"/>
      <c r="GJ20" s="948"/>
      <c r="GK20" s="948"/>
      <c r="GL20" s="948"/>
      <c r="GM20" s="948"/>
      <c r="GN20" s="948"/>
      <c r="GO20" s="948"/>
      <c r="GP20" s="948"/>
      <c r="GQ20" s="948"/>
      <c r="GR20" s="948"/>
      <c r="GS20" s="948"/>
      <c r="GT20" s="948"/>
      <c r="GU20" s="948"/>
      <c r="GV20" s="948"/>
      <c r="GW20" s="948"/>
      <c r="GX20" s="948"/>
      <c r="GY20" s="948"/>
      <c r="GZ20" s="948"/>
      <c r="HA20" s="948"/>
      <c r="HB20" s="948"/>
      <c r="HC20" s="948"/>
      <c r="HD20" s="948"/>
      <c r="HE20" s="948"/>
      <c r="HF20" s="948"/>
      <c r="HG20" s="948"/>
      <c r="HH20" s="948"/>
      <c r="HI20" s="948"/>
      <c r="HJ20" s="948"/>
      <c r="HK20" s="948"/>
      <c r="HL20" s="948"/>
      <c r="HM20" s="948"/>
      <c r="HN20" s="948"/>
      <c r="HO20" s="948"/>
      <c r="HP20" s="948"/>
      <c r="HQ20" s="948"/>
      <c r="HR20" s="948"/>
      <c r="HS20" s="948"/>
      <c r="HT20" s="948"/>
      <c r="HU20" s="948"/>
      <c r="HV20" s="948"/>
      <c r="HW20" s="948"/>
      <c r="HX20" s="948"/>
      <c r="HY20" s="948"/>
      <c r="HZ20" s="948"/>
      <c r="IA20" s="948"/>
      <c r="IB20" s="948"/>
      <c r="IC20" s="948"/>
      <c r="ID20" s="948"/>
      <c r="IE20" s="948"/>
      <c r="IF20" s="948"/>
      <c r="IG20" s="948"/>
      <c r="IH20" s="948"/>
      <c r="II20" s="948"/>
      <c r="IJ20" s="948"/>
      <c r="IK20" s="948"/>
      <c r="IL20" s="948"/>
      <c r="IM20" s="948"/>
      <c r="IN20" s="948"/>
      <c r="IO20" s="948"/>
      <c r="IP20" s="948"/>
      <c r="IQ20" s="948"/>
      <c r="IR20" s="948"/>
      <c r="IS20" s="948"/>
      <c r="IT20" s="948"/>
      <c r="IU20" s="948"/>
      <c r="IV20" s="948"/>
    </row>
    <row r="21" spans="1:256" x14ac:dyDescent="0.25">
      <c r="A21" s="1261" t="s">
        <v>197</v>
      </c>
      <c r="B21" s="1261"/>
      <c r="C21" s="1261"/>
      <c r="D21" s="1261"/>
      <c r="E21" s="1261"/>
      <c r="F21" s="1261"/>
      <c r="G21" s="1261"/>
      <c r="H21" s="946"/>
      <c r="I21" s="114"/>
      <c r="J21" s="114"/>
      <c r="K21" s="458" t="s">
        <v>520</v>
      </c>
      <c r="L21" s="459">
        <v>0.4</v>
      </c>
      <c r="M21" s="114"/>
      <c r="O21" s="948">
        <f>O17*O20</f>
        <v>15295219703</v>
      </c>
    </row>
    <row r="22" spans="1:256" x14ac:dyDescent="0.25">
      <c r="A22" s="452">
        <v>1</v>
      </c>
      <c r="B22" s="453" t="s">
        <v>721</v>
      </c>
      <c r="C22" s="453"/>
      <c r="D22" s="454">
        <v>0.5</v>
      </c>
      <c r="E22" s="453">
        <f>+MdeObra!C29</f>
        <v>8160037</v>
      </c>
      <c r="F22" s="455">
        <f t="shared" ref="F22:F30" si="0">IF(E22&lt;$J$8,$J$6,$J$7)</f>
        <v>1.73</v>
      </c>
      <c r="G22" s="927">
        <f t="shared" ref="G22:G30" si="1">A22*D22*E22*F22</f>
        <v>7058432.0049999999</v>
      </c>
      <c r="H22" s="928">
        <f t="shared" ref="H22:H30" si="2">G22/$G$13</f>
        <v>1.2962125012319118E-2</v>
      </c>
      <c r="I22" s="460"/>
      <c r="J22" s="460"/>
      <c r="K22" s="114"/>
      <c r="L22" s="114">
        <v>3200000</v>
      </c>
      <c r="M22" s="96">
        <f>+L22+L22*$L$21</f>
        <v>4480000</v>
      </c>
      <c r="N22" s="88">
        <f>+M22*F22</f>
        <v>7750400</v>
      </c>
      <c r="O22" s="461">
        <f>+N22/$G$13</f>
        <v>1.423285704591527E-2</v>
      </c>
    </row>
    <row r="23" spans="1:256" x14ac:dyDescent="0.25">
      <c r="A23" s="452">
        <v>1</v>
      </c>
      <c r="B23" s="453" t="s">
        <v>768</v>
      </c>
      <c r="C23" s="453"/>
      <c r="D23" s="454">
        <v>1</v>
      </c>
      <c r="E23" s="453">
        <f>+MdeObra!C31</f>
        <v>5094999</v>
      </c>
      <c r="F23" s="455">
        <f t="shared" si="0"/>
        <v>1.73</v>
      </c>
      <c r="G23" s="927">
        <f t="shared" si="1"/>
        <v>8814348.2699999996</v>
      </c>
      <c r="H23" s="928">
        <f t="shared" si="2"/>
        <v>1.6186694735732421E-2</v>
      </c>
      <c r="I23" s="460"/>
      <c r="J23" s="460"/>
      <c r="K23" s="114"/>
      <c r="L23" s="114">
        <v>2200000</v>
      </c>
      <c r="M23" s="96">
        <f>+L23+L23*$L$21</f>
        <v>3080000</v>
      </c>
      <c r="N23" s="88">
        <f>+M23*F23</f>
        <v>5328400</v>
      </c>
      <c r="O23" s="461">
        <f>+N23/$G$13</f>
        <v>9.7850892190667477E-3</v>
      </c>
    </row>
    <row r="24" spans="1:256" x14ac:dyDescent="0.25">
      <c r="A24" s="452">
        <v>1</v>
      </c>
      <c r="B24" s="453" t="s">
        <v>726</v>
      </c>
      <c r="C24" s="453"/>
      <c r="D24" s="454">
        <v>1</v>
      </c>
      <c r="E24" s="453">
        <f>+MdeObra!C33</f>
        <v>3054989</v>
      </c>
      <c r="F24" s="455">
        <f t="shared" si="0"/>
        <v>1.73</v>
      </c>
      <c r="G24" s="927">
        <f t="shared" si="1"/>
        <v>5285130.97</v>
      </c>
      <c r="H24" s="928">
        <f t="shared" si="2"/>
        <v>9.7056298468400984E-3</v>
      </c>
      <c r="I24" s="460"/>
      <c r="J24" s="460"/>
      <c r="K24" s="114"/>
      <c r="L24" s="114"/>
      <c r="M24" s="96"/>
      <c r="O24" s="461"/>
    </row>
    <row r="25" spans="1:256" x14ac:dyDescent="0.25">
      <c r="A25" s="944">
        <v>1</v>
      </c>
      <c r="B25" s="115" t="s">
        <v>730</v>
      </c>
      <c r="C25" s="98"/>
      <c r="D25" s="116">
        <v>1</v>
      </c>
      <c r="E25" s="98">
        <f>+MdeObra!C37</f>
        <v>3054989</v>
      </c>
      <c r="F25" s="931">
        <f t="shared" si="0"/>
        <v>1.73</v>
      </c>
      <c r="G25" s="98">
        <f t="shared" si="1"/>
        <v>5285130.97</v>
      </c>
      <c r="H25" s="117">
        <f t="shared" si="2"/>
        <v>9.7056298468400984E-3</v>
      </c>
      <c r="I25" s="460"/>
      <c r="J25" s="460"/>
      <c r="K25" s="114"/>
      <c r="L25" s="114"/>
      <c r="M25" s="96"/>
      <c r="O25" s="461"/>
    </row>
    <row r="26" spans="1:256" x14ac:dyDescent="0.25">
      <c r="A26" s="944">
        <v>1</v>
      </c>
      <c r="B26" s="115" t="s">
        <v>769</v>
      </c>
      <c r="C26" s="98"/>
      <c r="D26" s="116">
        <v>0.3</v>
      </c>
      <c r="E26" s="98">
        <f>+MdeObra!C30</f>
        <v>6120028</v>
      </c>
      <c r="F26" s="931">
        <f t="shared" si="0"/>
        <v>1.73</v>
      </c>
      <c r="G26" s="98">
        <f t="shared" si="1"/>
        <v>3176294.5319999997</v>
      </c>
      <c r="H26" s="117">
        <f t="shared" si="2"/>
        <v>5.8329564938168791E-3</v>
      </c>
      <c r="I26" s="460"/>
      <c r="J26" s="460"/>
      <c r="K26" s="114"/>
      <c r="L26" s="114">
        <v>2250000</v>
      </c>
      <c r="M26" s="96">
        <f>+L26+L26*$L$21</f>
        <v>3150000</v>
      </c>
      <c r="N26" s="88">
        <f>+M26*F26</f>
        <v>5449500</v>
      </c>
      <c r="O26" s="461">
        <f>+N26/$G$13</f>
        <v>1.0007477610409174E-2</v>
      </c>
    </row>
    <row r="27" spans="1:256" x14ac:dyDescent="0.25">
      <c r="A27" s="944">
        <v>1</v>
      </c>
      <c r="B27" s="115" t="s">
        <v>770</v>
      </c>
      <c r="C27" s="98"/>
      <c r="D27" s="116">
        <v>0.3</v>
      </c>
      <c r="E27" s="98">
        <f>+MdeObra!C34</f>
        <v>6120028</v>
      </c>
      <c r="F27" s="931">
        <f t="shared" si="0"/>
        <v>1.73</v>
      </c>
      <c r="G27" s="98">
        <f t="shared" si="1"/>
        <v>3176294.5319999997</v>
      </c>
      <c r="H27" s="117">
        <f t="shared" si="2"/>
        <v>5.8329564938168791E-3</v>
      </c>
      <c r="I27" s="460"/>
      <c r="J27" s="460"/>
      <c r="K27" s="114"/>
      <c r="L27" s="114">
        <v>2250000</v>
      </c>
      <c r="M27" s="96">
        <f>+L27+L27*$L$21</f>
        <v>3150000</v>
      </c>
      <c r="N27" s="88">
        <f>+M27*F27</f>
        <v>5449500</v>
      </c>
      <c r="O27" s="461">
        <f>+N27/$G$13</f>
        <v>1.0007477610409174E-2</v>
      </c>
    </row>
    <row r="28" spans="1:256" x14ac:dyDescent="0.25">
      <c r="A28" s="944">
        <v>1</v>
      </c>
      <c r="B28" s="115" t="s">
        <v>728</v>
      </c>
      <c r="C28" s="98"/>
      <c r="D28" s="116">
        <v>0.3</v>
      </c>
      <c r="E28" s="98">
        <f>+MdeObra!C35</f>
        <v>6120028</v>
      </c>
      <c r="F28" s="931">
        <f t="shared" si="0"/>
        <v>1.73</v>
      </c>
      <c r="G28" s="98">
        <f t="shared" si="1"/>
        <v>3176294.5319999997</v>
      </c>
      <c r="H28" s="117">
        <f t="shared" si="2"/>
        <v>5.8329564938168791E-3</v>
      </c>
      <c r="I28" s="460"/>
      <c r="J28" s="460"/>
      <c r="K28" s="114"/>
      <c r="L28" s="114">
        <v>2250000</v>
      </c>
      <c r="M28" s="96">
        <f>+L28+L28*$L$21</f>
        <v>3150000</v>
      </c>
      <c r="N28" s="88">
        <f>+M28*F28</f>
        <v>5449500</v>
      </c>
      <c r="O28" s="461">
        <f>+N28/$G$13</f>
        <v>1.0007477610409174E-2</v>
      </c>
    </row>
    <row r="29" spans="1:256" x14ac:dyDescent="0.25">
      <c r="A29" s="944">
        <v>1</v>
      </c>
      <c r="B29" s="115" t="s">
        <v>198</v>
      </c>
      <c r="C29" s="98"/>
      <c r="D29" s="116">
        <v>1</v>
      </c>
      <c r="E29" s="98">
        <f>+MdeObra!C32</f>
        <v>3054989</v>
      </c>
      <c r="F29" s="931">
        <f t="shared" si="0"/>
        <v>1.73</v>
      </c>
      <c r="G29" s="98">
        <f t="shared" si="1"/>
        <v>5285130.97</v>
      </c>
      <c r="H29" s="117">
        <f t="shared" si="2"/>
        <v>9.7056298468400984E-3</v>
      </c>
      <c r="I29" s="460"/>
      <c r="J29" s="460"/>
      <c r="K29" s="114"/>
      <c r="L29" s="114">
        <v>1700000</v>
      </c>
      <c r="M29" s="96">
        <f>+L29+L29*$L$21</f>
        <v>2380000</v>
      </c>
      <c r="N29" s="88">
        <f>+M29*F29</f>
        <v>4117400</v>
      </c>
      <c r="O29" s="461">
        <f>+N29/$G$13</f>
        <v>7.5612053056424867E-3</v>
      </c>
      <c r="P29" s="114"/>
    </row>
    <row r="30" spans="1:256" x14ac:dyDescent="0.25">
      <c r="A30" s="944">
        <v>1</v>
      </c>
      <c r="B30" s="115" t="s">
        <v>199</v>
      </c>
      <c r="C30" s="98"/>
      <c r="D30" s="116">
        <v>0.3</v>
      </c>
      <c r="E30" s="98">
        <f>+MdeObra!C38</f>
        <v>2040009</v>
      </c>
      <c r="F30" s="931">
        <f t="shared" si="0"/>
        <v>1.73</v>
      </c>
      <c r="G30" s="98">
        <f t="shared" si="1"/>
        <v>1058764.6709999999</v>
      </c>
      <c r="H30" s="117">
        <f t="shared" si="2"/>
        <v>1.9443185135745911E-3</v>
      </c>
      <c r="I30" s="460"/>
      <c r="J30" s="460"/>
      <c r="K30" s="114"/>
      <c r="L30" s="114">
        <v>900000</v>
      </c>
      <c r="M30" s="96">
        <f>+L30+L30*$L$21</f>
        <v>1260000</v>
      </c>
      <c r="N30" s="88">
        <f>+M30*F30</f>
        <v>2179800</v>
      </c>
      <c r="O30" s="461">
        <f>+N30/$G$13</f>
        <v>4.0029910441636693E-3</v>
      </c>
      <c r="P30" s="114"/>
    </row>
    <row r="31" spans="1:256" x14ac:dyDescent="0.25">
      <c r="H31" s="117"/>
      <c r="I31" s="460"/>
      <c r="J31" s="460"/>
      <c r="K31" s="114"/>
      <c r="L31" s="114"/>
      <c r="M31" s="96"/>
      <c r="O31" s="461"/>
      <c r="P31" s="114"/>
    </row>
    <row r="32" spans="1:256" x14ac:dyDescent="0.25">
      <c r="A32" s="1261" t="s">
        <v>200</v>
      </c>
      <c r="B32" s="1261"/>
      <c r="C32" s="1261"/>
      <c r="D32" s="1261"/>
      <c r="E32" s="1261"/>
      <c r="F32" s="1261"/>
      <c r="G32" s="1261"/>
      <c r="H32" s="117"/>
      <c r="I32" s="460"/>
      <c r="J32" s="460"/>
      <c r="K32" s="114"/>
      <c r="L32" s="114"/>
      <c r="M32" s="96"/>
      <c r="O32" s="461"/>
      <c r="P32" s="114"/>
    </row>
    <row r="33" spans="1:18" x14ac:dyDescent="0.25">
      <c r="A33" s="944">
        <v>1</v>
      </c>
      <c r="B33" s="98" t="s">
        <v>201</v>
      </c>
      <c r="C33" s="98"/>
      <c r="D33" s="116">
        <v>1</v>
      </c>
      <c r="E33" s="98">
        <f>+MdeObra!C41</f>
        <v>2040009</v>
      </c>
      <c r="F33" s="931">
        <f>IF(E33&lt;$J$8,$J$6,$J$7)</f>
        <v>1.73</v>
      </c>
      <c r="G33" s="98">
        <f>A33*D33*E33*F33</f>
        <v>3529215.57</v>
      </c>
      <c r="H33" s="117">
        <f>G33/$G$13</f>
        <v>6.4810617119153043E-3</v>
      </c>
      <c r="I33" s="460"/>
      <c r="J33" s="460"/>
      <c r="K33" s="114"/>
      <c r="L33" s="114">
        <v>1200000</v>
      </c>
      <c r="M33" s="96">
        <f>+L33+L33*$L$21</f>
        <v>1680000</v>
      </c>
      <c r="N33" s="88">
        <f>+M33*F33</f>
        <v>2906400</v>
      </c>
      <c r="O33" s="461">
        <f t="shared" ref="O33:O39" si="3">+N33/$G$13</f>
        <v>5.3373213922182257E-3</v>
      </c>
      <c r="P33" s="114"/>
    </row>
    <row r="34" spans="1:18" x14ac:dyDescent="0.25">
      <c r="A34" s="944">
        <v>1</v>
      </c>
      <c r="B34" s="98" t="s">
        <v>202</v>
      </c>
      <c r="C34" s="98"/>
      <c r="D34" s="116">
        <v>0.5</v>
      </c>
      <c r="E34" s="98">
        <f>+MdeObra!C39</f>
        <v>2797950</v>
      </c>
      <c r="F34" s="931">
        <f>IF(E34&lt;$J$8,$J$6,$J$7)</f>
        <v>1.73</v>
      </c>
      <c r="G34" s="98">
        <f>A34*D34*E34*F34</f>
        <v>2420226.75</v>
      </c>
      <c r="H34" s="117">
        <f>G34/$G$13</f>
        <v>4.4445114254038649E-3</v>
      </c>
      <c r="I34" s="460"/>
      <c r="J34" s="460"/>
      <c r="K34" s="114"/>
      <c r="L34" s="114">
        <v>1400000</v>
      </c>
      <c r="M34" s="96">
        <f>+L34+L34*$L$21</f>
        <v>1960000</v>
      </c>
      <c r="N34" s="88">
        <f>+M34*F34</f>
        <v>3390800</v>
      </c>
      <c r="O34" s="461">
        <f t="shared" si="3"/>
        <v>6.2268749575879303E-3</v>
      </c>
      <c r="P34" s="114"/>
    </row>
    <row r="35" spans="1:18" x14ac:dyDescent="0.25">
      <c r="A35" s="944">
        <v>1</v>
      </c>
      <c r="B35" s="98" t="s">
        <v>203</v>
      </c>
      <c r="C35" s="98"/>
      <c r="D35" s="116">
        <v>1</v>
      </c>
      <c r="E35" s="98">
        <f>+MdeObra!C42</f>
        <v>1014980</v>
      </c>
      <c r="F35" s="931">
        <f>IF(E35&lt;$J$8,$J$6,$J$7)</f>
        <v>1.85</v>
      </c>
      <c r="G35" s="98">
        <f>A35*D35*E35*F35</f>
        <v>1877713</v>
      </c>
      <c r="H35" s="117">
        <f>G35/$G$13</f>
        <v>3.4482376009311389E-3</v>
      </c>
      <c r="I35" s="460"/>
      <c r="J35" s="460"/>
      <c r="K35" s="114"/>
      <c r="L35" s="114">
        <v>589500</v>
      </c>
      <c r="M35" s="96">
        <f>+L35+L35*$L$21</f>
        <v>825300</v>
      </c>
      <c r="N35" s="88">
        <f>+M35*F35</f>
        <v>1526805</v>
      </c>
      <c r="O35" s="461">
        <f t="shared" si="3"/>
        <v>2.8038291316562582E-3</v>
      </c>
      <c r="P35" s="114"/>
    </row>
    <row r="36" spans="1:18" x14ac:dyDescent="0.25">
      <c r="H36" s="117"/>
      <c r="I36" s="460"/>
      <c r="J36" s="460"/>
      <c r="K36" s="114"/>
      <c r="L36" s="114"/>
      <c r="M36" s="96"/>
      <c r="O36" s="461">
        <f t="shared" si="3"/>
        <v>0</v>
      </c>
      <c r="P36" s="114"/>
    </row>
    <row r="37" spans="1:18" x14ac:dyDescent="0.25">
      <c r="A37" s="1261" t="s">
        <v>204</v>
      </c>
      <c r="B37" s="1261"/>
      <c r="C37" s="1261"/>
      <c r="D37" s="1261"/>
      <c r="E37" s="1261"/>
      <c r="F37" s="1261"/>
      <c r="G37" s="1261"/>
      <c r="H37" s="117"/>
      <c r="I37" s="460"/>
      <c r="J37" s="460"/>
      <c r="K37" s="114"/>
      <c r="L37" s="114"/>
      <c r="M37" s="96"/>
      <c r="O37" s="461">
        <f t="shared" si="3"/>
        <v>0</v>
      </c>
      <c r="P37" s="114"/>
    </row>
    <row r="38" spans="1:18" x14ac:dyDescent="0.25">
      <c r="A38" s="944">
        <v>1</v>
      </c>
      <c r="B38" s="98" t="s">
        <v>205</v>
      </c>
      <c r="C38" s="98"/>
      <c r="D38" s="116">
        <v>1</v>
      </c>
      <c r="E38" s="98">
        <f>+MdeObra!C43</f>
        <v>1014980</v>
      </c>
      <c r="F38" s="931">
        <f>IF(E38&lt;$J$8,$J$6,$J$7)</f>
        <v>1.85</v>
      </c>
      <c r="G38" s="98">
        <f>A38*D38*E38*F38</f>
        <v>1877713</v>
      </c>
      <c r="H38" s="117">
        <f>G38/$G$13</f>
        <v>3.4482376009311389E-3</v>
      </c>
      <c r="I38" s="460"/>
      <c r="J38" s="460"/>
      <c r="K38" s="114"/>
      <c r="L38" s="114">
        <v>589500</v>
      </c>
      <c r="M38" s="96">
        <f>+L38+L38*$L$21</f>
        <v>825300</v>
      </c>
      <c r="N38" s="88">
        <f>+M38*F38</f>
        <v>1526805</v>
      </c>
      <c r="O38" s="461">
        <f t="shared" si="3"/>
        <v>2.8038291316562582E-3</v>
      </c>
      <c r="P38" s="114"/>
    </row>
    <row r="39" spans="1:18" x14ac:dyDescent="0.25">
      <c r="A39" s="944">
        <v>1</v>
      </c>
      <c r="B39" s="98" t="s">
        <v>206</v>
      </c>
      <c r="C39" s="98"/>
      <c r="D39" s="116">
        <v>0.2</v>
      </c>
      <c r="E39" s="98">
        <f>+MdeObra!C40</f>
        <v>2040009</v>
      </c>
      <c r="F39" s="931">
        <f>IF(E39&lt;$J$8,$J$6,$J$7)</f>
        <v>1.73</v>
      </c>
      <c r="G39" s="98">
        <f>A39*D39*E39*F39</f>
        <v>705843.11400000006</v>
      </c>
      <c r="H39" s="117">
        <f>G39/$G$13</f>
        <v>1.2962123423830609E-3</v>
      </c>
      <c r="I39" s="460"/>
      <c r="J39" s="460"/>
      <c r="K39" s="114"/>
      <c r="L39" s="114">
        <v>900000</v>
      </c>
      <c r="M39" s="96">
        <f>+L39+L39*$L$21</f>
        <v>1260000</v>
      </c>
      <c r="N39" s="88">
        <f>+M39*F39</f>
        <v>2179800</v>
      </c>
      <c r="O39" s="461">
        <f t="shared" si="3"/>
        <v>4.0029910441636693E-3</v>
      </c>
      <c r="P39" s="114"/>
    </row>
    <row r="40" spans="1:18" x14ac:dyDescent="0.25">
      <c r="A40" s="1261" t="s">
        <v>771</v>
      </c>
      <c r="B40" s="1261"/>
      <c r="C40" s="1261"/>
      <c r="D40" s="1261"/>
      <c r="E40" s="1261"/>
      <c r="F40" s="1261"/>
      <c r="G40" s="467">
        <f>SUM(G22:G24)</f>
        <v>21157911.244999997</v>
      </c>
      <c r="H40" s="451">
        <f>SUM(H22:H24)</f>
        <v>3.8854449594891635E-2</v>
      </c>
      <c r="I40" s="450"/>
      <c r="J40" s="450"/>
      <c r="K40" s="114"/>
      <c r="L40" s="114"/>
      <c r="M40" s="114"/>
      <c r="N40" s="97"/>
      <c r="O40" s="451"/>
      <c r="P40" s="114"/>
    </row>
    <row r="41" spans="1:18" x14ac:dyDescent="0.25">
      <c r="A41" s="1261" t="s">
        <v>767</v>
      </c>
      <c r="B41" s="1261"/>
      <c r="C41" s="1261"/>
      <c r="D41" s="1261"/>
      <c r="E41" s="1261"/>
      <c r="F41" s="1261"/>
      <c r="G41" s="467">
        <f>+SUM(G25:G39)</f>
        <v>31568621.640999999</v>
      </c>
      <c r="H41" s="451">
        <f>SUM(H25:H39)</f>
        <v>5.7972708370269938E-2</v>
      </c>
      <c r="I41" s="450"/>
      <c r="J41" s="450"/>
      <c r="K41" s="114"/>
      <c r="L41" s="114"/>
      <c r="M41" s="114"/>
      <c r="N41" s="97"/>
      <c r="O41" s="451"/>
      <c r="P41" s="114"/>
    </row>
    <row r="42" spans="1:18" x14ac:dyDescent="0.25">
      <c r="A42" s="1261" t="s">
        <v>207</v>
      </c>
      <c r="B42" s="1261"/>
      <c r="C42" s="1261"/>
      <c r="D42" s="1261"/>
      <c r="E42" s="1261"/>
      <c r="F42" s="1261"/>
      <c r="G42" s="467">
        <f>+G40+G41</f>
        <v>52726532.885999992</v>
      </c>
      <c r="H42" s="451">
        <f>+H40+H41</f>
        <v>9.6827157965161573E-2</v>
      </c>
      <c r="I42" s="450"/>
      <c r="J42" s="450"/>
      <c r="K42" s="114"/>
      <c r="L42" s="114"/>
      <c r="M42" s="114"/>
      <c r="N42" s="97">
        <f>SUM(N22:N39)</f>
        <v>47255110</v>
      </c>
      <c r="O42" s="451">
        <f>SUM(O22:O39)</f>
        <v>8.6779421103298046E-2</v>
      </c>
      <c r="P42" s="114"/>
    </row>
    <row r="43" spans="1:18" x14ac:dyDescent="0.25">
      <c r="D43" s="118"/>
      <c r="J43" s="462"/>
      <c r="K43" s="950"/>
      <c r="L43" s="950"/>
      <c r="M43" s="950"/>
      <c r="N43" s="950"/>
      <c r="O43" s="950"/>
      <c r="P43" s="114"/>
    </row>
    <row r="44" spans="1:18" x14ac:dyDescent="0.25">
      <c r="D44" s="118"/>
      <c r="K44" s="114"/>
      <c r="L44" s="114"/>
      <c r="M44" s="114"/>
      <c r="N44" s="114"/>
      <c r="O44" s="114"/>
      <c r="P44" s="114"/>
      <c r="R44" s="97"/>
    </row>
    <row r="45" spans="1:18" x14ac:dyDescent="0.25">
      <c r="A45" s="1252" t="s">
        <v>208</v>
      </c>
      <c r="B45" s="1252"/>
      <c r="C45" s="93"/>
      <c r="D45" s="93"/>
      <c r="E45" s="93"/>
      <c r="F45" s="93"/>
      <c r="G45" s="119" t="s">
        <v>209</v>
      </c>
      <c r="H45" s="119" t="s">
        <v>209</v>
      </c>
      <c r="I45" s="463"/>
      <c r="J45" s="463"/>
      <c r="K45" s="458"/>
      <c r="L45" s="459">
        <v>0.01</v>
      </c>
      <c r="M45" s="114"/>
      <c r="N45" s="114"/>
      <c r="O45" s="114"/>
      <c r="P45" s="114"/>
    </row>
    <row r="46" spans="1:18" x14ac:dyDescent="0.25">
      <c r="A46" s="1262" t="s">
        <v>210</v>
      </c>
      <c r="B46" s="1262"/>
      <c r="C46" s="115"/>
      <c r="D46" s="965"/>
      <c r="E46" s="115"/>
      <c r="F46" s="115"/>
      <c r="G46" s="115">
        <v>612950</v>
      </c>
      <c r="H46" s="966">
        <f t="shared" ref="H46:H52" si="4">G46/$G$13</f>
        <v>1.1256231583265076E-3</v>
      </c>
      <c r="I46" s="460"/>
      <c r="J46" s="460"/>
      <c r="K46" s="114"/>
      <c r="L46" s="114">
        <v>500000</v>
      </c>
      <c r="M46" s="114"/>
      <c r="N46" s="458">
        <f>ROUND(L46+L46*$L$45,0)</f>
        <v>505000</v>
      </c>
      <c r="O46" s="464">
        <f t="shared" ref="O46:O52" si="5">+N46/$G$13</f>
        <v>9.2738346513563318E-4</v>
      </c>
      <c r="P46" s="114"/>
      <c r="Q46" s="114"/>
    </row>
    <row r="47" spans="1:18" ht="29.25" customHeight="1" x14ac:dyDescent="0.25">
      <c r="A47" s="1262" t="s">
        <v>211</v>
      </c>
      <c r="B47" s="1263"/>
      <c r="C47" s="115"/>
      <c r="D47" s="965"/>
      <c r="E47" s="115"/>
      <c r="F47" s="115"/>
      <c r="G47" s="115">
        <f>+N47</f>
        <v>303000</v>
      </c>
      <c r="H47" s="966">
        <f t="shared" si="4"/>
        <v>5.5643007908137991E-4</v>
      </c>
      <c r="I47" s="460"/>
      <c r="J47" s="460"/>
      <c r="K47" s="114"/>
      <c r="L47" s="114">
        <v>300000</v>
      </c>
      <c r="M47" s="114"/>
      <c r="N47" s="458">
        <f>ROUND(L47+L47*$L$45,0)</f>
        <v>303000</v>
      </c>
      <c r="O47" s="464">
        <f t="shared" si="5"/>
        <v>5.5643007908137991E-4</v>
      </c>
      <c r="P47" s="114"/>
      <c r="Q47" s="114"/>
    </row>
    <row r="48" spans="1:18" ht="15" x14ac:dyDescent="0.25">
      <c r="A48" s="1259" t="s">
        <v>212</v>
      </c>
      <c r="B48" s="1264"/>
      <c r="C48" s="98"/>
      <c r="D48" s="116"/>
      <c r="E48" s="98"/>
      <c r="F48" s="98"/>
      <c r="G48" s="98">
        <f>+N48</f>
        <v>909000</v>
      </c>
      <c r="H48" s="117">
        <f t="shared" si="4"/>
        <v>1.6692902372441396E-3</v>
      </c>
      <c r="I48" s="460"/>
      <c r="J48" s="460"/>
      <c r="K48" s="114"/>
      <c r="L48" s="114">
        <v>900000</v>
      </c>
      <c r="M48" s="114"/>
      <c r="N48" s="458">
        <f>ROUND(L48+L48*$L$45,0)</f>
        <v>909000</v>
      </c>
      <c r="O48" s="464">
        <f t="shared" si="5"/>
        <v>1.6692902372441396E-3</v>
      </c>
      <c r="P48" s="114"/>
      <c r="Q48" s="114"/>
    </row>
    <row r="49" spans="1:256" x14ac:dyDescent="0.25">
      <c r="A49" s="1265" t="s">
        <v>213</v>
      </c>
      <c r="B49" s="1266"/>
      <c r="C49" s="1266"/>
      <c r="D49" s="1266"/>
      <c r="E49" s="1266"/>
      <c r="F49" s="1267"/>
      <c r="G49" s="115">
        <v>3500000</v>
      </c>
      <c r="H49" s="966">
        <f t="shared" si="4"/>
        <v>6.427410154405378E-3</v>
      </c>
      <c r="I49" s="460"/>
      <c r="J49" s="460"/>
      <c r="K49" s="114"/>
      <c r="L49" s="114">
        <v>3427500</v>
      </c>
      <c r="M49" s="114"/>
      <c r="N49" s="458">
        <f>ROUND(L49+L49*$L$45,0)</f>
        <v>3461775</v>
      </c>
      <c r="O49" s="464">
        <f t="shared" si="5"/>
        <v>6.3572136535047655E-3</v>
      </c>
      <c r="P49" s="114"/>
      <c r="Q49" s="114"/>
    </row>
    <row r="50" spans="1:256" x14ac:dyDescent="0.25">
      <c r="A50" s="944">
        <v>1</v>
      </c>
      <c r="B50" s="98" t="s">
        <v>214</v>
      </c>
      <c r="C50" s="98"/>
      <c r="D50" s="116">
        <v>1</v>
      </c>
      <c r="E50" s="98">
        <f>+N50</f>
        <v>1818000</v>
      </c>
      <c r="F50" s="98"/>
      <c r="G50" s="98">
        <f>+E50*D50</f>
        <v>1818000</v>
      </c>
      <c r="H50" s="117">
        <f t="shared" si="4"/>
        <v>3.3385804744882792E-3</v>
      </c>
      <c r="I50" s="460"/>
      <c r="J50" s="465">
        <v>1</v>
      </c>
      <c r="K50" s="114">
        <f>1800000</f>
        <v>1800000</v>
      </c>
      <c r="L50" s="114"/>
      <c r="M50" s="114"/>
      <c r="N50" s="458">
        <f>ROUND(J50*(K50+K50*$L$45),0)</f>
        <v>1818000</v>
      </c>
      <c r="O50" s="464">
        <f t="shared" si="5"/>
        <v>3.3385804744882792E-3</v>
      </c>
      <c r="P50" s="114"/>
      <c r="Q50" s="114"/>
    </row>
    <row r="51" spans="1:256" x14ac:dyDescent="0.25">
      <c r="A51" s="944">
        <v>1</v>
      </c>
      <c r="B51" s="98" t="s">
        <v>215</v>
      </c>
      <c r="C51" s="98"/>
      <c r="D51" s="116">
        <v>1</v>
      </c>
      <c r="E51" s="98">
        <f>+N51</f>
        <v>1515000</v>
      </c>
      <c r="F51" s="98"/>
      <c r="G51" s="98">
        <f>+E51*D51</f>
        <v>1515000</v>
      </c>
      <c r="H51" s="117">
        <f t="shared" si="4"/>
        <v>2.7821503954068992E-3</v>
      </c>
      <c r="I51" s="460"/>
      <c r="J51" s="465">
        <v>1</v>
      </c>
      <c r="K51" s="114">
        <v>1500000</v>
      </c>
      <c r="L51" s="114"/>
      <c r="M51" s="114"/>
      <c r="N51" s="458">
        <f>ROUND(J51*(K51+K51*$L$45),0)</f>
        <v>1515000</v>
      </c>
      <c r="O51" s="464">
        <f t="shared" si="5"/>
        <v>2.7821503954068992E-3</v>
      </c>
      <c r="P51" s="114"/>
      <c r="Q51" s="114"/>
    </row>
    <row r="52" spans="1:256" x14ac:dyDescent="0.25">
      <c r="A52" s="944">
        <v>1</v>
      </c>
      <c r="B52" s="98" t="s">
        <v>216</v>
      </c>
      <c r="C52" s="98"/>
      <c r="D52" s="116">
        <v>1</v>
      </c>
      <c r="E52" s="98">
        <f>+N52</f>
        <v>808000</v>
      </c>
      <c r="F52" s="98"/>
      <c r="G52" s="98">
        <f>+E52*D52</f>
        <v>808000</v>
      </c>
      <c r="H52" s="117">
        <f t="shared" si="4"/>
        <v>1.4838135442170131E-3</v>
      </c>
      <c r="I52" s="460"/>
      <c r="J52" s="465">
        <v>1</v>
      </c>
      <c r="K52" s="932">
        <v>800000</v>
      </c>
      <c r="L52" s="114"/>
      <c r="M52" s="114"/>
      <c r="N52" s="458">
        <f>ROUND(J52*(K52+K52*$L$45),0)</f>
        <v>808000</v>
      </c>
      <c r="O52" s="464">
        <f t="shared" si="5"/>
        <v>1.4838135442170131E-3</v>
      </c>
      <c r="P52" s="114"/>
      <c r="Q52" s="114"/>
    </row>
    <row r="53" spans="1:256" x14ac:dyDescent="0.25">
      <c r="A53" s="1261" t="s">
        <v>217</v>
      </c>
      <c r="B53" s="1261" t="s">
        <v>217</v>
      </c>
      <c r="C53" s="1261"/>
      <c r="D53" s="1261"/>
      <c r="E53" s="1261"/>
      <c r="F53" s="1261"/>
      <c r="G53" s="97">
        <f>SUM(G46:G52)</f>
        <v>9465950</v>
      </c>
      <c r="H53" s="120">
        <f>SUM(H46:H52)</f>
        <v>1.7383298043169595E-2</v>
      </c>
      <c r="I53" s="466"/>
      <c r="J53" s="466"/>
      <c r="K53" s="114"/>
      <c r="L53" s="114"/>
      <c r="M53" s="114"/>
      <c r="N53" s="467">
        <f>SUM(N46:N52)</f>
        <v>9319775</v>
      </c>
      <c r="O53" s="468">
        <f>SUM(O46:O52)</f>
        <v>1.7114861849078108E-2</v>
      </c>
      <c r="P53" s="114"/>
      <c r="Q53" s="114"/>
    </row>
    <row r="54" spans="1:256" x14ac:dyDescent="0.25">
      <c r="K54" s="114"/>
      <c r="L54" s="114"/>
      <c r="M54" s="458"/>
      <c r="N54" s="114"/>
      <c r="O54" s="114"/>
      <c r="P54" s="114"/>
    </row>
    <row r="55" spans="1:256" x14ac:dyDescent="0.25">
      <c r="A55" s="1252" t="s">
        <v>218</v>
      </c>
      <c r="B55" s="1252"/>
      <c r="C55" s="1252"/>
      <c r="D55" s="1252"/>
      <c r="E55" s="1252"/>
      <c r="F55" s="1252"/>
      <c r="G55" s="93">
        <f>(G40+G53)*C14</f>
        <v>183743167.46999997</v>
      </c>
      <c r="H55" s="121">
        <f>(H40+H53)*C14</f>
        <v>0.33742648582836743</v>
      </c>
      <c r="I55" s="469"/>
      <c r="J55" s="470"/>
      <c r="K55" s="114"/>
      <c r="L55" s="114"/>
      <c r="M55" s="114"/>
      <c r="N55" s="946">
        <f>+(N53+N42)*$L$20</f>
        <v>339449310</v>
      </c>
      <c r="O55" s="468">
        <f>(O53+O42)*L20</f>
        <v>0.62336569771425698</v>
      </c>
      <c r="P55" s="114"/>
    </row>
    <row r="56" spans="1:256" x14ac:dyDescent="0.25">
      <c r="A56" s="1252" t="s">
        <v>219</v>
      </c>
      <c r="B56" s="1252"/>
      <c r="C56" s="1252"/>
      <c r="D56" s="1252"/>
      <c r="E56" s="1252"/>
      <c r="F56" s="1252"/>
      <c r="G56" s="122">
        <f>G55/G13</f>
        <v>0.33742648582836737</v>
      </c>
      <c r="H56" s="121">
        <f>H55</f>
        <v>0.33742648582836743</v>
      </c>
      <c r="I56" s="470"/>
      <c r="J56" s="470"/>
      <c r="K56" s="114"/>
      <c r="L56" s="114"/>
      <c r="M56" s="114"/>
      <c r="N56" s="468">
        <f>+N55/G13</f>
        <v>0.62336569771425687</v>
      </c>
      <c r="O56" s="468">
        <f>+O55</f>
        <v>0.62336569771425698</v>
      </c>
      <c r="P56" s="114"/>
    </row>
    <row r="57" spans="1:256" x14ac:dyDescent="0.25">
      <c r="J57" s="462"/>
      <c r="K57" s="950"/>
      <c r="L57" s="950"/>
      <c r="M57" s="950"/>
      <c r="N57" s="950"/>
      <c r="O57" s="950"/>
      <c r="P57" s="114"/>
    </row>
    <row r="58" spans="1:256" x14ac:dyDescent="0.25">
      <c r="A58" s="1268" t="s">
        <v>967</v>
      </c>
      <c r="B58" s="1269" t="s">
        <v>220</v>
      </c>
      <c r="C58" s="1269"/>
      <c r="D58" s="1269"/>
      <c r="E58" s="1269"/>
      <c r="F58" s="1269"/>
      <c r="G58" s="1270"/>
      <c r="K58" s="114"/>
      <c r="L58" s="114"/>
      <c r="M58" s="114"/>
      <c r="N58" s="114"/>
      <c r="O58" s="114"/>
      <c r="P58" s="114"/>
    </row>
    <row r="59" spans="1:256" x14ac:dyDescent="0.25">
      <c r="A59" s="1261" t="s">
        <v>221</v>
      </c>
      <c r="B59" s="1261"/>
      <c r="C59" s="1261"/>
      <c r="D59" s="1261"/>
      <c r="E59" s="1261"/>
      <c r="F59" s="1261"/>
      <c r="G59" s="1261"/>
      <c r="K59" s="114"/>
      <c r="L59" s="114"/>
      <c r="M59" s="114"/>
      <c r="N59" s="114"/>
      <c r="O59" s="114"/>
      <c r="P59" s="114"/>
    </row>
    <row r="60" spans="1:256" x14ac:dyDescent="0.25">
      <c r="A60" s="1271" t="s">
        <v>4</v>
      </c>
      <c r="B60" s="1271"/>
      <c r="C60" s="947"/>
      <c r="D60" s="947" t="s">
        <v>222</v>
      </c>
      <c r="E60" s="947"/>
      <c r="F60" s="947" t="s">
        <v>223</v>
      </c>
      <c r="G60" s="947" t="s">
        <v>209</v>
      </c>
      <c r="H60" s="947" t="s">
        <v>209</v>
      </c>
      <c r="I60" s="111"/>
      <c r="J60" s="111"/>
      <c r="K60" s="114"/>
      <c r="L60" s="114"/>
      <c r="M60" s="114"/>
      <c r="N60" s="114"/>
      <c r="O60" s="114"/>
      <c r="P60" s="114"/>
      <c r="Q60" s="948"/>
      <c r="R60" s="948"/>
      <c r="S60" s="948"/>
      <c r="T60" s="948"/>
      <c r="U60" s="948"/>
      <c r="V60" s="948"/>
      <c r="W60" s="948"/>
      <c r="X60" s="948"/>
      <c r="Y60" s="948"/>
      <c r="Z60" s="948"/>
      <c r="AA60" s="948"/>
      <c r="AB60" s="948"/>
      <c r="AC60" s="948"/>
      <c r="AD60" s="948"/>
      <c r="AE60" s="948"/>
      <c r="AF60" s="948"/>
      <c r="AG60" s="948"/>
      <c r="AH60" s="948"/>
      <c r="AI60" s="948"/>
      <c r="AJ60" s="948"/>
      <c r="AK60" s="948"/>
      <c r="AL60" s="948"/>
      <c r="AM60" s="948"/>
      <c r="AN60" s="948"/>
      <c r="AO60" s="948"/>
      <c r="AP60" s="948"/>
      <c r="AQ60" s="948"/>
      <c r="AR60" s="948"/>
      <c r="AS60" s="948"/>
      <c r="AT60" s="948"/>
      <c r="AU60" s="948"/>
      <c r="AV60" s="948"/>
      <c r="AW60" s="948"/>
      <c r="AX60" s="948"/>
      <c r="AY60" s="948"/>
      <c r="AZ60" s="948"/>
      <c r="BA60" s="948"/>
      <c r="BB60" s="948"/>
      <c r="BC60" s="948"/>
      <c r="BD60" s="948"/>
      <c r="BE60" s="948"/>
      <c r="BF60" s="948"/>
      <c r="BG60" s="948"/>
      <c r="BH60" s="948"/>
      <c r="BI60" s="948"/>
      <c r="BJ60" s="948"/>
      <c r="BK60" s="948"/>
      <c r="BL60" s="948"/>
      <c r="BM60" s="948"/>
      <c r="BN60" s="948"/>
      <c r="BO60" s="948"/>
      <c r="BP60" s="948"/>
      <c r="BQ60" s="948"/>
      <c r="BR60" s="948"/>
      <c r="BS60" s="948"/>
      <c r="BT60" s="948"/>
      <c r="BU60" s="948"/>
      <c r="BV60" s="948"/>
      <c r="BW60" s="948"/>
      <c r="BX60" s="948"/>
      <c r="BY60" s="948"/>
      <c r="BZ60" s="948"/>
      <c r="CA60" s="948"/>
      <c r="CB60" s="948"/>
      <c r="CC60" s="948"/>
      <c r="CD60" s="948"/>
      <c r="CE60" s="948"/>
      <c r="CF60" s="948"/>
      <c r="CG60" s="948"/>
      <c r="CH60" s="948"/>
      <c r="CI60" s="948"/>
      <c r="CJ60" s="948"/>
      <c r="CK60" s="948"/>
      <c r="CL60" s="948"/>
      <c r="CM60" s="948"/>
      <c r="CN60" s="948"/>
      <c r="CO60" s="948"/>
      <c r="CP60" s="948"/>
      <c r="CQ60" s="948"/>
      <c r="CR60" s="948"/>
      <c r="CS60" s="948"/>
      <c r="CT60" s="948"/>
      <c r="CU60" s="948"/>
      <c r="CV60" s="948"/>
      <c r="CW60" s="948"/>
      <c r="CX60" s="948"/>
      <c r="CY60" s="948"/>
      <c r="CZ60" s="948"/>
      <c r="DA60" s="948"/>
      <c r="DB60" s="948"/>
      <c r="DC60" s="948"/>
      <c r="DD60" s="948"/>
      <c r="DE60" s="948"/>
      <c r="DF60" s="948"/>
      <c r="DG60" s="948"/>
      <c r="DH60" s="948"/>
      <c r="DI60" s="948"/>
      <c r="DJ60" s="948"/>
      <c r="DK60" s="948"/>
      <c r="DL60" s="948"/>
      <c r="DM60" s="948"/>
      <c r="DN60" s="948"/>
      <c r="DO60" s="948"/>
      <c r="DP60" s="948"/>
      <c r="DQ60" s="948"/>
      <c r="DR60" s="948"/>
      <c r="DS60" s="948"/>
      <c r="DT60" s="948"/>
      <c r="DU60" s="948"/>
      <c r="DV60" s="948"/>
      <c r="DW60" s="948"/>
      <c r="DX60" s="948"/>
      <c r="DY60" s="948"/>
      <c r="DZ60" s="948"/>
      <c r="EA60" s="948"/>
      <c r="EB60" s="948"/>
      <c r="EC60" s="948"/>
      <c r="ED60" s="948"/>
      <c r="EE60" s="948"/>
      <c r="EF60" s="948"/>
      <c r="EG60" s="948"/>
      <c r="EH60" s="948"/>
      <c r="EI60" s="948"/>
      <c r="EJ60" s="948"/>
      <c r="EK60" s="948"/>
      <c r="EL60" s="948"/>
      <c r="EM60" s="948"/>
      <c r="EN60" s="948"/>
      <c r="EO60" s="948"/>
      <c r="EP60" s="948"/>
      <c r="EQ60" s="948"/>
      <c r="ER60" s="948"/>
      <c r="ES60" s="948"/>
      <c r="ET60" s="948"/>
      <c r="EU60" s="948"/>
      <c r="EV60" s="948"/>
      <c r="EW60" s="948"/>
      <c r="EX60" s="948"/>
      <c r="EY60" s="948"/>
      <c r="EZ60" s="948"/>
      <c r="FA60" s="948"/>
      <c r="FB60" s="948"/>
      <c r="FC60" s="948"/>
      <c r="FD60" s="948"/>
      <c r="FE60" s="948"/>
      <c r="FF60" s="948"/>
      <c r="FG60" s="948"/>
      <c r="FH60" s="948"/>
      <c r="FI60" s="948"/>
      <c r="FJ60" s="948"/>
      <c r="FK60" s="948"/>
      <c r="FL60" s="948"/>
      <c r="FM60" s="948"/>
      <c r="FN60" s="948"/>
      <c r="FO60" s="948"/>
      <c r="FP60" s="948"/>
      <c r="FQ60" s="948"/>
      <c r="FR60" s="948"/>
      <c r="FS60" s="948"/>
      <c r="FT60" s="948"/>
      <c r="FU60" s="948"/>
      <c r="FV60" s="948"/>
      <c r="FW60" s="948"/>
      <c r="FX60" s="948"/>
      <c r="FY60" s="948"/>
      <c r="FZ60" s="948"/>
      <c r="GA60" s="948"/>
      <c r="GB60" s="948"/>
      <c r="GC60" s="948"/>
      <c r="GD60" s="948"/>
      <c r="GE60" s="948"/>
      <c r="GF60" s="948"/>
      <c r="GG60" s="948"/>
      <c r="GH60" s="948"/>
      <c r="GI60" s="948"/>
      <c r="GJ60" s="948"/>
      <c r="GK60" s="948"/>
      <c r="GL60" s="948"/>
      <c r="GM60" s="948"/>
      <c r="GN60" s="948"/>
      <c r="GO60" s="948"/>
      <c r="GP60" s="948"/>
      <c r="GQ60" s="948"/>
      <c r="GR60" s="948"/>
      <c r="GS60" s="948"/>
      <c r="GT60" s="948"/>
      <c r="GU60" s="948"/>
      <c r="GV60" s="948"/>
      <c r="GW60" s="948"/>
      <c r="GX60" s="948"/>
      <c r="GY60" s="948"/>
      <c r="GZ60" s="948"/>
      <c r="HA60" s="948"/>
      <c r="HB60" s="948"/>
      <c r="HC60" s="948"/>
      <c r="HD60" s="948"/>
      <c r="HE60" s="948"/>
      <c r="HF60" s="948"/>
      <c r="HG60" s="948"/>
      <c r="HH60" s="948"/>
      <c r="HI60" s="948"/>
      <c r="HJ60" s="948"/>
      <c r="HK60" s="948"/>
      <c r="HL60" s="948"/>
      <c r="HM60" s="948"/>
      <c r="HN60" s="948"/>
      <c r="HO60" s="948"/>
      <c r="HP60" s="948"/>
      <c r="HQ60" s="948"/>
      <c r="HR60" s="948"/>
      <c r="HS60" s="948"/>
      <c r="HT60" s="948"/>
      <c r="HU60" s="948"/>
      <c r="HV60" s="948"/>
      <c r="HW60" s="948"/>
      <c r="HX60" s="948"/>
      <c r="HY60" s="948"/>
      <c r="HZ60" s="948"/>
      <c r="IA60" s="948"/>
      <c r="IB60" s="948"/>
      <c r="IC60" s="948"/>
      <c r="ID60" s="948"/>
      <c r="IE60" s="948"/>
      <c r="IF60" s="948"/>
      <c r="IG60" s="948"/>
      <c r="IH60" s="948"/>
      <c r="II60" s="948"/>
      <c r="IJ60" s="948"/>
      <c r="IK60" s="948"/>
      <c r="IL60" s="948"/>
      <c r="IM60" s="948"/>
      <c r="IN60" s="948"/>
      <c r="IO60" s="948"/>
      <c r="IP60" s="948"/>
      <c r="IQ60" s="948"/>
      <c r="IR60" s="948"/>
      <c r="IS60" s="948"/>
      <c r="IT60" s="948"/>
      <c r="IU60" s="948"/>
      <c r="IV60" s="948"/>
    </row>
    <row r="61" spans="1:256" x14ac:dyDescent="0.25">
      <c r="A61" s="1259" t="s">
        <v>224</v>
      </c>
      <c r="B61" s="1259"/>
      <c r="C61" s="98"/>
      <c r="D61" s="123">
        <f>+C12</f>
        <v>763014745</v>
      </c>
      <c r="E61" s="98"/>
      <c r="F61" s="945">
        <v>0.05</v>
      </c>
      <c r="G61" s="98">
        <f t="shared" ref="G61:G69" si="6">((D61*F61))</f>
        <v>38150737.25</v>
      </c>
      <c r="H61" s="117">
        <f t="shared" ref="H61:H69" si="7">G61/$G$13</f>
        <v>7.0060124571057578E-2</v>
      </c>
      <c r="I61" s="460"/>
      <c r="J61" s="471"/>
      <c r="K61" s="114"/>
      <c r="L61" s="114"/>
      <c r="M61" s="114"/>
      <c r="N61" s="114"/>
      <c r="O61" s="114"/>
      <c r="P61" s="114"/>
    </row>
    <row r="62" spans="1:256" x14ac:dyDescent="0.25">
      <c r="A62" s="1259" t="s">
        <v>225</v>
      </c>
      <c r="B62" s="1259"/>
      <c r="C62" s="98"/>
      <c r="D62" s="98">
        <f t="shared" ref="D62:D67" si="8">D61</f>
        <v>763014745</v>
      </c>
      <c r="E62" s="98"/>
      <c r="F62" s="945">
        <v>6.0000000000000001E-3</v>
      </c>
      <c r="G62" s="98">
        <f t="shared" si="6"/>
        <v>4578088.47</v>
      </c>
      <c r="H62" s="117">
        <f t="shared" si="7"/>
        <v>8.4072149485269077E-3</v>
      </c>
      <c r="I62" s="460"/>
      <c r="J62" s="471"/>
      <c r="K62" s="114"/>
      <c r="L62" s="114"/>
      <c r="M62" s="114"/>
      <c r="N62" s="114"/>
      <c r="O62" s="114"/>
      <c r="P62" s="114"/>
    </row>
    <row r="63" spans="1:256" x14ac:dyDescent="0.25">
      <c r="A63" s="1259" t="s">
        <v>226</v>
      </c>
      <c r="B63" s="1259"/>
      <c r="C63" s="98"/>
      <c r="D63" s="98">
        <f t="shared" si="8"/>
        <v>763014745</v>
      </c>
      <c r="E63" s="98"/>
      <c r="F63" s="945">
        <v>5.0000000000000001E-3</v>
      </c>
      <c r="G63" s="98">
        <f t="shared" si="6"/>
        <v>3815073.7250000001</v>
      </c>
      <c r="H63" s="117">
        <f t="shared" si="7"/>
        <v>7.0060124571057576E-3</v>
      </c>
      <c r="I63" s="460"/>
      <c r="J63" s="471"/>
      <c r="K63" s="114"/>
      <c r="L63" s="114"/>
      <c r="M63" s="114"/>
      <c r="N63" s="114"/>
      <c r="O63" s="114"/>
      <c r="P63" s="114"/>
    </row>
    <row r="64" spans="1:256" x14ac:dyDescent="0.25">
      <c r="A64" s="1259" t="s">
        <v>227</v>
      </c>
      <c r="B64" s="1259"/>
      <c r="C64" s="98"/>
      <c r="D64" s="98">
        <f t="shared" si="8"/>
        <v>763014745</v>
      </c>
      <c r="E64" s="98"/>
      <c r="F64" s="945">
        <v>0.01</v>
      </c>
      <c r="G64" s="98">
        <f t="shared" si="6"/>
        <v>7630147.4500000002</v>
      </c>
      <c r="H64" s="117">
        <f t="shared" si="7"/>
        <v>1.4012024914211515E-2</v>
      </c>
      <c r="I64" s="460"/>
      <c r="J64" s="471"/>
      <c r="K64" s="114"/>
      <c r="L64" s="114"/>
      <c r="M64" s="114"/>
      <c r="N64" s="114"/>
      <c r="O64" s="114"/>
      <c r="P64" s="114"/>
    </row>
    <row r="65" spans="1:16" x14ac:dyDescent="0.25">
      <c r="A65" s="1259" t="s">
        <v>228</v>
      </c>
      <c r="B65" s="1259"/>
      <c r="C65" s="98"/>
      <c r="D65" s="98">
        <f t="shared" si="8"/>
        <v>763014745</v>
      </c>
      <c r="E65" s="98"/>
      <c r="F65" s="945">
        <v>0.02</v>
      </c>
      <c r="G65" s="98">
        <f t="shared" si="6"/>
        <v>15260294.9</v>
      </c>
      <c r="H65" s="117">
        <f t="shared" si="7"/>
        <v>2.802404982842303E-2</v>
      </c>
      <c r="I65" s="460"/>
      <c r="J65" s="471"/>
      <c r="K65" s="114"/>
      <c r="L65" s="114"/>
      <c r="M65" s="114"/>
      <c r="N65" s="114"/>
      <c r="O65" s="114"/>
      <c r="P65" s="114"/>
    </row>
    <row r="66" spans="1:16" x14ac:dyDescent="0.25">
      <c r="A66" s="1259" t="s">
        <v>229</v>
      </c>
      <c r="B66" s="1259"/>
      <c r="C66" s="98"/>
      <c r="D66" s="98">
        <f t="shared" si="8"/>
        <v>763014745</v>
      </c>
      <c r="E66" s="98"/>
      <c r="F66" s="945">
        <v>0.02</v>
      </c>
      <c r="G66" s="98">
        <f t="shared" si="6"/>
        <v>15260294.9</v>
      </c>
      <c r="H66" s="117">
        <f t="shared" si="7"/>
        <v>2.802404982842303E-2</v>
      </c>
      <c r="I66" s="460"/>
      <c r="J66" s="471"/>
      <c r="K66" s="114"/>
      <c r="L66" s="114"/>
      <c r="M66" s="114"/>
      <c r="N66" s="114"/>
      <c r="O66" s="114"/>
      <c r="P66" s="114"/>
    </row>
    <row r="67" spans="1:16" x14ac:dyDescent="0.25">
      <c r="A67" s="1259" t="s">
        <v>230</v>
      </c>
      <c r="B67" s="1259"/>
      <c r="C67" s="98"/>
      <c r="D67" s="98">
        <f t="shared" si="8"/>
        <v>763014745</v>
      </c>
      <c r="E67" s="98"/>
      <c r="F67" s="945">
        <v>2.5000000000000001E-3</v>
      </c>
      <c r="G67" s="98">
        <f t="shared" si="6"/>
        <v>1907536.8625</v>
      </c>
      <c r="H67" s="117">
        <f t="shared" si="7"/>
        <v>3.5030062285528788E-3</v>
      </c>
      <c r="I67" s="460"/>
      <c r="J67" s="471"/>
      <c r="K67" s="114"/>
      <c r="L67" s="114"/>
      <c r="M67" s="114"/>
      <c r="N67" s="114"/>
      <c r="O67" s="114"/>
      <c r="P67" s="114"/>
    </row>
    <row r="68" spans="1:16" x14ac:dyDescent="0.25">
      <c r="A68" s="1259" t="s">
        <v>231</v>
      </c>
      <c r="B68" s="1259"/>
      <c r="C68" s="98"/>
      <c r="D68" s="98">
        <f>P.Detall!Q96</f>
        <v>49995430</v>
      </c>
      <c r="E68" s="98"/>
      <c r="F68" s="945">
        <v>0.09</v>
      </c>
      <c r="G68" s="98">
        <f t="shared" si="6"/>
        <v>4499588.7</v>
      </c>
      <c r="H68" s="117">
        <f t="shared" si="7"/>
        <v>8.2630577431507708E-3</v>
      </c>
      <c r="I68" s="460"/>
      <c r="J68" s="471"/>
      <c r="K68" s="114"/>
      <c r="L68" s="114"/>
      <c r="M68" s="114"/>
      <c r="N68" s="114"/>
      <c r="O68" s="114"/>
      <c r="P68" s="114"/>
    </row>
    <row r="69" spans="1:16" x14ac:dyDescent="0.25">
      <c r="A69" s="1259" t="s">
        <v>232</v>
      </c>
      <c r="B69" s="1259"/>
      <c r="C69" s="98"/>
      <c r="D69" s="476">
        <v>0</v>
      </c>
      <c r="E69" s="98"/>
      <c r="F69" s="945">
        <v>1</v>
      </c>
      <c r="G69" s="98">
        <f t="shared" si="6"/>
        <v>0</v>
      </c>
      <c r="H69" s="117">
        <f t="shared" si="7"/>
        <v>0</v>
      </c>
      <c r="I69" s="460"/>
      <c r="J69" s="460"/>
      <c r="K69" s="114"/>
      <c r="L69" s="114"/>
      <c r="M69" s="114"/>
      <c r="N69" s="114"/>
      <c r="O69" s="114"/>
      <c r="P69" s="114"/>
    </row>
    <row r="70" spans="1:16" x14ac:dyDescent="0.25">
      <c r="A70" s="1260"/>
      <c r="B70" s="1260"/>
      <c r="C70" s="1260"/>
      <c r="D70" s="1260"/>
      <c r="E70" s="1260"/>
      <c r="F70" s="1260"/>
      <c r="G70" s="98"/>
      <c r="H70" s="117"/>
      <c r="I70" s="460"/>
      <c r="J70" s="460"/>
      <c r="K70" s="114"/>
      <c r="L70" s="114"/>
      <c r="M70" s="114"/>
      <c r="N70" s="114"/>
      <c r="O70" s="114"/>
      <c r="P70" s="114"/>
    </row>
    <row r="71" spans="1:16" x14ac:dyDescent="0.25">
      <c r="A71" s="1256" t="s">
        <v>233</v>
      </c>
      <c r="B71" s="1256"/>
      <c r="C71" s="1256"/>
      <c r="D71" s="1256"/>
      <c r="E71" s="1256"/>
      <c r="F71" s="1256"/>
      <c r="G71" s="97">
        <f>SUM(G61:G69)</f>
        <v>91101762.257500008</v>
      </c>
      <c r="H71" s="124">
        <f>SUM(H61:H69)</f>
        <v>0.16729954051945145</v>
      </c>
      <c r="I71" s="472"/>
      <c r="J71" s="472"/>
      <c r="K71" s="114"/>
      <c r="L71" s="114"/>
      <c r="M71" s="114"/>
      <c r="N71" s="114"/>
      <c r="O71" s="114"/>
      <c r="P71" s="114"/>
    </row>
    <row r="72" spans="1:16" ht="12.75" customHeight="1" x14ac:dyDescent="0.25">
      <c r="A72" s="1261" t="s">
        <v>968</v>
      </c>
      <c r="B72" s="1261"/>
      <c r="C72" s="1261"/>
      <c r="D72" s="1261"/>
      <c r="E72" s="1261"/>
      <c r="F72" s="1261"/>
      <c r="G72" s="1261"/>
      <c r="H72" s="124"/>
      <c r="I72" s="472"/>
      <c r="J72" s="472"/>
      <c r="K72" s="114"/>
      <c r="L72" s="114"/>
      <c r="M72" s="114"/>
      <c r="N72" s="114"/>
      <c r="O72" s="114"/>
      <c r="P72" s="114"/>
    </row>
    <row r="73" spans="1:16" ht="25.5" x14ac:dyDescent="0.25">
      <c r="A73" s="1261" t="s">
        <v>234</v>
      </c>
      <c r="B73" s="1261"/>
      <c r="C73" s="947" t="s">
        <v>235</v>
      </c>
      <c r="D73" s="947" t="s">
        <v>236</v>
      </c>
      <c r="E73" s="947" t="s">
        <v>237</v>
      </c>
      <c r="F73" s="125" t="s">
        <v>238</v>
      </c>
      <c r="G73" s="947" t="s">
        <v>209</v>
      </c>
      <c r="H73" s="947" t="s">
        <v>209</v>
      </c>
      <c r="I73" s="111"/>
      <c r="J73" s="111"/>
      <c r="K73" s="114"/>
      <c r="L73" s="114"/>
      <c r="M73" s="114"/>
      <c r="N73" s="114"/>
      <c r="O73" s="114"/>
      <c r="P73" s="114"/>
    </row>
    <row r="74" spans="1:16" x14ac:dyDescent="0.25">
      <c r="A74" s="1255" t="s">
        <v>239</v>
      </c>
      <c r="B74" s="98" t="s">
        <v>240</v>
      </c>
      <c r="C74" s="98">
        <f>+C12</f>
        <v>763014745</v>
      </c>
      <c r="D74" s="126">
        <v>0.1</v>
      </c>
      <c r="E74" s="127">
        <f>C14</f>
        <v>6</v>
      </c>
      <c r="F74" s="126">
        <v>2.5000000000000001E-3</v>
      </c>
      <c r="G74" s="98">
        <f>((((((C74*D74)*F74)/12)*E74))*1.16)</f>
        <v>110637.13802499999</v>
      </c>
      <c r="H74" s="117">
        <f>G74/$G$13</f>
        <v>2.0317436125606695E-4</v>
      </c>
      <c r="I74" s="460"/>
      <c r="J74" s="460"/>
      <c r="K74" s="114"/>
      <c r="L74" s="114"/>
      <c r="M74" s="114"/>
      <c r="N74" s="114"/>
      <c r="O74" s="114"/>
      <c r="P74" s="114"/>
    </row>
    <row r="75" spans="1:16" x14ac:dyDescent="0.25">
      <c r="A75" s="1255"/>
      <c r="B75" s="98" t="s">
        <v>241</v>
      </c>
      <c r="C75" s="98">
        <f>C74/10</f>
        <v>76301474.5</v>
      </c>
      <c r="D75" s="126">
        <v>1</v>
      </c>
      <c r="E75" s="127">
        <f>E74</f>
        <v>6</v>
      </c>
      <c r="F75" s="126">
        <v>2.5000000000000001E-3</v>
      </c>
      <c r="G75" s="98">
        <f>((((((C75*D75)*F75)/12)*E75))*1.16)</f>
        <v>110637.13802499999</v>
      </c>
      <c r="H75" s="117">
        <f>G75/$G$13</f>
        <v>2.0317436125606695E-4</v>
      </c>
      <c r="I75" s="460"/>
      <c r="J75" s="460"/>
      <c r="K75" s="114"/>
      <c r="L75" s="114"/>
      <c r="M75" s="114"/>
      <c r="N75" s="114"/>
      <c r="O75" s="114"/>
      <c r="P75" s="114"/>
    </row>
    <row r="76" spans="1:16" x14ac:dyDescent="0.25">
      <c r="A76" s="1255" t="s">
        <v>242</v>
      </c>
      <c r="B76" s="98" t="s">
        <v>243</v>
      </c>
      <c r="C76" s="98">
        <f>C74</f>
        <v>763014745</v>
      </c>
      <c r="D76" s="126">
        <v>0.1</v>
      </c>
      <c r="E76" s="127">
        <f>E75*6+1</f>
        <v>37</v>
      </c>
      <c r="F76" s="126">
        <v>2E-3</v>
      </c>
      <c r="G76" s="98">
        <f>((((((C76*D76)*F76)/12)*E76))*1.16)</f>
        <v>545809.88092333323</v>
      </c>
      <c r="H76" s="117">
        <f>G76/$G$13</f>
        <v>1.0023268488632635E-3</v>
      </c>
      <c r="I76" s="460"/>
      <c r="J76" s="460"/>
      <c r="K76" s="114"/>
      <c r="L76" s="114"/>
      <c r="M76" s="114"/>
      <c r="N76" s="114"/>
      <c r="O76" s="114"/>
      <c r="P76" s="114"/>
    </row>
    <row r="77" spans="1:16" x14ac:dyDescent="0.25">
      <c r="A77" s="1255"/>
      <c r="B77" s="98" t="s">
        <v>244</v>
      </c>
      <c r="C77" s="98">
        <f>C76</f>
        <v>763014745</v>
      </c>
      <c r="D77" s="126">
        <v>0.3</v>
      </c>
      <c r="E77" s="127">
        <f>E75*8+4</f>
        <v>52</v>
      </c>
      <c r="F77" s="126">
        <v>2E-3</v>
      </c>
      <c r="G77" s="98">
        <f>((((((C77*D77)*F77)/12)*E77))*1.16)</f>
        <v>2301252.4709199998</v>
      </c>
      <c r="H77" s="117">
        <f>G77/$G$13</f>
        <v>4.2260267141261921E-3</v>
      </c>
      <c r="I77" s="460"/>
      <c r="J77" s="460"/>
      <c r="K77" s="114"/>
      <c r="L77" s="114"/>
      <c r="M77" s="114"/>
      <c r="N77" s="114"/>
      <c r="O77" s="114"/>
      <c r="P77" s="114"/>
    </row>
    <row r="78" spans="1:16" x14ac:dyDescent="0.25">
      <c r="A78" s="1255"/>
      <c r="B78" s="98" t="s">
        <v>245</v>
      </c>
      <c r="C78" s="98">
        <f>C77</f>
        <v>763014745</v>
      </c>
      <c r="D78" s="126">
        <v>0.2</v>
      </c>
      <c r="E78" s="127">
        <f>E75</f>
        <v>6</v>
      </c>
      <c r="F78" s="126">
        <v>2.5000000000000001E-3</v>
      </c>
      <c r="G78" s="98">
        <f>((((((C78*D78)*F78)/12)*E78))*1.16)</f>
        <v>221274.27604999999</v>
      </c>
      <c r="H78" s="117">
        <f>G78/$G$13</f>
        <v>4.063487225121339E-4</v>
      </c>
      <c r="I78" s="460"/>
      <c r="J78" s="460"/>
      <c r="K78" s="114"/>
      <c r="L78" s="114"/>
      <c r="M78" s="114"/>
      <c r="N78" s="114"/>
      <c r="O78" s="114"/>
      <c r="P78" s="114"/>
    </row>
    <row r="79" spans="1:16" x14ac:dyDescent="0.25">
      <c r="A79" s="1256" t="s">
        <v>246</v>
      </c>
      <c r="B79" s="1256"/>
      <c r="C79" s="1256"/>
      <c r="D79" s="1256"/>
      <c r="E79" s="1256"/>
      <c r="F79" s="1256"/>
      <c r="G79" s="97">
        <f>SUM(G74:G78)</f>
        <v>3289610.9039433328</v>
      </c>
      <c r="H79" s="124">
        <f>SUM(H74:H78)</f>
        <v>6.0410510080137238E-3</v>
      </c>
      <c r="I79" s="934">
        <v>2765769</v>
      </c>
      <c r="J79" s="472"/>
      <c r="K79" s="114"/>
      <c r="L79" s="114"/>
      <c r="M79" s="114"/>
      <c r="N79" s="114"/>
      <c r="O79" s="114"/>
      <c r="P79" s="114"/>
    </row>
    <row r="80" spans="1:16" x14ac:dyDescent="0.25">
      <c r="A80" s="769"/>
      <c r="B80" s="769"/>
      <c r="C80" s="769"/>
      <c r="D80" s="769"/>
      <c r="E80" s="769"/>
      <c r="F80" s="769"/>
      <c r="G80" s="770"/>
      <c r="H80" s="472"/>
      <c r="I80" s="472"/>
      <c r="J80" s="472"/>
      <c r="K80" s="114"/>
      <c r="L80" s="114"/>
      <c r="M80" s="114"/>
      <c r="N80" s="114"/>
      <c r="O80" s="114"/>
      <c r="P80" s="114"/>
    </row>
    <row r="81" spans="1:16" x14ac:dyDescent="0.25">
      <c r="A81" s="1252" t="s">
        <v>969</v>
      </c>
      <c r="B81" s="1252"/>
      <c r="C81" s="1252"/>
      <c r="D81" s="1252"/>
      <c r="E81" s="1252"/>
      <c r="F81" s="1252"/>
      <c r="G81" s="93">
        <f>G79+G71</f>
        <v>94391373.161443338</v>
      </c>
      <c r="H81" s="121">
        <f>H79+H71</f>
        <v>0.17334059152746517</v>
      </c>
      <c r="I81" s="470"/>
      <c r="J81" s="470"/>
      <c r="K81" s="114"/>
      <c r="L81" s="114"/>
      <c r="M81" s="114"/>
      <c r="N81" s="114"/>
      <c r="O81" s="114"/>
      <c r="P81" s="114"/>
    </row>
    <row r="82" spans="1:16" x14ac:dyDescent="0.25">
      <c r="A82" s="1252" t="s">
        <v>970</v>
      </c>
      <c r="B82" s="1252"/>
      <c r="C82" s="1252"/>
      <c r="D82" s="1252"/>
      <c r="E82" s="1252"/>
      <c r="F82" s="1252"/>
      <c r="G82" s="122">
        <f>G81/G13</f>
        <v>0.1733405915274652</v>
      </c>
      <c r="H82" s="122">
        <f>H81</f>
        <v>0.17334059152746517</v>
      </c>
      <c r="I82" s="473"/>
      <c r="J82" s="473"/>
      <c r="K82" s="114"/>
      <c r="L82" s="114"/>
      <c r="M82" s="114"/>
      <c r="N82" s="114"/>
      <c r="O82" s="114"/>
      <c r="P82" s="114"/>
    </row>
    <row r="83" spans="1:16" x14ac:dyDescent="0.25">
      <c r="K83" s="114"/>
      <c r="L83" s="114"/>
      <c r="M83" s="114"/>
      <c r="N83" s="114"/>
      <c r="O83" s="114"/>
      <c r="P83" s="114"/>
    </row>
    <row r="84" spans="1:16" x14ac:dyDescent="0.25">
      <c r="A84" s="1252" t="s">
        <v>247</v>
      </c>
      <c r="B84" s="1252"/>
      <c r="C84" s="1252"/>
      <c r="D84" s="1252"/>
      <c r="E84" s="1252"/>
      <c r="F84" s="1252"/>
      <c r="G84" s="129">
        <f>G82+G56</f>
        <v>0.5107670773558326</v>
      </c>
      <c r="H84" s="129">
        <f>H82+H56</f>
        <v>0.5107670773558326</v>
      </c>
      <c r="I84" s="128"/>
      <c r="J84" s="128"/>
      <c r="K84" s="114"/>
      <c r="L84" s="114"/>
      <c r="M84" s="114"/>
      <c r="N84" s="114"/>
      <c r="O84" s="114"/>
      <c r="P84" s="114"/>
    </row>
    <row r="85" spans="1:16" ht="14.25" x14ac:dyDescent="0.25">
      <c r="A85" s="1250" t="s">
        <v>248</v>
      </c>
      <c r="B85" s="1251"/>
      <c r="C85" s="1251"/>
      <c r="D85" s="130"/>
      <c r="E85" s="130"/>
      <c r="F85" s="131"/>
      <c r="G85" s="129">
        <v>0.05</v>
      </c>
      <c r="H85" s="129">
        <v>0.05</v>
      </c>
      <c r="I85" s="128"/>
      <c r="J85" s="128"/>
      <c r="K85" s="114"/>
      <c r="L85" s="114"/>
      <c r="M85" s="114"/>
      <c r="N85" s="114"/>
      <c r="O85" s="114"/>
      <c r="P85" s="114"/>
    </row>
    <row r="86" spans="1:16" ht="14.25" x14ac:dyDescent="0.25">
      <c r="A86" s="1250" t="s">
        <v>249</v>
      </c>
      <c r="B86" s="1251"/>
      <c r="C86" s="1251"/>
      <c r="D86" s="130"/>
      <c r="E86" s="130"/>
      <c r="F86" s="131"/>
      <c r="G86" s="129">
        <v>0.05</v>
      </c>
      <c r="H86" s="129">
        <v>0.05</v>
      </c>
      <c r="I86" s="128"/>
      <c r="J86" s="128"/>
      <c r="K86" s="114"/>
      <c r="L86" s="114"/>
      <c r="M86" s="114"/>
      <c r="N86" s="114"/>
      <c r="O86" s="114"/>
      <c r="P86" s="114"/>
    </row>
    <row r="87" spans="1:16" x14ac:dyDescent="0.25">
      <c r="H87" s="132"/>
      <c r="I87" s="132"/>
      <c r="J87" s="132"/>
      <c r="K87" s="114"/>
      <c r="L87" s="114"/>
      <c r="M87" s="114"/>
      <c r="N87" s="114"/>
      <c r="O87" s="114"/>
      <c r="P87" s="114"/>
    </row>
    <row r="88" spans="1:16" x14ac:dyDescent="0.25">
      <c r="A88" s="1252" t="s">
        <v>250</v>
      </c>
      <c r="B88" s="1252"/>
      <c r="C88" s="1252"/>
      <c r="D88" s="1252"/>
      <c r="E88" s="1252"/>
      <c r="F88" s="1252"/>
      <c r="G88" s="129">
        <f>SUM(G84:G86)</f>
        <v>0.61076707735583269</v>
      </c>
      <c r="H88" s="129">
        <f>SUM(H84:H86)</f>
        <v>0.61076707735583269</v>
      </c>
      <c r="I88" s="128"/>
      <c r="J88" s="128"/>
      <c r="K88" s="133">
        <f>H88/H91</f>
        <v>2.0358902578527758</v>
      </c>
      <c r="L88" s="114"/>
      <c r="M88" s="114"/>
      <c r="N88" s="114"/>
      <c r="O88" s="114"/>
      <c r="P88" s="114"/>
    </row>
    <row r="89" spans="1:16" x14ac:dyDescent="0.25">
      <c r="H89" s="134"/>
      <c r="I89" s="134"/>
      <c r="J89" s="134"/>
      <c r="K89" s="114"/>
      <c r="L89" s="114"/>
      <c r="M89" s="114"/>
      <c r="N89" s="114"/>
      <c r="O89" s="114"/>
      <c r="P89" s="114"/>
    </row>
    <row r="90" spans="1:16" x14ac:dyDescent="0.25">
      <c r="H90" s="135"/>
      <c r="I90" s="135"/>
      <c r="J90" s="135"/>
      <c r="K90" s="114"/>
      <c r="L90" s="114"/>
      <c r="M90" s="114"/>
      <c r="N90" s="114"/>
      <c r="O90" s="114"/>
      <c r="P90" s="114"/>
    </row>
    <row r="91" spans="1:16" x14ac:dyDescent="0.25">
      <c r="H91" s="136">
        <v>0.3</v>
      </c>
      <c r="I91" s="136"/>
      <c r="J91" s="136"/>
      <c r="K91" s="114"/>
      <c r="L91" s="114"/>
      <c r="M91" s="114"/>
      <c r="N91" s="114"/>
      <c r="O91" s="114"/>
      <c r="P91" s="114"/>
    </row>
    <row r="92" spans="1:16" x14ac:dyDescent="0.25">
      <c r="K92" s="114"/>
      <c r="L92" s="114"/>
      <c r="M92" s="114"/>
      <c r="N92" s="114"/>
      <c r="O92" s="114"/>
      <c r="P92" s="114"/>
    </row>
    <row r="93" spans="1:16" x14ac:dyDescent="0.25">
      <c r="K93" s="114"/>
      <c r="L93" s="114"/>
      <c r="M93" s="114"/>
    </row>
    <row r="94" spans="1:16" x14ac:dyDescent="0.25">
      <c r="A94" s="1103"/>
      <c r="B94" s="462"/>
      <c r="K94" s="114"/>
      <c r="L94" s="114"/>
      <c r="M94" s="114"/>
    </row>
    <row r="95" spans="1:16" x14ac:dyDescent="0.25">
      <c r="A95" s="1257" t="str">
        <f>+'Presup '!F123</f>
        <v>ING. JHONATAN STIVEN PANTOJA MORILLO</v>
      </c>
      <c r="B95" s="1257"/>
      <c r="K95" s="114"/>
      <c r="L95" s="114"/>
      <c r="M95" s="114"/>
    </row>
    <row r="96" spans="1:16" x14ac:dyDescent="0.25">
      <c r="A96" s="1258" t="str">
        <f>+'Presup '!F124</f>
        <v xml:space="preserve">M.P. 111037-0520109 NRÑ </v>
      </c>
      <c r="B96" s="1258"/>
      <c r="K96" s="114"/>
      <c r="L96" s="114"/>
      <c r="M96" s="114"/>
    </row>
    <row r="97" spans="6:13" ht="15" hidden="1" x14ac:dyDescent="0.25">
      <c r="F97" s="137"/>
      <c r="G97" s="137"/>
      <c r="H97" s="137"/>
      <c r="I97" s="474"/>
      <c r="J97" s="474"/>
      <c r="K97" s="114"/>
      <c r="L97" s="114"/>
      <c r="M97" s="114"/>
    </row>
    <row r="98" spans="6:13" ht="14.25" hidden="1" customHeight="1" x14ac:dyDescent="0.25">
      <c r="F98" s="1253" t="str">
        <f>+'Presup '!F118:I118</f>
        <v xml:space="preserve">ING. MIGUEL ANTONIO VILLACRES MARTINEZ. </v>
      </c>
      <c r="G98" s="1253"/>
      <c r="H98" s="1253"/>
      <c r="I98" s="475"/>
      <c r="J98" s="475"/>
      <c r="K98" s="114"/>
      <c r="L98" s="114"/>
      <c r="M98" s="114"/>
    </row>
    <row r="99" spans="6:13" ht="14.25" hidden="1" customHeight="1" x14ac:dyDescent="0.25">
      <c r="F99" s="1254" t="str">
        <f>+'Presup '!F119:I119</f>
        <v>M.P. 52202-090508 NRÑ</v>
      </c>
      <c r="G99" s="1254"/>
      <c r="H99" s="1254"/>
      <c r="I99" s="943"/>
      <c r="J99" s="943"/>
      <c r="K99" s="114"/>
      <c r="L99" s="138"/>
      <c r="M99" s="138"/>
    </row>
    <row r="100" spans="6:13" hidden="1" x14ac:dyDescent="0.25"/>
    <row r="101" spans="6:13" hidden="1" x14ac:dyDescent="0.25"/>
  </sheetData>
  <mergeCells count="60">
    <mergeCell ref="A13:B13"/>
    <mergeCell ref="C13:D13"/>
    <mergeCell ref="A14:B14"/>
    <mergeCell ref="C14:D14"/>
    <mergeCell ref="A17:C17"/>
    <mergeCell ref="A1:H1"/>
    <mergeCell ref="A2:H2"/>
    <mergeCell ref="A3:H3"/>
    <mergeCell ref="A5:H5"/>
    <mergeCell ref="A12:B12"/>
    <mergeCell ref="C12:D12"/>
    <mergeCell ref="A9:C9"/>
    <mergeCell ref="D9:H9"/>
    <mergeCell ref="F12:G12"/>
    <mergeCell ref="A18:G18"/>
    <mergeCell ref="B19:B20"/>
    <mergeCell ref="C19:C20"/>
    <mergeCell ref="A21:G21"/>
    <mergeCell ref="A32:G32"/>
    <mergeCell ref="A37:G37"/>
    <mergeCell ref="A61:B61"/>
    <mergeCell ref="A45:B45"/>
    <mergeCell ref="A46:B46"/>
    <mergeCell ref="A47:B47"/>
    <mergeCell ref="A48:B48"/>
    <mergeCell ref="A49:F49"/>
    <mergeCell ref="A53:F53"/>
    <mergeCell ref="A55:F55"/>
    <mergeCell ref="A56:F56"/>
    <mergeCell ref="A58:G58"/>
    <mergeCell ref="A59:G59"/>
    <mergeCell ref="A60:B60"/>
    <mergeCell ref="A41:F41"/>
    <mergeCell ref="A42:F42"/>
    <mergeCell ref="A40:F40"/>
    <mergeCell ref="A74:A75"/>
    <mergeCell ref="A62:B62"/>
    <mergeCell ref="A63:B63"/>
    <mergeCell ref="A64:B64"/>
    <mergeCell ref="A65:B65"/>
    <mergeCell ref="A66:B66"/>
    <mergeCell ref="A67:B67"/>
    <mergeCell ref="A68:B68"/>
    <mergeCell ref="A69:B69"/>
    <mergeCell ref="A70:F70"/>
    <mergeCell ref="A71:F71"/>
    <mergeCell ref="A73:B73"/>
    <mergeCell ref="A72:G72"/>
    <mergeCell ref="A86:C86"/>
    <mergeCell ref="A88:F88"/>
    <mergeCell ref="F98:H98"/>
    <mergeCell ref="F99:H99"/>
    <mergeCell ref="A76:A78"/>
    <mergeCell ref="A79:F79"/>
    <mergeCell ref="A81:F81"/>
    <mergeCell ref="A82:F82"/>
    <mergeCell ref="A84:F84"/>
    <mergeCell ref="A85:C85"/>
    <mergeCell ref="A95:B95"/>
    <mergeCell ref="A96:B96"/>
  </mergeCells>
  <printOptions horizontalCentered="1" verticalCentered="1"/>
  <pageMargins left="0.23622047244094491" right="0.23622047244094491" top="1.2630314960629923" bottom="0.74803149606299213" header="0.31496062992125984" footer="0.31496062992125984"/>
  <pageSetup paperSize="125" scale="4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N66"/>
  <sheetViews>
    <sheetView view="pageBreakPreview" topLeftCell="A37" zoomScale="70" zoomScaleNormal="100" zoomScaleSheetLayoutView="70" workbookViewId="0">
      <selection activeCell="A58" sqref="A58"/>
    </sheetView>
  </sheetViews>
  <sheetFormatPr baseColWidth="10" defaultRowHeight="15" x14ac:dyDescent="0.25"/>
  <cols>
    <col min="1" max="1" width="40.42578125" customWidth="1"/>
    <col min="3" max="3" width="22.140625" customWidth="1"/>
    <col min="4" max="4" width="15.5703125" customWidth="1"/>
    <col min="5" max="5" width="14.42578125" customWidth="1"/>
    <col min="6" max="6" width="14.5703125" customWidth="1"/>
    <col min="8" max="8" width="21.42578125" customWidth="1"/>
    <col min="9" max="9" width="80" customWidth="1"/>
    <col min="10" max="10" width="15.140625" customWidth="1"/>
    <col min="11" max="11" width="84.140625" customWidth="1"/>
    <col min="12" max="12" width="15.7109375" customWidth="1"/>
  </cols>
  <sheetData>
    <row r="1" spans="1:14" x14ac:dyDescent="0.25">
      <c r="A1" s="1290"/>
      <c r="B1" s="1291"/>
      <c r="C1" s="1291"/>
      <c r="D1" s="1291"/>
      <c r="E1" s="1291"/>
      <c r="F1" s="1291"/>
      <c r="G1" s="415"/>
      <c r="H1" s="589"/>
      <c r="I1" s="427"/>
      <c r="J1" s="428"/>
      <c r="K1" s="427"/>
      <c r="L1" s="428"/>
      <c r="M1" s="426"/>
      <c r="N1" s="426"/>
    </row>
    <row r="2" spans="1:14" ht="18.75" x14ac:dyDescent="0.25">
      <c r="A2" s="1281" t="s">
        <v>0</v>
      </c>
      <c r="B2" s="1292"/>
      <c r="C2" s="1292"/>
      <c r="D2" s="1292"/>
      <c r="E2" s="1292"/>
      <c r="F2" s="1292"/>
      <c r="G2" s="1292"/>
      <c r="H2" s="1282"/>
      <c r="I2" s="1281" t="s">
        <v>0</v>
      </c>
      <c r="J2" s="1282"/>
      <c r="K2" s="1281" t="s">
        <v>0</v>
      </c>
      <c r="L2" s="1282"/>
      <c r="M2" s="87"/>
      <c r="N2" s="87"/>
    </row>
    <row r="3" spans="1:14" ht="18.75" x14ac:dyDescent="0.25">
      <c r="A3" s="1281" t="s">
        <v>1</v>
      </c>
      <c r="B3" s="1292"/>
      <c r="C3" s="1292"/>
      <c r="D3" s="1292"/>
      <c r="E3" s="1292"/>
      <c r="F3" s="1292"/>
      <c r="G3" s="1292"/>
      <c r="H3" s="1282"/>
      <c r="I3" s="1281" t="s">
        <v>1</v>
      </c>
      <c r="J3" s="1282"/>
      <c r="K3" s="1281" t="s">
        <v>1</v>
      </c>
      <c r="L3" s="1282"/>
      <c r="M3" s="87"/>
      <c r="N3" s="87"/>
    </row>
    <row r="4" spans="1:14" ht="18.75" x14ac:dyDescent="0.25">
      <c r="A4" s="1281" t="str">
        <f>+'Presup '!B3</f>
        <v>ALCALDÍA MUNICIPAL DE SAN LORENZO</v>
      </c>
      <c r="B4" s="1292"/>
      <c r="C4" s="1292"/>
      <c r="D4" s="1292"/>
      <c r="E4" s="1292"/>
      <c r="F4" s="1292"/>
      <c r="G4" s="1292"/>
      <c r="H4" s="1282"/>
      <c r="I4" s="1281" t="str">
        <f>+A4</f>
        <v>ALCALDÍA MUNICIPAL DE SAN LORENZO</v>
      </c>
      <c r="J4" s="1282"/>
      <c r="K4" s="1281" t="str">
        <f>+I4</f>
        <v>ALCALDÍA MUNICIPAL DE SAN LORENZO</v>
      </c>
      <c r="L4" s="1282"/>
      <c r="M4" s="87"/>
      <c r="N4" s="87"/>
    </row>
    <row r="5" spans="1:14" ht="15.75" x14ac:dyDescent="0.25">
      <c r="A5" s="1293"/>
      <c r="B5" s="1294"/>
      <c r="C5" s="1294"/>
      <c r="D5" s="1294"/>
      <c r="E5" s="1294"/>
      <c r="F5" s="1294"/>
      <c r="G5" s="416"/>
      <c r="H5" s="590"/>
      <c r="I5" s="429"/>
      <c r="J5" s="430"/>
      <c r="K5" s="429"/>
      <c r="L5" s="430"/>
      <c r="M5" s="421"/>
      <c r="N5" s="421"/>
    </row>
    <row r="6" spans="1:14" ht="22.5" customHeight="1" x14ac:dyDescent="0.25">
      <c r="A6" s="1281" t="str">
        <f>+'Presup '!B5</f>
        <v>MEJORAMIENTO VÍA LA LAGUNA, SALINAS, LOS OLIVOS</v>
      </c>
      <c r="B6" s="1292"/>
      <c r="C6" s="1292"/>
      <c r="D6" s="1292"/>
      <c r="E6" s="1292"/>
      <c r="F6" s="1292"/>
      <c r="G6" s="1292"/>
      <c r="H6" s="1282"/>
      <c r="I6" s="1281" t="str">
        <f>+A6</f>
        <v>MEJORAMIENTO VÍA LA LAGUNA, SALINAS, LOS OLIVOS</v>
      </c>
      <c r="J6" s="1282"/>
      <c r="K6" s="1281" t="str">
        <f>+I6</f>
        <v>MEJORAMIENTO VÍA LA LAGUNA, SALINAS, LOS OLIVOS</v>
      </c>
      <c r="L6" s="1282"/>
      <c r="M6" s="422"/>
      <c r="N6" s="422"/>
    </row>
    <row r="7" spans="1:14" ht="24.75" customHeight="1" x14ac:dyDescent="0.25">
      <c r="A7" s="1281"/>
      <c r="B7" s="1292"/>
      <c r="C7" s="1292"/>
      <c r="D7" s="1292"/>
      <c r="E7" s="1292"/>
      <c r="F7" s="1292"/>
      <c r="G7" s="1292"/>
      <c r="H7" s="1282"/>
      <c r="I7" s="1281"/>
      <c r="J7" s="1282"/>
      <c r="K7" s="1281"/>
      <c r="L7" s="1282"/>
      <c r="M7" s="87"/>
      <c r="N7" s="87"/>
    </row>
    <row r="8" spans="1:14" ht="16.5" thickBot="1" x14ac:dyDescent="0.3">
      <c r="A8" s="417"/>
      <c r="B8" s="418"/>
      <c r="C8" s="419"/>
      <c r="D8" s="419"/>
      <c r="E8" s="420"/>
      <c r="F8" s="419"/>
      <c r="G8" s="418"/>
      <c r="H8" s="591"/>
      <c r="I8" s="431"/>
      <c r="J8" s="432"/>
      <c r="K8" s="431"/>
      <c r="L8" s="432"/>
      <c r="M8" s="423"/>
      <c r="N8" s="423"/>
    </row>
    <row r="9" spans="1:14" ht="16.5" thickBot="1" x14ac:dyDescent="0.3">
      <c r="A9" s="1285" t="s">
        <v>690</v>
      </c>
      <c r="B9" s="1286"/>
      <c r="C9" s="1286"/>
      <c r="D9" s="1287" t="str">
        <f>+A6</f>
        <v>MEJORAMIENTO VÍA LA LAGUNA, SALINAS, LOS OLIVOS</v>
      </c>
      <c r="E9" s="1288"/>
      <c r="F9" s="1288"/>
      <c r="G9" s="1288"/>
      <c r="H9" s="1289"/>
      <c r="I9" s="1283" t="s">
        <v>1050</v>
      </c>
      <c r="J9" s="1284"/>
      <c r="K9" s="1283" t="s">
        <v>1051</v>
      </c>
      <c r="L9" s="1284"/>
      <c r="M9" s="423"/>
      <c r="N9" s="423"/>
    </row>
    <row r="10" spans="1:14" ht="15.75" thickBot="1" x14ac:dyDescent="0.3">
      <c r="A10" s="1297"/>
      <c r="B10" s="1298"/>
      <c r="C10" s="1298"/>
      <c r="D10" s="1298"/>
      <c r="E10" s="1298"/>
      <c r="F10" s="1298"/>
      <c r="G10" s="1298"/>
      <c r="H10" s="1299"/>
      <c r="I10" s="433"/>
      <c r="J10" s="432"/>
      <c r="K10" s="433"/>
      <c r="L10" s="432"/>
      <c r="M10" s="423"/>
      <c r="N10" s="423"/>
    </row>
    <row r="11" spans="1:14" ht="16.5" thickTop="1" thickBot="1" x14ac:dyDescent="0.3">
      <c r="A11" s="579"/>
      <c r="B11" s="1300" t="s">
        <v>691</v>
      </c>
      <c r="C11" s="1301"/>
      <c r="D11" s="1301"/>
      <c r="E11" s="1301"/>
      <c r="F11" s="1301"/>
      <c r="G11" s="1301"/>
      <c r="H11" s="1302"/>
      <c r="I11" s="434"/>
      <c r="J11" s="435"/>
      <c r="K11" s="434"/>
      <c r="L11" s="435"/>
      <c r="M11" s="423"/>
      <c r="N11" s="423"/>
    </row>
    <row r="12" spans="1:14" ht="15.75" thickTop="1" x14ac:dyDescent="0.25">
      <c r="A12" s="580" t="s">
        <v>692</v>
      </c>
      <c r="B12" s="576" t="s">
        <v>69</v>
      </c>
      <c r="C12" s="576" t="s">
        <v>70</v>
      </c>
      <c r="D12" s="576" t="s">
        <v>71</v>
      </c>
      <c r="E12" s="576" t="s">
        <v>72</v>
      </c>
      <c r="F12" s="576" t="s">
        <v>632</v>
      </c>
      <c r="G12" s="576" t="s">
        <v>634</v>
      </c>
      <c r="H12" s="581"/>
      <c r="I12" s="443" t="s">
        <v>738</v>
      </c>
      <c r="J12" s="447">
        <v>1</v>
      </c>
      <c r="K12" s="443" t="s">
        <v>738</v>
      </c>
      <c r="L12" s="447">
        <v>1</v>
      </c>
      <c r="M12" s="423"/>
      <c r="N12" s="423"/>
    </row>
    <row r="13" spans="1:14" x14ac:dyDescent="0.25">
      <c r="A13" s="1303" t="s">
        <v>693</v>
      </c>
      <c r="B13" s="1296" t="s">
        <v>6</v>
      </c>
      <c r="C13" s="1296" t="s">
        <v>694</v>
      </c>
      <c r="D13" s="1296" t="s">
        <v>695</v>
      </c>
      <c r="E13" s="1296" t="s">
        <v>696</v>
      </c>
      <c r="F13" s="577" t="s">
        <v>697</v>
      </c>
      <c r="G13" s="1296" t="s">
        <v>698</v>
      </c>
      <c r="H13" s="582" t="s">
        <v>699</v>
      </c>
      <c r="I13" s="444" t="s">
        <v>739</v>
      </c>
      <c r="J13" s="436"/>
      <c r="K13" s="444" t="s">
        <v>739</v>
      </c>
      <c r="L13" s="436"/>
      <c r="M13" s="423"/>
      <c r="N13" s="423"/>
    </row>
    <row r="14" spans="1:14" x14ac:dyDescent="0.25">
      <c r="A14" s="1303"/>
      <c r="B14" s="1296"/>
      <c r="C14" s="1296"/>
      <c r="D14" s="1296"/>
      <c r="E14" s="1296"/>
      <c r="F14" s="577" t="s">
        <v>700</v>
      </c>
      <c r="G14" s="1296"/>
      <c r="H14" s="582" t="s">
        <v>701</v>
      </c>
      <c r="I14" s="437" t="s">
        <v>740</v>
      </c>
      <c r="J14" s="446">
        <f>SUM(J15:J27)</f>
        <v>0.84796666666666676</v>
      </c>
      <c r="K14" s="437" t="s">
        <v>740</v>
      </c>
      <c r="L14" s="446">
        <f>SUM(L15:L27)</f>
        <v>0.72796666666666665</v>
      </c>
      <c r="M14" s="423"/>
      <c r="N14" s="423"/>
    </row>
    <row r="15" spans="1:14" x14ac:dyDescent="0.25">
      <c r="A15" s="583" t="str">
        <f>+[20]MdeObra!A24</f>
        <v>INGENIERO DIRECTOR DE OBRA</v>
      </c>
      <c r="B15" s="406">
        <v>1</v>
      </c>
      <c r="C15" s="574">
        <f>+MdeObra!C29</f>
        <v>8160037</v>
      </c>
      <c r="D15" s="407">
        <v>1</v>
      </c>
      <c r="E15" s="1164">
        <f>IF(C15&lt;1817052,$J$53,$L$53)/100</f>
        <v>2.23E-2</v>
      </c>
      <c r="F15" s="574">
        <f>B15*C15*D15*E15</f>
        <v>181968.82510000002</v>
      </c>
      <c r="G15" s="408">
        <f>+'AIU '!$C$14</f>
        <v>6</v>
      </c>
      <c r="H15" s="584">
        <f>ROUND((F15*G15),0)</f>
        <v>1091813</v>
      </c>
      <c r="I15" s="438" t="s">
        <v>1034</v>
      </c>
      <c r="J15" s="439">
        <f>'FP 1'!D9</f>
        <v>8.3333333333333343E-2</v>
      </c>
      <c r="K15" s="901" t="str">
        <f>'FP 2'!C9</f>
        <v xml:space="preserve">Cesantias 100.00%/12 Meses </v>
      </c>
      <c r="L15" s="439">
        <f>'FP 2'!D9</f>
        <v>8.3333333333333343E-2</v>
      </c>
      <c r="M15" s="423"/>
      <c r="N15" s="423"/>
    </row>
    <row r="16" spans="1:14" x14ac:dyDescent="0.25">
      <c r="A16" s="583" t="str">
        <f>+[20]MdeObra!A26</f>
        <v xml:space="preserve"> INGENIERO RESIDENTE DE OBRA</v>
      </c>
      <c r="B16" s="406">
        <v>1</v>
      </c>
      <c r="C16" s="574">
        <f>+MdeObra!C31</f>
        <v>5094999</v>
      </c>
      <c r="D16" s="407">
        <v>1</v>
      </c>
      <c r="E16" s="1164">
        <f t="shared" ref="E16:E25" si="0">IF(C16&lt;1817052,$J$53,$L$53)/100</f>
        <v>2.23E-2</v>
      </c>
      <c r="F16" s="574">
        <f t="shared" ref="F16:F23" si="1">B16*C16*D16*E16</f>
        <v>113618.4777</v>
      </c>
      <c r="G16" s="408">
        <f>+'AIU '!$C$14</f>
        <v>6</v>
      </c>
      <c r="H16" s="584">
        <f t="shared" ref="H16:H23" si="2">ROUND((F16*G16),0)</f>
        <v>681711</v>
      </c>
      <c r="I16" s="438" t="s">
        <v>1035</v>
      </c>
      <c r="J16" s="439">
        <f>'FP 1'!D10</f>
        <v>0.01</v>
      </c>
      <c r="K16" s="901" t="str">
        <f>'FP 2'!C10</f>
        <v>Intereses de cesantías</v>
      </c>
      <c r="L16" s="439">
        <f>'FP 2'!D10</f>
        <v>0.01</v>
      </c>
      <c r="M16" s="423"/>
      <c r="N16" s="423"/>
    </row>
    <row r="17" spans="1:14" x14ac:dyDescent="0.25">
      <c r="A17" s="583" t="str">
        <f>+[20]MdeObra!A28</f>
        <v>INGENIERO AUXILIAR DE OBRA</v>
      </c>
      <c r="B17" s="406">
        <v>1</v>
      </c>
      <c r="C17" s="574">
        <f>+MdeObra!C33</f>
        <v>3054989</v>
      </c>
      <c r="D17" s="407">
        <v>1</v>
      </c>
      <c r="E17" s="1164">
        <f t="shared" si="0"/>
        <v>2.23E-2</v>
      </c>
      <c r="F17" s="574">
        <f t="shared" si="1"/>
        <v>68126.254700000005</v>
      </c>
      <c r="G17" s="408">
        <f>+'AIU '!$C$14</f>
        <v>6</v>
      </c>
      <c r="H17" s="584">
        <f t="shared" si="2"/>
        <v>408758</v>
      </c>
      <c r="I17" s="438" t="s">
        <v>1036</v>
      </c>
      <c r="J17" s="439">
        <f>'FP 1'!D11</f>
        <v>8.3333333333333343E-2</v>
      </c>
      <c r="K17" s="901" t="str">
        <f>'FP 2'!C11</f>
        <v xml:space="preserve">Prima Anual 100.00%/12 Meses </v>
      </c>
      <c r="L17" s="439">
        <f>'FP 2'!D11</f>
        <v>8.3333333333333343E-2</v>
      </c>
      <c r="M17" s="423"/>
      <c r="N17" s="423"/>
    </row>
    <row r="18" spans="1:14" x14ac:dyDescent="0.25">
      <c r="A18" s="583" t="str">
        <f>+[20]MdeObra!A25</f>
        <v xml:space="preserve"> INGENIERO ESPECIALISTA EN VIAS</v>
      </c>
      <c r="B18" s="406">
        <v>1</v>
      </c>
      <c r="C18" s="574">
        <f>+MdeObra!C30</f>
        <v>6120028</v>
      </c>
      <c r="D18" s="407">
        <v>0.5</v>
      </c>
      <c r="E18" s="1164">
        <f t="shared" si="0"/>
        <v>2.23E-2</v>
      </c>
      <c r="F18" s="574">
        <f t="shared" si="1"/>
        <v>68238.3122</v>
      </c>
      <c r="G18" s="408">
        <f>+'AIU '!$C$14</f>
        <v>6</v>
      </c>
      <c r="H18" s="584">
        <f t="shared" si="2"/>
        <v>409430</v>
      </c>
      <c r="I18" s="438" t="s">
        <v>741</v>
      </c>
      <c r="J18" s="439">
        <f>'FP 1'!D12</f>
        <v>4.1700000000000001E-2</v>
      </c>
      <c r="K18" s="901" t="str">
        <f>'FP 2'!C12</f>
        <v>Vacaciones</v>
      </c>
      <c r="L18" s="439">
        <f>'FP 2'!D12</f>
        <v>4.1700000000000001E-2</v>
      </c>
      <c r="M18" s="423"/>
      <c r="N18" s="423"/>
    </row>
    <row r="19" spans="1:14" x14ac:dyDescent="0.25">
      <c r="A19" s="583" t="s">
        <v>702</v>
      </c>
      <c r="B19" s="406">
        <v>1</v>
      </c>
      <c r="C19" s="574">
        <f>+MdeObra!C36</f>
        <v>4853815</v>
      </c>
      <c r="D19" s="407">
        <f>+D18</f>
        <v>0.5</v>
      </c>
      <c r="E19" s="1164">
        <f t="shared" si="0"/>
        <v>2.23E-2</v>
      </c>
      <c r="F19" s="574">
        <f>B19*C19*D19*E19</f>
        <v>54120.037250000001</v>
      </c>
      <c r="G19" s="408">
        <f>+'AIU '!$C$14</f>
        <v>6</v>
      </c>
      <c r="H19" s="584">
        <f>ROUND((F19*G19),0)</f>
        <v>324720</v>
      </c>
      <c r="I19" s="438" t="s">
        <v>1037</v>
      </c>
      <c r="J19" s="439">
        <f>'FP 1'!D13</f>
        <v>0</v>
      </c>
      <c r="K19" s="901" t="str">
        <f>'FP 2'!C13</f>
        <v>Seguridad Social (salud)</v>
      </c>
      <c r="L19" s="439">
        <f>'FP 2'!D13</f>
        <v>0</v>
      </c>
      <c r="M19" s="423"/>
      <c r="N19" s="423"/>
    </row>
    <row r="20" spans="1:14" x14ac:dyDescent="0.25">
      <c r="A20" s="583" t="str">
        <f>+[20]MdeObra!A29</f>
        <v>INGENIERO ESPECIALISTA EN GEOTÉCNIA</v>
      </c>
      <c r="B20" s="406">
        <v>1</v>
      </c>
      <c r="C20" s="574">
        <f>+MdeObra!C34</f>
        <v>6120028</v>
      </c>
      <c r="D20" s="407">
        <f>+D19</f>
        <v>0.5</v>
      </c>
      <c r="E20" s="1164">
        <f t="shared" si="0"/>
        <v>2.23E-2</v>
      </c>
      <c r="F20" s="574">
        <f t="shared" si="1"/>
        <v>68238.3122</v>
      </c>
      <c r="G20" s="408">
        <f>+'AIU '!$C$14</f>
        <v>6</v>
      </c>
      <c r="H20" s="584">
        <f t="shared" si="2"/>
        <v>409430</v>
      </c>
      <c r="I20" s="438" t="s">
        <v>1038</v>
      </c>
      <c r="J20" s="439">
        <f>'FP 1'!D14</f>
        <v>0.12</v>
      </c>
      <c r="K20" s="901" t="str">
        <f>'FP 2'!C14</f>
        <v>Seguridad Social (pensión)</v>
      </c>
      <c r="L20" s="439">
        <f>'FP 2'!D14</f>
        <v>0.12</v>
      </c>
      <c r="M20" s="423"/>
      <c r="N20" s="423"/>
    </row>
    <row r="21" spans="1:14" ht="24.75" customHeight="1" x14ac:dyDescent="0.25">
      <c r="A21" s="583" t="str">
        <f>+[20]MdeObra!A30</f>
        <v>INGENIERO ESPECIALISTA EN ESTRUCTURAS</v>
      </c>
      <c r="B21" s="406">
        <v>1</v>
      </c>
      <c r="C21" s="574">
        <f>+MdeObra!C35</f>
        <v>6120028</v>
      </c>
      <c r="D21" s="407">
        <f>+D20</f>
        <v>0.5</v>
      </c>
      <c r="E21" s="1164">
        <f t="shared" si="0"/>
        <v>2.23E-2</v>
      </c>
      <c r="F21" s="574">
        <f t="shared" si="1"/>
        <v>68238.3122</v>
      </c>
      <c r="G21" s="408">
        <f>+'AIU '!$C$14</f>
        <v>6</v>
      </c>
      <c r="H21" s="584">
        <f t="shared" si="2"/>
        <v>409430</v>
      </c>
      <c r="I21" s="438" t="s">
        <v>1039</v>
      </c>
      <c r="J21" s="439">
        <f>'FP 1'!D15</f>
        <v>6.9599999999999995E-2</v>
      </c>
      <c r="K21" s="901" t="str">
        <f>'FP 2'!C15</f>
        <v>Aseguradora de Riesgos Laborales</v>
      </c>
      <c r="L21" s="439">
        <f>'FP 2'!D15</f>
        <v>6.9599999999999995E-2</v>
      </c>
      <c r="M21" s="423"/>
      <c r="N21" s="423"/>
    </row>
    <row r="22" spans="1:14" x14ac:dyDescent="0.25">
      <c r="A22" s="583" t="str">
        <f>+[20]MdeObra!A27</f>
        <v xml:space="preserve">INGENIERO RESIDENTE AMBIENTAL </v>
      </c>
      <c r="B22" s="406">
        <v>1</v>
      </c>
      <c r="C22" s="574">
        <f>+MdeObra!C32</f>
        <v>3054989</v>
      </c>
      <c r="D22" s="407">
        <v>1</v>
      </c>
      <c r="E22" s="1164">
        <f t="shared" si="0"/>
        <v>2.23E-2</v>
      </c>
      <c r="F22" s="574">
        <f t="shared" si="1"/>
        <v>68126.254700000005</v>
      </c>
      <c r="G22" s="408">
        <f>+'AIU '!$C$14</f>
        <v>6</v>
      </c>
      <c r="H22" s="584">
        <f t="shared" si="2"/>
        <v>408758</v>
      </c>
      <c r="I22" s="438" t="s">
        <v>1040</v>
      </c>
      <c r="J22" s="439">
        <f>'FP 1'!D16</f>
        <v>0.04</v>
      </c>
      <c r="K22" s="901" t="str">
        <f>'FP 2'!C16</f>
        <v>Caja de Compensación Familiar</v>
      </c>
      <c r="L22" s="439">
        <f>'FP 2'!D16</f>
        <v>0.04</v>
      </c>
      <c r="M22" s="423"/>
      <c r="N22" s="423"/>
    </row>
    <row r="23" spans="1:14" x14ac:dyDescent="0.25">
      <c r="A23" s="583" t="str">
        <f>+[20]MdeObra!A32</f>
        <v>INGENIERO ESPECIALISTA SISO</v>
      </c>
      <c r="B23" s="406">
        <v>1</v>
      </c>
      <c r="C23" s="574">
        <f>+MdeObra!C37</f>
        <v>3054989</v>
      </c>
      <c r="D23" s="407">
        <v>0.5</v>
      </c>
      <c r="E23" s="1164">
        <f t="shared" si="0"/>
        <v>2.23E-2</v>
      </c>
      <c r="F23" s="574">
        <f t="shared" si="1"/>
        <v>34063.127350000002</v>
      </c>
      <c r="G23" s="408">
        <f>+'AIU '!$C$14</f>
        <v>6</v>
      </c>
      <c r="H23" s="584">
        <f t="shared" si="2"/>
        <v>204379</v>
      </c>
      <c r="I23" s="438" t="s">
        <v>1041</v>
      </c>
      <c r="J23" s="439">
        <f>'FP 1'!D17</f>
        <v>0</v>
      </c>
      <c r="K23" s="901" t="str">
        <f>'FP 2'!C17</f>
        <v>ICBF</v>
      </c>
      <c r="L23" s="439">
        <f>'FP 2'!D17</f>
        <v>0</v>
      </c>
      <c r="M23" s="423"/>
      <c r="N23" s="423"/>
    </row>
    <row r="24" spans="1:14" x14ac:dyDescent="0.25">
      <c r="A24" s="583" t="str">
        <f>+[20]MdeObra!A39</f>
        <v>ABOGADO</v>
      </c>
      <c r="B24" s="406">
        <v>1</v>
      </c>
      <c r="C24" s="574">
        <f>+MdeObra!C44</f>
        <v>3467011</v>
      </c>
      <c r="D24" s="407">
        <v>0.3</v>
      </c>
      <c r="E24" s="1164">
        <f t="shared" si="0"/>
        <v>2.23E-2</v>
      </c>
      <c r="F24" s="574">
        <f>B24*C24*D24*E24</f>
        <v>23194.30359</v>
      </c>
      <c r="G24" s="408">
        <f>+'AIU '!$C$14</f>
        <v>6</v>
      </c>
      <c r="H24" s="584">
        <f>ROUND((F24*G24),0)</f>
        <v>139166</v>
      </c>
      <c r="I24" s="438" t="s">
        <v>1042</v>
      </c>
      <c r="J24" s="439">
        <f>'FP 1'!D18</f>
        <v>0</v>
      </c>
      <c r="K24" s="901" t="str">
        <f>'FP 2'!C18</f>
        <v>SENA</v>
      </c>
      <c r="L24" s="439">
        <f>'FP 2'!D18</f>
        <v>0</v>
      </c>
      <c r="M24" s="423"/>
      <c r="N24" s="423"/>
    </row>
    <row r="25" spans="1:14" ht="15.75" thickBot="1" x14ac:dyDescent="0.3">
      <c r="A25" s="585" t="str">
        <f>+[20]MdeObra!A33</f>
        <v xml:space="preserve"> TRABAJADOR SOCIAL </v>
      </c>
      <c r="B25" s="409">
        <v>1</v>
      </c>
      <c r="C25" s="575">
        <f>+MdeObra!C38</f>
        <v>2040009</v>
      </c>
      <c r="D25" s="410">
        <v>0.5</v>
      </c>
      <c r="E25" s="1164">
        <f t="shared" si="0"/>
        <v>2.23E-2</v>
      </c>
      <c r="F25" s="575">
        <f>B25*C25*D25*E25</f>
        <v>22746.100350000001</v>
      </c>
      <c r="G25" s="408">
        <f>+'AIU '!$C$14</f>
        <v>6</v>
      </c>
      <c r="H25" s="586">
        <f>ROUND((F25*G25),0)</f>
        <v>136477</v>
      </c>
      <c r="I25" s="440" t="s">
        <v>1045</v>
      </c>
      <c r="J25" s="439">
        <f>'FP 1'!D19</f>
        <v>0.12</v>
      </c>
      <c r="K25" s="901" t="str">
        <f>'FP 2'!C19</f>
        <v>Subsidio de Transporte</v>
      </c>
      <c r="L25" s="439">
        <f>'FP 2'!D19</f>
        <v>0</v>
      </c>
      <c r="M25" s="423"/>
      <c r="N25" s="423"/>
    </row>
    <row r="26" spans="1:14" ht="16.5" thickTop="1" thickBot="1" x14ac:dyDescent="0.3">
      <c r="A26" s="1309" t="s">
        <v>703</v>
      </c>
      <c r="B26" s="1310"/>
      <c r="C26" s="1310"/>
      <c r="D26" s="1310"/>
      <c r="E26" s="1310"/>
      <c r="F26" s="1310"/>
      <c r="G26" s="1311"/>
      <c r="H26" s="915">
        <f>SUM(H15:H25)</f>
        <v>4624072</v>
      </c>
      <c r="I26" s="918" t="s">
        <v>1046</v>
      </c>
      <c r="J26" s="911">
        <f>'FP 1'!D20</f>
        <v>0.15</v>
      </c>
      <c r="K26" s="901" t="str">
        <f>'FP 2'!C20</f>
        <v>Otros Subsidios (Transporte, prestaciones extralegales, incapacidades no cubiertas)</v>
      </c>
      <c r="L26" s="439">
        <f>'FP 2'!D20</f>
        <v>0.15</v>
      </c>
      <c r="M26" s="423"/>
      <c r="N26" s="423"/>
    </row>
    <row r="27" spans="1:14" ht="16.5" thickTop="1" thickBot="1" x14ac:dyDescent="0.3">
      <c r="A27" s="1333" t="s">
        <v>704</v>
      </c>
      <c r="B27" s="1301"/>
      <c r="C27" s="1301"/>
      <c r="D27" s="1301"/>
      <c r="E27" s="1301"/>
      <c r="F27" s="1301"/>
      <c r="G27" s="1301"/>
      <c r="H27" s="1301"/>
      <c r="I27" s="623" t="s">
        <v>1043</v>
      </c>
      <c r="J27" s="911">
        <f>'FP 1'!D21</f>
        <v>0.13</v>
      </c>
      <c r="K27" s="901" t="str">
        <f>'FP 2'!C21</f>
        <v>Dotación</v>
      </c>
      <c r="L27" s="439">
        <f>'FP 2'!D21</f>
        <v>0.13</v>
      </c>
      <c r="M27" s="423"/>
      <c r="N27" s="423"/>
    </row>
    <row r="28" spans="1:14" ht="15.75" thickTop="1" x14ac:dyDescent="0.25">
      <c r="A28" s="1334" t="s">
        <v>705</v>
      </c>
      <c r="B28" s="1295" t="s">
        <v>6</v>
      </c>
      <c r="C28" s="1295" t="s">
        <v>694</v>
      </c>
      <c r="D28" s="1295" t="s">
        <v>695</v>
      </c>
      <c r="E28" s="1295" t="s">
        <v>696</v>
      </c>
      <c r="F28" s="576" t="s">
        <v>697</v>
      </c>
      <c r="G28" s="1295" t="s">
        <v>698</v>
      </c>
      <c r="H28" s="581" t="s">
        <v>699</v>
      </c>
      <c r="I28" s="957" t="s">
        <v>742</v>
      </c>
      <c r="J28" s="958"/>
      <c r="K28" s="959" t="s">
        <v>742</v>
      </c>
      <c r="L28" s="958"/>
      <c r="M28" s="423"/>
      <c r="N28" s="423"/>
    </row>
    <row r="29" spans="1:14" x14ac:dyDescent="0.25">
      <c r="A29" s="1303"/>
      <c r="B29" s="1296"/>
      <c r="C29" s="1296"/>
      <c r="D29" s="1296"/>
      <c r="E29" s="1296"/>
      <c r="F29" s="577" t="s">
        <v>700</v>
      </c>
      <c r="G29" s="1296"/>
      <c r="H29" s="582" t="s">
        <v>701</v>
      </c>
      <c r="I29" s="960" t="s">
        <v>743</v>
      </c>
      <c r="J29" s="914">
        <v>0.01</v>
      </c>
      <c r="K29" s="961" t="s">
        <v>743</v>
      </c>
      <c r="L29" s="914">
        <f>J29</f>
        <v>0.01</v>
      </c>
      <c r="M29" s="423"/>
      <c r="N29" s="423"/>
    </row>
    <row r="30" spans="1:14" x14ac:dyDescent="0.25">
      <c r="A30" s="935" t="str">
        <f>+[20]MdeObra!A36</f>
        <v xml:space="preserve"> INSPECTOR DE OBRA CIVIL</v>
      </c>
      <c r="B30" s="936">
        <v>1</v>
      </c>
      <c r="C30" s="937">
        <f>+MdeObra!C41</f>
        <v>2040009</v>
      </c>
      <c r="D30" s="938">
        <v>1</v>
      </c>
      <c r="E30" s="1164">
        <f>IF(C30&lt;1817052,$J$53,$L$53)/100</f>
        <v>2.23E-2</v>
      </c>
      <c r="F30" s="937">
        <f t="shared" ref="F30:F35" si="3">B30*C30*D30*E30</f>
        <v>45492.200700000001</v>
      </c>
      <c r="G30" s="939">
        <f>+'AIU '!$C$14</f>
        <v>6</v>
      </c>
      <c r="H30" s="940">
        <f t="shared" ref="H30:H35" si="4">ROUND((F30*G30),0)</f>
        <v>272953</v>
      </c>
      <c r="I30" s="960" t="s">
        <v>744</v>
      </c>
      <c r="J30" s="914">
        <v>0.01</v>
      </c>
      <c r="K30" s="960" t="s">
        <v>744</v>
      </c>
      <c r="L30" s="914">
        <f t="shared" ref="L30:L48" si="5">J30</f>
        <v>0.01</v>
      </c>
      <c r="M30" s="423"/>
      <c r="N30" s="423"/>
    </row>
    <row r="31" spans="1:14" x14ac:dyDescent="0.25">
      <c r="A31" s="587" t="s">
        <v>706</v>
      </c>
      <c r="B31" s="411">
        <v>1</v>
      </c>
      <c r="C31" s="412">
        <f>+MdeObra!C46</f>
        <v>954684</v>
      </c>
      <c r="D31" s="413">
        <v>1</v>
      </c>
      <c r="E31" s="1164">
        <f t="shared" ref="E31:E35" si="6">IF(C31&lt;1817052,$J$53,$L$53)/100</f>
        <v>2.35E-2</v>
      </c>
      <c r="F31" s="574">
        <f t="shared" si="3"/>
        <v>22435.074000000001</v>
      </c>
      <c r="G31" s="408">
        <f>+'AIU '!$C$14</f>
        <v>6</v>
      </c>
      <c r="H31" s="584">
        <f t="shared" si="4"/>
        <v>134610</v>
      </c>
      <c r="I31" s="960" t="s">
        <v>745</v>
      </c>
      <c r="J31" s="914">
        <v>0</v>
      </c>
      <c r="K31" s="960" t="s">
        <v>745</v>
      </c>
      <c r="L31" s="914">
        <f t="shared" si="5"/>
        <v>0</v>
      </c>
      <c r="M31" s="423"/>
      <c r="N31" s="423"/>
    </row>
    <row r="32" spans="1:14" x14ac:dyDescent="0.25">
      <c r="A32" s="587" t="str">
        <f>+[20]MdeObra!A34</f>
        <v xml:space="preserve"> TOPOGRAFO </v>
      </c>
      <c r="B32" s="411">
        <v>1</v>
      </c>
      <c r="C32" s="412">
        <f>+MdeObra!C39</f>
        <v>2797950</v>
      </c>
      <c r="D32" s="413">
        <v>0.75</v>
      </c>
      <c r="E32" s="1164">
        <f t="shared" si="6"/>
        <v>2.23E-2</v>
      </c>
      <c r="F32" s="574">
        <f t="shared" si="3"/>
        <v>46795.713750000003</v>
      </c>
      <c r="G32" s="408">
        <f>+'AIU '!$C$14</f>
        <v>6</v>
      </c>
      <c r="H32" s="584">
        <f t="shared" si="4"/>
        <v>280774</v>
      </c>
      <c r="I32" s="960" t="s">
        <v>746</v>
      </c>
      <c r="J32" s="914">
        <v>0.02</v>
      </c>
      <c r="K32" s="960" t="s">
        <v>746</v>
      </c>
      <c r="L32" s="914">
        <f t="shared" si="5"/>
        <v>0.02</v>
      </c>
      <c r="M32" s="423"/>
      <c r="N32" s="423"/>
    </row>
    <row r="33" spans="1:14" x14ac:dyDescent="0.25">
      <c r="A33" s="587" t="str">
        <f>+[20]MdeObra!A40</f>
        <v>CADENERO</v>
      </c>
      <c r="B33" s="411">
        <v>2</v>
      </c>
      <c r="C33" s="412">
        <f>+MdeObra!C45</f>
        <v>1264350</v>
      </c>
      <c r="D33" s="413">
        <f>+D32</f>
        <v>0.75</v>
      </c>
      <c r="E33" s="1164">
        <f t="shared" si="6"/>
        <v>2.35E-2</v>
      </c>
      <c r="F33" s="574">
        <f t="shared" si="3"/>
        <v>44568.337500000001</v>
      </c>
      <c r="G33" s="408">
        <f>+'AIU '!$C$14</f>
        <v>6</v>
      </c>
      <c r="H33" s="584">
        <f t="shared" si="4"/>
        <v>267410</v>
      </c>
      <c r="I33" s="960" t="s">
        <v>747</v>
      </c>
      <c r="J33" s="914">
        <v>0.01</v>
      </c>
      <c r="K33" s="960" t="s">
        <v>747</v>
      </c>
      <c r="L33" s="914">
        <f t="shared" si="5"/>
        <v>0.01</v>
      </c>
      <c r="M33" s="423"/>
      <c r="N33" s="423"/>
    </row>
    <row r="34" spans="1:14" x14ac:dyDescent="0.25">
      <c r="A34" s="587" t="str">
        <f>+[20]MdeObra!A37</f>
        <v xml:space="preserve"> SECRETARIA </v>
      </c>
      <c r="B34" s="411">
        <v>1</v>
      </c>
      <c r="C34" s="412">
        <f>+MdeObra!C42</f>
        <v>1014980</v>
      </c>
      <c r="D34" s="413">
        <v>1</v>
      </c>
      <c r="E34" s="1164">
        <f t="shared" si="6"/>
        <v>2.35E-2</v>
      </c>
      <c r="F34" s="574">
        <f t="shared" si="3"/>
        <v>23852.03</v>
      </c>
      <c r="G34" s="408">
        <f>+'AIU '!$C$14</f>
        <v>6</v>
      </c>
      <c r="H34" s="584">
        <f t="shared" si="4"/>
        <v>143112</v>
      </c>
      <c r="I34" s="960" t="s">
        <v>748</v>
      </c>
      <c r="J34" s="914">
        <v>0</v>
      </c>
      <c r="K34" s="960" t="s">
        <v>748</v>
      </c>
      <c r="L34" s="914">
        <f t="shared" si="5"/>
        <v>0</v>
      </c>
      <c r="M34" s="423"/>
      <c r="N34" s="423"/>
    </row>
    <row r="35" spans="1:14" ht="15.75" thickBot="1" x14ac:dyDescent="0.3">
      <c r="A35" s="585" t="str">
        <f>+[20]MdeObra!A35</f>
        <v xml:space="preserve"> CONTADOR </v>
      </c>
      <c r="B35" s="409">
        <v>1</v>
      </c>
      <c r="C35" s="575">
        <f>+MdeObra!C40</f>
        <v>2040009</v>
      </c>
      <c r="D35" s="410">
        <v>0.3</v>
      </c>
      <c r="E35" s="1164">
        <f t="shared" si="6"/>
        <v>2.23E-2</v>
      </c>
      <c r="F35" s="575">
        <f t="shared" si="3"/>
        <v>13647.66021</v>
      </c>
      <c r="G35" s="408">
        <f>+'AIU '!$C$14</f>
        <v>6</v>
      </c>
      <c r="H35" s="586">
        <f t="shared" si="4"/>
        <v>81886</v>
      </c>
      <c r="I35" s="960" t="s">
        <v>749</v>
      </c>
      <c r="J35" s="914">
        <v>0.01</v>
      </c>
      <c r="K35" s="960" t="s">
        <v>749</v>
      </c>
      <c r="L35" s="914">
        <f t="shared" si="5"/>
        <v>0.01</v>
      </c>
      <c r="M35" s="423"/>
      <c r="N35" s="423"/>
    </row>
    <row r="36" spans="1:14" ht="16.5" thickTop="1" thickBot="1" x14ac:dyDescent="0.3">
      <c r="A36" s="1309" t="s">
        <v>707</v>
      </c>
      <c r="B36" s="1310"/>
      <c r="C36" s="1310"/>
      <c r="D36" s="1310"/>
      <c r="E36" s="1310"/>
      <c r="F36" s="1310"/>
      <c r="G36" s="1311"/>
      <c r="H36" s="916">
        <f>SUM(H30:H35)</f>
        <v>1180745</v>
      </c>
      <c r="I36" s="960" t="s">
        <v>750</v>
      </c>
      <c r="J36" s="914">
        <v>0.01</v>
      </c>
      <c r="K36" s="960" t="s">
        <v>750</v>
      </c>
      <c r="L36" s="914">
        <f t="shared" si="5"/>
        <v>0.01</v>
      </c>
      <c r="M36" s="423"/>
      <c r="N36" s="423"/>
    </row>
    <row r="37" spans="1:14" ht="16.5" thickTop="1" thickBot="1" x14ac:dyDescent="0.3">
      <c r="A37" s="1333" t="s">
        <v>708</v>
      </c>
      <c r="B37" s="1301"/>
      <c r="C37" s="1301"/>
      <c r="D37" s="1301"/>
      <c r="E37" s="1301"/>
      <c r="F37" s="1301"/>
      <c r="G37" s="1301"/>
      <c r="H37" s="1302"/>
      <c r="I37" s="960" t="s">
        <v>751</v>
      </c>
      <c r="J37" s="914">
        <v>0</v>
      </c>
      <c r="K37" s="960" t="s">
        <v>751</v>
      </c>
      <c r="L37" s="914">
        <f t="shared" si="5"/>
        <v>0</v>
      </c>
      <c r="M37" s="423"/>
      <c r="N37" s="423"/>
    </row>
    <row r="38" spans="1:14" ht="15.75" thickTop="1" x14ac:dyDescent="0.25">
      <c r="A38" s="1334" t="s">
        <v>708</v>
      </c>
      <c r="B38" s="1295"/>
      <c r="C38" s="1295"/>
      <c r="D38" s="576" t="s">
        <v>147</v>
      </c>
      <c r="E38" s="576" t="s">
        <v>6</v>
      </c>
      <c r="F38" s="1295" t="s">
        <v>709</v>
      </c>
      <c r="G38" s="1295"/>
      <c r="H38" s="581" t="s">
        <v>586</v>
      </c>
      <c r="I38" s="960" t="s">
        <v>752</v>
      </c>
      <c r="J38" s="914">
        <v>0.08</v>
      </c>
      <c r="K38" s="960" t="s">
        <v>752</v>
      </c>
      <c r="L38" s="914">
        <f t="shared" si="5"/>
        <v>0.08</v>
      </c>
      <c r="M38" s="423"/>
      <c r="N38" s="423"/>
    </row>
    <row r="39" spans="1:14" x14ac:dyDescent="0.25">
      <c r="A39" s="1330" t="s">
        <v>216</v>
      </c>
      <c r="B39" s="1331"/>
      <c r="C39" s="1331"/>
      <c r="D39" s="951" t="s">
        <v>683</v>
      </c>
      <c r="E39" s="952">
        <f>+'AIU '!C14</f>
        <v>6</v>
      </c>
      <c r="F39" s="1332">
        <f>2500000/2</f>
        <v>1250000</v>
      </c>
      <c r="G39" s="1332"/>
      <c r="H39" s="953">
        <f>E39*F39</f>
        <v>7500000</v>
      </c>
      <c r="I39" s="960" t="s">
        <v>753</v>
      </c>
      <c r="J39" s="914">
        <v>0</v>
      </c>
      <c r="K39" s="960" t="s">
        <v>753</v>
      </c>
      <c r="L39" s="914">
        <f t="shared" si="5"/>
        <v>0</v>
      </c>
      <c r="M39" s="423"/>
      <c r="N39" s="423"/>
    </row>
    <row r="40" spans="1:14" x14ac:dyDescent="0.25">
      <c r="A40" s="1330" t="s">
        <v>710</v>
      </c>
      <c r="B40" s="1331"/>
      <c r="C40" s="1331"/>
      <c r="D40" s="951" t="s">
        <v>683</v>
      </c>
      <c r="E40" s="952">
        <f t="shared" ref="E40:E46" si="7">+E39</f>
        <v>6</v>
      </c>
      <c r="F40" s="1332">
        <f>3500000/2</f>
        <v>1750000</v>
      </c>
      <c r="G40" s="1332"/>
      <c r="H40" s="953">
        <f t="shared" ref="H40:H46" si="8">E40*F40</f>
        <v>10500000</v>
      </c>
      <c r="I40" s="960" t="s">
        <v>754</v>
      </c>
      <c r="J40" s="914">
        <v>0</v>
      </c>
      <c r="K40" s="960" t="s">
        <v>754</v>
      </c>
      <c r="L40" s="914">
        <f t="shared" si="5"/>
        <v>0</v>
      </c>
      <c r="M40" s="423"/>
      <c r="N40" s="423"/>
    </row>
    <row r="41" spans="1:14" x14ac:dyDescent="0.25">
      <c r="A41" s="1330" t="s">
        <v>711</v>
      </c>
      <c r="B41" s="1331"/>
      <c r="C41" s="1331"/>
      <c r="D41" s="951" t="s">
        <v>683</v>
      </c>
      <c r="E41" s="952">
        <f t="shared" si="7"/>
        <v>6</v>
      </c>
      <c r="F41" s="1332">
        <f>1500000/2</f>
        <v>750000</v>
      </c>
      <c r="G41" s="1332"/>
      <c r="H41" s="953">
        <f t="shared" si="8"/>
        <v>4500000</v>
      </c>
      <c r="I41" s="960" t="s">
        <v>755</v>
      </c>
      <c r="J41" s="914">
        <v>0.01</v>
      </c>
      <c r="K41" s="960" t="s">
        <v>755</v>
      </c>
      <c r="L41" s="914">
        <f t="shared" si="5"/>
        <v>0.01</v>
      </c>
      <c r="M41" s="423"/>
      <c r="N41" s="423"/>
    </row>
    <row r="42" spans="1:14" x14ac:dyDescent="0.25">
      <c r="A42" s="1330" t="s">
        <v>712</v>
      </c>
      <c r="B42" s="1331"/>
      <c r="C42" s="1331"/>
      <c r="D42" s="951" t="s">
        <v>683</v>
      </c>
      <c r="E42" s="952">
        <f t="shared" si="7"/>
        <v>6</v>
      </c>
      <c r="F42" s="1332">
        <f>2000000/2</f>
        <v>1000000</v>
      </c>
      <c r="G42" s="1332"/>
      <c r="H42" s="953">
        <f t="shared" si="8"/>
        <v>6000000</v>
      </c>
      <c r="I42" s="960" t="s">
        <v>756</v>
      </c>
      <c r="J42" s="914">
        <v>0.01</v>
      </c>
      <c r="K42" s="960" t="s">
        <v>756</v>
      </c>
      <c r="L42" s="914">
        <f t="shared" si="5"/>
        <v>0.01</v>
      </c>
      <c r="M42" s="423"/>
      <c r="N42" s="423"/>
    </row>
    <row r="43" spans="1:14" x14ac:dyDescent="0.25">
      <c r="A43" s="1335" t="s">
        <v>713</v>
      </c>
      <c r="B43" s="1336"/>
      <c r="C43" s="1336"/>
      <c r="D43" s="919" t="s">
        <v>683</v>
      </c>
      <c r="E43" s="920">
        <f t="shared" si="7"/>
        <v>6</v>
      </c>
      <c r="F43" s="1337">
        <f>2760000/2</f>
        <v>1380000</v>
      </c>
      <c r="G43" s="1337"/>
      <c r="H43" s="921">
        <f t="shared" si="8"/>
        <v>8280000</v>
      </c>
      <c r="I43" s="960" t="s">
        <v>757</v>
      </c>
      <c r="J43" s="914">
        <v>0.01</v>
      </c>
      <c r="K43" s="960" t="s">
        <v>757</v>
      </c>
      <c r="L43" s="914">
        <f t="shared" si="5"/>
        <v>0.01</v>
      </c>
      <c r="M43" s="423"/>
      <c r="N43" s="423"/>
    </row>
    <row r="44" spans="1:14" x14ac:dyDescent="0.25">
      <c r="A44" s="1330" t="s">
        <v>714</v>
      </c>
      <c r="B44" s="1331"/>
      <c r="C44" s="1331"/>
      <c r="D44" s="951" t="s">
        <v>683</v>
      </c>
      <c r="E44" s="952">
        <f t="shared" si="7"/>
        <v>6</v>
      </c>
      <c r="F44" s="1332">
        <f>2000000/2</f>
        <v>1000000</v>
      </c>
      <c r="G44" s="1332"/>
      <c r="H44" s="953">
        <f t="shared" si="8"/>
        <v>6000000</v>
      </c>
      <c r="I44" s="957" t="s">
        <v>758</v>
      </c>
      <c r="J44" s="958"/>
      <c r="K44" s="957" t="s">
        <v>758</v>
      </c>
      <c r="L44" s="958"/>
      <c r="M44" s="423"/>
      <c r="N44" s="423"/>
    </row>
    <row r="45" spans="1:14" x14ac:dyDescent="0.25">
      <c r="A45" s="1330" t="s">
        <v>715</v>
      </c>
      <c r="B45" s="1331"/>
      <c r="C45" s="1331"/>
      <c r="D45" s="951" t="s">
        <v>683</v>
      </c>
      <c r="E45" s="952">
        <f t="shared" si="7"/>
        <v>6</v>
      </c>
      <c r="F45" s="1332">
        <v>1000000</v>
      </c>
      <c r="G45" s="1332"/>
      <c r="H45" s="953">
        <f t="shared" si="8"/>
        <v>6000000</v>
      </c>
      <c r="I45" s="962" t="s">
        <v>759</v>
      </c>
      <c r="J45" s="914">
        <v>0.01</v>
      </c>
      <c r="K45" s="962" t="s">
        <v>759</v>
      </c>
      <c r="L45" s="914">
        <f t="shared" si="5"/>
        <v>0.01</v>
      </c>
      <c r="M45" s="423"/>
      <c r="N45" s="423"/>
    </row>
    <row r="46" spans="1:14" ht="27.75" customHeight="1" thickBot="1" x14ac:dyDescent="0.3">
      <c r="A46" s="1306" t="s">
        <v>716</v>
      </c>
      <c r="B46" s="1307"/>
      <c r="C46" s="1307"/>
      <c r="D46" s="954" t="s">
        <v>683</v>
      </c>
      <c r="E46" s="955">
        <f t="shared" si="7"/>
        <v>6</v>
      </c>
      <c r="F46" s="1308">
        <v>600000</v>
      </c>
      <c r="G46" s="1308"/>
      <c r="H46" s="956">
        <f t="shared" si="8"/>
        <v>3600000</v>
      </c>
      <c r="I46" s="962" t="s">
        <v>760</v>
      </c>
      <c r="J46" s="914">
        <v>0.01</v>
      </c>
      <c r="K46" s="962" t="s">
        <v>760</v>
      </c>
      <c r="L46" s="914">
        <f t="shared" si="5"/>
        <v>0.01</v>
      </c>
      <c r="M46" s="423"/>
      <c r="N46" s="423"/>
    </row>
    <row r="47" spans="1:14" ht="16.5" thickTop="1" thickBot="1" x14ac:dyDescent="0.3">
      <c r="A47" s="1309" t="s">
        <v>717</v>
      </c>
      <c r="B47" s="1310"/>
      <c r="C47" s="1310"/>
      <c r="D47" s="1310"/>
      <c r="E47" s="1310"/>
      <c r="F47" s="1310"/>
      <c r="G47" s="1311"/>
      <c r="H47" s="917">
        <f>SUM(H39:H46)</f>
        <v>52380000</v>
      </c>
      <c r="I47" s="444" t="s">
        <v>761</v>
      </c>
      <c r="J47" s="436"/>
      <c r="K47" s="444" t="s">
        <v>761</v>
      </c>
      <c r="L47" s="436"/>
      <c r="M47" s="423"/>
      <c r="N47" s="423"/>
    </row>
    <row r="48" spans="1:14" ht="16.5" thickTop="1" thickBot="1" x14ac:dyDescent="0.3">
      <c r="A48" s="1312" t="s">
        <v>718</v>
      </c>
      <c r="B48" s="1313"/>
      <c r="C48" s="1313"/>
      <c r="D48" s="1313"/>
      <c r="E48" s="1313"/>
      <c r="F48" s="1313"/>
      <c r="G48" s="1313"/>
      <c r="H48" s="1314"/>
      <c r="I48" s="438" t="s">
        <v>762</v>
      </c>
      <c r="J48" s="439">
        <v>0.15</v>
      </c>
      <c r="K48" s="438" t="s">
        <v>762</v>
      </c>
      <c r="L48" s="914">
        <f t="shared" si="5"/>
        <v>0.15</v>
      </c>
      <c r="M48" s="423"/>
      <c r="N48" s="423"/>
    </row>
    <row r="49" spans="1:14" ht="15.75" thickTop="1" x14ac:dyDescent="0.25">
      <c r="A49" s="1315" t="s">
        <v>719</v>
      </c>
      <c r="B49" s="1316"/>
      <c r="C49" s="1316"/>
      <c r="D49" s="1316"/>
      <c r="E49" s="1316"/>
      <c r="F49" s="1316"/>
      <c r="G49" s="1316"/>
      <c r="H49" s="588">
        <f>H47+H36+H26</f>
        <v>58184817</v>
      </c>
      <c r="I49" s="441" t="s">
        <v>763</v>
      </c>
      <c r="J49" s="446">
        <f>SUM(J29:J48)</f>
        <v>0.35000000000000009</v>
      </c>
      <c r="K49" s="441" t="s">
        <v>763</v>
      </c>
      <c r="L49" s="446">
        <f>SUM(L29:L48)</f>
        <v>0.35000000000000009</v>
      </c>
      <c r="M49" s="423"/>
      <c r="N49" s="423"/>
    </row>
    <row r="50" spans="1:14" x14ac:dyDescent="0.25">
      <c r="A50" s="1317" t="s">
        <v>813</v>
      </c>
      <c r="B50" s="1318"/>
      <c r="C50" s="1318"/>
      <c r="D50" s="1318"/>
      <c r="E50" s="1318"/>
      <c r="F50" s="1318"/>
      <c r="G50" s="1318"/>
      <c r="H50" s="584">
        <f>ROUND((H49*0.19),0)</f>
        <v>11055115</v>
      </c>
      <c r="I50" s="438"/>
      <c r="J50" s="436"/>
      <c r="K50" s="438"/>
      <c r="L50" s="436"/>
      <c r="M50" s="423"/>
      <c r="N50" s="423"/>
    </row>
    <row r="51" spans="1:14" x14ac:dyDescent="0.25">
      <c r="A51" s="1324" t="s">
        <v>1210</v>
      </c>
      <c r="B51" s="1325"/>
      <c r="C51" s="1325"/>
      <c r="D51" s="1325"/>
      <c r="E51" s="1325"/>
      <c r="F51" s="1325"/>
      <c r="G51" s="1325"/>
      <c r="H51" s="584">
        <f>+'[17]presup protocolo interv'!$F$43</f>
        <v>3598620</v>
      </c>
      <c r="I51" s="438"/>
      <c r="J51" s="436"/>
      <c r="K51" s="438"/>
      <c r="L51" s="436"/>
      <c r="M51" s="423"/>
      <c r="N51" s="423"/>
    </row>
    <row r="52" spans="1:14" ht="26.25" x14ac:dyDescent="0.25">
      <c r="A52" s="1324" t="s">
        <v>720</v>
      </c>
      <c r="B52" s="1325"/>
      <c r="C52" s="1325"/>
      <c r="D52" s="1325"/>
      <c r="E52" s="1325"/>
      <c r="F52" s="1325"/>
      <c r="G52" s="1325"/>
      <c r="H52" s="584">
        <f>H49+H50+H51</f>
        <v>72838552</v>
      </c>
      <c r="I52" s="912" t="s">
        <v>764</v>
      </c>
      <c r="J52" s="913">
        <v>0.15</v>
      </c>
      <c r="K52" s="912" t="s">
        <v>764</v>
      </c>
      <c r="L52" s="913">
        <f t="shared" ref="L52" si="9">J52</f>
        <v>0.15</v>
      </c>
      <c r="M52" s="423"/>
      <c r="N52" s="423"/>
    </row>
    <row r="53" spans="1:14" ht="30" customHeight="1" thickBot="1" x14ac:dyDescent="0.3">
      <c r="A53" s="1326" t="s">
        <v>851</v>
      </c>
      <c r="B53" s="1327"/>
      <c r="C53" s="1327"/>
      <c r="D53" s="1327"/>
      <c r="E53" s="1327"/>
      <c r="F53" s="1327"/>
      <c r="G53" s="1328"/>
      <c r="H53" s="1322">
        <f>H52</f>
        <v>72838552</v>
      </c>
      <c r="I53" s="445" t="s">
        <v>765</v>
      </c>
      <c r="J53" s="442">
        <f>ROUND((+J12+J14+J49+J52),2)</f>
        <v>2.35</v>
      </c>
      <c r="K53" s="445" t="s">
        <v>765</v>
      </c>
      <c r="L53" s="442">
        <f>ROUND((+L12+L14+L49+L52),2)</f>
        <v>2.23</v>
      </c>
      <c r="M53" s="423"/>
      <c r="N53" s="423"/>
    </row>
    <row r="54" spans="1:14" ht="15.75" thickBot="1" x14ac:dyDescent="0.3">
      <c r="A54" s="1319" t="str">
        <f>+'Presup '!B5</f>
        <v>MEJORAMIENTO VÍA LA LAGUNA, SALINAS, LOS OLIVOS</v>
      </c>
      <c r="B54" s="1320"/>
      <c r="C54" s="1320"/>
      <c r="D54" s="1320"/>
      <c r="E54" s="1320"/>
      <c r="F54" s="1320"/>
      <c r="G54" s="1321"/>
      <c r="H54" s="1323"/>
      <c r="I54" s="423"/>
      <c r="J54" s="423"/>
      <c r="K54" s="423"/>
      <c r="L54" s="423"/>
      <c r="M54" s="423"/>
      <c r="N54" s="423"/>
    </row>
    <row r="55" spans="1:14" x14ac:dyDescent="0.25">
      <c r="A55" s="403"/>
      <c r="B55" s="403"/>
      <c r="C55" s="404"/>
      <c r="D55" s="404"/>
      <c r="E55" s="405"/>
      <c r="F55" s="404"/>
      <c r="G55" s="403"/>
      <c r="H55" s="403"/>
      <c r="I55" s="424"/>
      <c r="J55" s="423"/>
      <c r="K55" s="424"/>
      <c r="L55" s="423"/>
      <c r="M55" s="423"/>
      <c r="N55" s="423"/>
    </row>
    <row r="56" spans="1:14" x14ac:dyDescent="0.25">
      <c r="A56" s="403"/>
      <c r="B56" s="403"/>
      <c r="C56" s="404"/>
      <c r="D56" s="404"/>
      <c r="E56" s="405"/>
      <c r="F56" s="404"/>
      <c r="G56" s="403"/>
      <c r="H56" s="403"/>
      <c r="I56" s="424"/>
      <c r="J56" s="423"/>
      <c r="K56" s="424"/>
      <c r="L56" s="423"/>
      <c r="M56" s="423"/>
      <c r="N56" s="423"/>
    </row>
    <row r="57" spans="1:14" x14ac:dyDescent="0.25">
      <c r="A57" s="403"/>
      <c r="B57" s="403"/>
      <c r="C57" s="404"/>
      <c r="D57" s="404"/>
      <c r="E57" s="405"/>
      <c r="F57" s="404"/>
      <c r="G57" s="403"/>
      <c r="H57" s="403"/>
      <c r="I57" s="424"/>
      <c r="J57" s="423"/>
      <c r="K57" s="424"/>
      <c r="L57" s="423"/>
      <c r="M57" s="423"/>
      <c r="N57" s="423"/>
    </row>
    <row r="58" spans="1:14" x14ac:dyDescent="0.25">
      <c r="A58" s="403"/>
      <c r="B58" s="403"/>
      <c r="C58" s="404"/>
      <c r="D58" s="404"/>
      <c r="E58" s="405"/>
      <c r="F58" s="404"/>
      <c r="G58" s="403"/>
      <c r="H58" s="403"/>
      <c r="I58" s="424"/>
      <c r="J58" s="423"/>
      <c r="K58" s="424"/>
      <c r="L58" s="423"/>
      <c r="M58" s="423"/>
      <c r="N58" s="423"/>
    </row>
    <row r="59" spans="1:14" x14ac:dyDescent="0.25">
      <c r="A59" s="1105"/>
      <c r="B59" s="1105"/>
      <c r="C59" s="404"/>
      <c r="D59" s="404"/>
      <c r="E59" s="405"/>
      <c r="F59" s="404"/>
      <c r="G59" s="403"/>
      <c r="H59" s="403"/>
      <c r="I59" s="424"/>
      <c r="J59" s="423"/>
      <c r="K59" s="424"/>
      <c r="L59" s="423"/>
      <c r="M59" s="425"/>
      <c r="N59" s="425"/>
    </row>
    <row r="60" spans="1:14" x14ac:dyDescent="0.25">
      <c r="A60" s="1329" t="str">
        <f>+'Presup '!F123</f>
        <v>ING. JHONATAN STIVEN PANTOJA MORILLO</v>
      </c>
      <c r="B60" s="1329"/>
      <c r="C60" s="404"/>
      <c r="D60" s="404"/>
      <c r="E60" s="405"/>
      <c r="F60" s="404"/>
      <c r="G60" s="403"/>
      <c r="I60" s="423"/>
      <c r="J60" s="423"/>
      <c r="K60" s="423"/>
      <c r="L60" s="423"/>
      <c r="M60" s="425"/>
      <c r="N60" s="425"/>
    </row>
    <row r="61" spans="1:14" x14ac:dyDescent="0.25">
      <c r="A61" s="1104" t="str">
        <f>+'Presup '!F124</f>
        <v xml:space="preserve">M.P. 111037-0520109 NRÑ </v>
      </c>
      <c r="B61" s="403"/>
      <c r="C61" s="404"/>
      <c r="D61" s="404"/>
      <c r="E61" s="405"/>
      <c r="F61" s="404"/>
      <c r="G61" s="403"/>
      <c r="H61" s="403"/>
    </row>
    <row r="62" spans="1:14" hidden="1" x14ac:dyDescent="0.25">
      <c r="A62" s="403"/>
      <c r="B62" s="403"/>
      <c r="C62" s="404"/>
      <c r="D62" s="414"/>
      <c r="E62" s="414"/>
      <c r="F62" s="414"/>
      <c r="G62" s="414"/>
      <c r="H62" s="414"/>
      <c r="I62" s="448"/>
      <c r="J62" s="448"/>
      <c r="K62" s="448"/>
      <c r="L62" s="448"/>
    </row>
    <row r="63" spans="1:14" hidden="1" x14ac:dyDescent="0.25">
      <c r="A63" s="403"/>
      <c r="B63" s="403"/>
      <c r="C63" s="404"/>
      <c r="D63" s="1304" t="str">
        <f>+'Presup '!F118</f>
        <v xml:space="preserve">ING. MIGUEL ANTONIO VILLACRES MARTINEZ. </v>
      </c>
      <c r="E63" s="1304"/>
      <c r="F63" s="1304"/>
      <c r="G63" s="1304"/>
      <c r="H63" s="1304"/>
      <c r="I63" s="1280" t="str">
        <f>+D63</f>
        <v xml:space="preserve">ING. MIGUEL ANTONIO VILLACRES MARTINEZ. </v>
      </c>
      <c r="J63" s="1280"/>
      <c r="K63" s="1280" t="str">
        <f>+D63</f>
        <v xml:space="preserve">ING. MIGUEL ANTONIO VILLACRES MARTINEZ. </v>
      </c>
      <c r="L63" s="1280"/>
    </row>
    <row r="64" spans="1:14" ht="15" hidden="1" customHeight="1" x14ac:dyDescent="0.25">
      <c r="A64" s="403"/>
      <c r="B64" s="403"/>
      <c r="C64" s="404"/>
      <c r="D64" s="1305" t="str">
        <f>+'Presup '!F119</f>
        <v>M.P. 52202-090508 NRÑ</v>
      </c>
      <c r="E64" s="1305"/>
      <c r="F64" s="1305"/>
      <c r="G64" s="1305"/>
      <c r="H64" s="1305"/>
      <c r="I64" s="1280" t="str">
        <f>+D64</f>
        <v>M.P. 52202-090508 NRÑ</v>
      </c>
      <c r="J64" s="1280"/>
      <c r="K64" s="1280" t="str">
        <f>+D64</f>
        <v>M.P. 52202-090508 NRÑ</v>
      </c>
      <c r="L64" s="1280"/>
    </row>
    <row r="65" spans="8:8" x14ac:dyDescent="0.25">
      <c r="H65" s="1118">
        <v>464111805</v>
      </c>
    </row>
    <row r="66" spans="8:8" x14ac:dyDescent="0.25">
      <c r="H66" s="1119">
        <f>H65-H53</f>
        <v>391273253</v>
      </c>
    </row>
  </sheetData>
  <mergeCells count="70">
    <mergeCell ref="A36:G36"/>
    <mergeCell ref="A40:C40"/>
    <mergeCell ref="F40:G40"/>
    <mergeCell ref="A41:C41"/>
    <mergeCell ref="F41:G41"/>
    <mergeCell ref="A42:C42"/>
    <mergeCell ref="F42:G42"/>
    <mergeCell ref="A43:C43"/>
    <mergeCell ref="F43:G43"/>
    <mergeCell ref="A44:C44"/>
    <mergeCell ref="F44:G44"/>
    <mergeCell ref="A45:C45"/>
    <mergeCell ref="F45:G45"/>
    <mergeCell ref="I2:J2"/>
    <mergeCell ref="I3:J3"/>
    <mergeCell ref="I4:J4"/>
    <mergeCell ref="I9:J9"/>
    <mergeCell ref="I6:J7"/>
    <mergeCell ref="A37:H37"/>
    <mergeCell ref="A38:C38"/>
    <mergeCell ref="F38:G38"/>
    <mergeCell ref="A39:C39"/>
    <mergeCell ref="F39:G39"/>
    <mergeCell ref="A26:G26"/>
    <mergeCell ref="A27:H27"/>
    <mergeCell ref="A28:A29"/>
    <mergeCell ref="B28:B29"/>
    <mergeCell ref="D63:H63"/>
    <mergeCell ref="D64:H64"/>
    <mergeCell ref="A46:C46"/>
    <mergeCell ref="F46:G46"/>
    <mergeCell ref="A47:G47"/>
    <mergeCell ref="A48:H48"/>
    <mergeCell ref="A49:G49"/>
    <mergeCell ref="A50:G50"/>
    <mergeCell ref="A54:G54"/>
    <mergeCell ref="H53:H54"/>
    <mergeCell ref="A52:G52"/>
    <mergeCell ref="A53:G53"/>
    <mergeCell ref="A51:G51"/>
    <mergeCell ref="A60:B60"/>
    <mergeCell ref="C28:C29"/>
    <mergeCell ref="D28:D29"/>
    <mergeCell ref="E28:E29"/>
    <mergeCell ref="G28:G29"/>
    <mergeCell ref="A10:H10"/>
    <mergeCell ref="B11:H11"/>
    <mergeCell ref="A13:A14"/>
    <mergeCell ref="B13:B14"/>
    <mergeCell ref="C13:C14"/>
    <mergeCell ref="D13:D14"/>
    <mergeCell ref="E13:E14"/>
    <mergeCell ref="G13:G14"/>
    <mergeCell ref="A9:C9"/>
    <mergeCell ref="D9:H9"/>
    <mergeCell ref="A1:F1"/>
    <mergeCell ref="A2:H2"/>
    <mergeCell ref="A3:H3"/>
    <mergeCell ref="A4:H4"/>
    <mergeCell ref="A5:F5"/>
    <mergeCell ref="A6:H7"/>
    <mergeCell ref="I63:J63"/>
    <mergeCell ref="I64:J64"/>
    <mergeCell ref="K63:L63"/>
    <mergeCell ref="K64:L64"/>
    <mergeCell ref="K2:L2"/>
    <mergeCell ref="K3:L3"/>
    <mergeCell ref="K4:L4"/>
    <mergeCell ref="K6:L7"/>
    <mergeCell ref="K9:L9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25" scale="65" orientation="portrait" r:id="rId1"/>
  <colBreaks count="1" manualBreakCount="1">
    <brk id="8" max="59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7"/>
  <sheetViews>
    <sheetView view="pageBreakPreview" topLeftCell="C1" zoomScale="85" zoomScaleNormal="85" zoomScaleSheetLayoutView="85" workbookViewId="0">
      <selection activeCell="J1" sqref="J1"/>
    </sheetView>
  </sheetViews>
  <sheetFormatPr baseColWidth="10" defaultRowHeight="12.75" x14ac:dyDescent="0.2"/>
  <cols>
    <col min="1" max="1" width="6.5703125" style="1081" customWidth="1"/>
    <col min="2" max="2" width="44.28515625" style="1081" customWidth="1"/>
    <col min="3" max="3" width="2.140625" style="1081" customWidth="1"/>
    <col min="4" max="35" width="5.85546875" style="1081" customWidth="1"/>
    <col min="36" max="16384" width="11.42578125" style="1081"/>
  </cols>
  <sheetData>
    <row r="1" spans="1:35" ht="15.75" x14ac:dyDescent="0.2">
      <c r="A1" s="1339" t="str">
        <f>+Interv!A4</f>
        <v>ALCALDÍA MUNICIPAL DE SAN LORENZO</v>
      </c>
      <c r="B1" s="1340"/>
      <c r="C1" s="1340"/>
      <c r="D1" s="1079"/>
      <c r="E1" s="1079"/>
      <c r="F1" s="1079"/>
      <c r="G1" s="1079"/>
      <c r="H1" s="1079"/>
      <c r="I1" s="1079"/>
      <c r="J1" s="1079"/>
      <c r="K1" s="1079"/>
      <c r="L1" s="1079"/>
      <c r="M1" s="1079"/>
      <c r="N1" s="1079"/>
      <c r="O1" s="1079"/>
      <c r="P1" s="1080"/>
      <c r="Q1" s="1080"/>
      <c r="R1" s="1080"/>
      <c r="S1" s="1080"/>
      <c r="T1" s="1080"/>
      <c r="U1" s="1080"/>
      <c r="V1" s="1080"/>
      <c r="W1" s="1080"/>
      <c r="X1" s="1080"/>
      <c r="Y1" s="1080"/>
      <c r="Z1" s="1080"/>
      <c r="AA1" s="1080"/>
      <c r="AB1" s="1080"/>
      <c r="AC1" s="1080"/>
      <c r="AD1" s="1080"/>
      <c r="AE1" s="1080"/>
      <c r="AF1" s="1080"/>
      <c r="AG1" s="1080"/>
      <c r="AH1" s="1080"/>
      <c r="AI1" s="1080"/>
    </row>
    <row r="2" spans="1:35" ht="12.75" customHeight="1" x14ac:dyDescent="0.2">
      <c r="A2" s="1339" t="str">
        <f>+Interv!A6</f>
        <v>MEJORAMIENTO VÍA LA LAGUNA, SALINAS, LOS OLIVOS</v>
      </c>
      <c r="B2" s="1340"/>
      <c r="C2" s="1340"/>
      <c r="D2" s="1082"/>
      <c r="E2" s="1082"/>
      <c r="F2" s="1082"/>
      <c r="G2" s="1082"/>
      <c r="H2" s="1082"/>
      <c r="I2" s="1082"/>
      <c r="J2" s="1079"/>
      <c r="K2" s="1079"/>
      <c r="L2" s="1079"/>
      <c r="M2" s="1079"/>
      <c r="N2" s="1079"/>
      <c r="O2" s="1079"/>
      <c r="P2" s="1080"/>
      <c r="Q2" s="1080"/>
      <c r="R2" s="1080"/>
      <c r="S2" s="1080"/>
      <c r="T2" s="1080"/>
      <c r="U2" s="1080"/>
      <c r="V2" s="1080"/>
      <c r="W2" s="1080"/>
      <c r="X2" s="1080"/>
      <c r="Y2" s="1080"/>
      <c r="Z2" s="1080"/>
      <c r="AA2" s="1080"/>
      <c r="AB2" s="1080"/>
      <c r="AC2" s="1080"/>
      <c r="AD2" s="1080"/>
      <c r="AE2" s="1080"/>
      <c r="AF2" s="1080"/>
      <c r="AG2" s="1080"/>
      <c r="AH2" s="1080"/>
      <c r="AI2" s="1080"/>
    </row>
    <row r="3" spans="1:35" ht="10.5" customHeight="1" x14ac:dyDescent="0.2">
      <c r="A3" s="1340"/>
      <c r="B3" s="1340"/>
      <c r="C3" s="1340"/>
      <c r="D3" s="1082"/>
      <c r="E3" s="1082"/>
      <c r="F3" s="1082"/>
      <c r="G3" s="1082"/>
      <c r="H3" s="1082"/>
      <c r="I3" s="1082"/>
      <c r="J3" s="1079"/>
      <c r="K3" s="1079"/>
      <c r="L3" s="1079"/>
      <c r="M3" s="1079"/>
      <c r="N3" s="1079"/>
      <c r="O3" s="1079"/>
      <c r="P3" s="1080"/>
      <c r="Q3" s="1080"/>
      <c r="R3" s="1080"/>
      <c r="S3" s="1080"/>
      <c r="T3" s="1080"/>
      <c r="U3" s="1080"/>
      <c r="V3" s="1080"/>
      <c r="W3" s="1080"/>
      <c r="X3" s="1080"/>
      <c r="Y3" s="1080"/>
      <c r="Z3" s="1080"/>
      <c r="AA3" s="1080"/>
      <c r="AB3" s="1080"/>
      <c r="AC3" s="1080"/>
      <c r="AD3" s="1080"/>
      <c r="AE3" s="1080"/>
      <c r="AF3" s="1080"/>
      <c r="AG3" s="1080"/>
      <c r="AH3" s="1080"/>
      <c r="AI3" s="1080"/>
    </row>
    <row r="4" spans="1:35" ht="15.75" x14ac:dyDescent="0.2">
      <c r="A4" s="1340" t="s">
        <v>1123</v>
      </c>
      <c r="B4" s="1340"/>
      <c r="C4" s="1340"/>
      <c r="D4" s="1082"/>
      <c r="E4" s="1082"/>
      <c r="F4" s="1082"/>
      <c r="G4" s="1082"/>
      <c r="H4" s="1082"/>
      <c r="I4" s="1082"/>
      <c r="J4" s="1079"/>
      <c r="K4" s="1079"/>
      <c r="L4" s="1079"/>
      <c r="M4" s="1079"/>
      <c r="N4" s="1079"/>
      <c r="O4" s="1079"/>
      <c r="P4" s="1080"/>
      <c r="Q4" s="1080"/>
      <c r="R4" s="1080"/>
      <c r="S4" s="1080"/>
      <c r="T4" s="1080"/>
      <c r="U4" s="1080"/>
      <c r="V4" s="1080"/>
      <c r="W4" s="1080"/>
      <c r="X4" s="1080"/>
      <c r="Y4" s="1080"/>
      <c r="Z4" s="1080"/>
      <c r="AA4" s="1080"/>
      <c r="AB4" s="1080"/>
      <c r="AC4" s="1080"/>
      <c r="AD4" s="1080"/>
      <c r="AE4" s="1080"/>
      <c r="AF4" s="1080"/>
      <c r="AG4" s="1080"/>
      <c r="AH4" s="1080"/>
      <c r="AI4" s="1080"/>
    </row>
    <row r="5" spans="1:35" ht="3" customHeight="1" x14ac:dyDescent="0.2">
      <c r="A5" s="1080"/>
      <c r="B5" s="1080"/>
      <c r="C5" s="1080"/>
      <c r="D5" s="1080"/>
      <c r="E5" s="1080"/>
      <c r="F5" s="1080"/>
      <c r="G5" s="1080"/>
      <c r="H5" s="1080"/>
      <c r="I5" s="1080"/>
      <c r="J5" s="1080"/>
      <c r="K5" s="1080"/>
      <c r="L5" s="1080"/>
      <c r="M5" s="1080"/>
      <c r="N5" s="1080"/>
      <c r="O5" s="1080"/>
      <c r="P5" s="1080"/>
      <c r="Q5" s="1080"/>
      <c r="R5" s="1080"/>
      <c r="S5" s="1080"/>
      <c r="T5" s="1080"/>
      <c r="U5" s="1080"/>
      <c r="V5" s="1080"/>
      <c r="W5" s="1080"/>
      <c r="X5" s="1080"/>
      <c r="Y5" s="1080"/>
      <c r="Z5" s="1080"/>
      <c r="AA5" s="1080"/>
      <c r="AB5" s="1080"/>
      <c r="AC5" s="1080"/>
      <c r="AD5" s="1080"/>
      <c r="AE5" s="1080"/>
      <c r="AF5" s="1080"/>
      <c r="AG5" s="1080"/>
      <c r="AH5" s="1080"/>
      <c r="AI5" s="1080"/>
    </row>
    <row r="6" spans="1:35" x14ac:dyDescent="0.2">
      <c r="A6" s="1341" t="s">
        <v>977</v>
      </c>
      <c r="B6" s="1338" t="s">
        <v>1108</v>
      </c>
      <c r="C6" s="1342"/>
      <c r="D6" s="1338" t="s">
        <v>1124</v>
      </c>
      <c r="E6" s="1338"/>
      <c r="F6" s="1338"/>
      <c r="G6" s="1338"/>
      <c r="H6" s="1338" t="s">
        <v>1125</v>
      </c>
      <c r="I6" s="1338"/>
      <c r="J6" s="1338"/>
      <c r="K6" s="1338"/>
      <c r="L6" s="1338" t="s">
        <v>1126</v>
      </c>
      <c r="M6" s="1338"/>
      <c r="N6" s="1338"/>
      <c r="O6" s="1338"/>
      <c r="P6" s="1338" t="s">
        <v>1127</v>
      </c>
      <c r="Q6" s="1338"/>
      <c r="R6" s="1338"/>
      <c r="S6" s="1338"/>
      <c r="T6" s="1338" t="s">
        <v>1128</v>
      </c>
      <c r="U6" s="1338"/>
      <c r="V6" s="1338"/>
      <c r="W6" s="1338"/>
      <c r="X6" s="1338" t="s">
        <v>1129</v>
      </c>
      <c r="Y6" s="1338"/>
      <c r="Z6" s="1338"/>
      <c r="AA6" s="1338"/>
      <c r="AB6" s="1338" t="s">
        <v>1130</v>
      </c>
      <c r="AC6" s="1338"/>
      <c r="AD6" s="1338"/>
      <c r="AE6" s="1338"/>
      <c r="AF6" s="1338" t="s">
        <v>1131</v>
      </c>
      <c r="AG6" s="1338"/>
      <c r="AH6" s="1338"/>
      <c r="AI6" s="1338"/>
    </row>
    <row r="7" spans="1:35" x14ac:dyDescent="0.2">
      <c r="A7" s="1341"/>
      <c r="B7" s="1338"/>
      <c r="C7" s="1342"/>
      <c r="D7" s="1083" t="s">
        <v>1132</v>
      </c>
      <c r="E7" s="1083" t="s">
        <v>1133</v>
      </c>
      <c r="F7" s="1083" t="s">
        <v>1134</v>
      </c>
      <c r="G7" s="1083" t="s">
        <v>1135</v>
      </c>
      <c r="H7" s="1083" t="s">
        <v>1132</v>
      </c>
      <c r="I7" s="1083" t="s">
        <v>1133</v>
      </c>
      <c r="J7" s="1083" t="s">
        <v>1134</v>
      </c>
      <c r="K7" s="1083" t="s">
        <v>1135</v>
      </c>
      <c r="L7" s="1083" t="s">
        <v>1132</v>
      </c>
      <c r="M7" s="1083" t="s">
        <v>1133</v>
      </c>
      <c r="N7" s="1083" t="s">
        <v>1134</v>
      </c>
      <c r="O7" s="1083" t="s">
        <v>1135</v>
      </c>
      <c r="P7" s="1083" t="s">
        <v>1132</v>
      </c>
      <c r="Q7" s="1083" t="s">
        <v>1133</v>
      </c>
      <c r="R7" s="1083" t="s">
        <v>1134</v>
      </c>
      <c r="S7" s="1083" t="s">
        <v>1135</v>
      </c>
      <c r="T7" s="1083" t="s">
        <v>1132</v>
      </c>
      <c r="U7" s="1083" t="s">
        <v>1133</v>
      </c>
      <c r="V7" s="1083" t="s">
        <v>1134</v>
      </c>
      <c r="W7" s="1083" t="s">
        <v>1135</v>
      </c>
      <c r="X7" s="1083" t="s">
        <v>1132</v>
      </c>
      <c r="Y7" s="1083" t="s">
        <v>1133</v>
      </c>
      <c r="Z7" s="1083" t="s">
        <v>1134</v>
      </c>
      <c r="AA7" s="1083" t="s">
        <v>1135</v>
      </c>
      <c r="AB7" s="1083" t="s">
        <v>1132</v>
      </c>
      <c r="AC7" s="1083" t="s">
        <v>1133</v>
      </c>
      <c r="AD7" s="1083" t="s">
        <v>1134</v>
      </c>
      <c r="AE7" s="1083" t="s">
        <v>1135</v>
      </c>
      <c r="AF7" s="1083" t="s">
        <v>1132</v>
      </c>
      <c r="AG7" s="1083" t="s">
        <v>1133</v>
      </c>
      <c r="AH7" s="1083" t="s">
        <v>1134</v>
      </c>
      <c r="AI7" s="1083" t="s">
        <v>1135</v>
      </c>
    </row>
    <row r="8" spans="1:35" x14ac:dyDescent="0.2">
      <c r="A8" s="1084"/>
      <c r="B8" s="1084"/>
      <c r="C8" s="1084"/>
      <c r="D8" s="1084"/>
      <c r="E8" s="1084"/>
      <c r="F8" s="1084"/>
      <c r="G8" s="1084"/>
      <c r="H8" s="1084"/>
      <c r="I8" s="1084"/>
      <c r="J8" s="1084"/>
      <c r="K8" s="1084"/>
      <c r="L8" s="1084"/>
      <c r="M8" s="1084"/>
      <c r="N8" s="1084"/>
      <c r="O8" s="1084"/>
      <c r="P8" s="1084"/>
      <c r="Q8" s="1084"/>
      <c r="R8" s="1084"/>
      <c r="S8" s="1084"/>
      <c r="T8" s="1084"/>
      <c r="U8" s="1084"/>
      <c r="V8" s="1084"/>
      <c r="W8" s="1084"/>
      <c r="X8" s="1084"/>
      <c r="Y8" s="1084"/>
      <c r="Z8" s="1084"/>
      <c r="AA8" s="1084"/>
      <c r="AB8" s="1084"/>
      <c r="AC8" s="1084"/>
      <c r="AD8" s="1084"/>
      <c r="AE8" s="1084"/>
      <c r="AF8" s="1084"/>
      <c r="AG8" s="1084"/>
      <c r="AH8" s="1084"/>
      <c r="AI8" s="1084"/>
    </row>
    <row r="9" spans="1:35" x14ac:dyDescent="0.2">
      <c r="A9" s="1085">
        <v>1</v>
      </c>
      <c r="B9" s="1086" t="s">
        <v>1136</v>
      </c>
      <c r="C9" s="1084"/>
      <c r="D9" s="1084"/>
      <c r="E9" s="1084"/>
      <c r="F9" s="1084"/>
      <c r="G9" s="1084"/>
      <c r="H9" s="1084"/>
      <c r="I9" s="1084"/>
      <c r="J9" s="1084"/>
      <c r="K9" s="1084"/>
      <c r="L9" s="1084"/>
      <c r="M9" s="1084"/>
      <c r="N9" s="1084"/>
      <c r="O9" s="1084"/>
      <c r="P9" s="1084"/>
      <c r="Q9" s="1084"/>
      <c r="R9" s="1084"/>
      <c r="S9" s="1084"/>
      <c r="T9" s="1084"/>
      <c r="U9" s="1084"/>
      <c r="V9" s="1084"/>
      <c r="W9" s="1084"/>
      <c r="X9" s="1084"/>
      <c r="Y9" s="1084"/>
      <c r="Z9" s="1084"/>
      <c r="AA9" s="1084"/>
      <c r="AB9" s="1084"/>
      <c r="AC9" s="1084"/>
      <c r="AD9" s="1084"/>
      <c r="AE9" s="1084"/>
      <c r="AF9" s="1084"/>
      <c r="AG9" s="1084"/>
      <c r="AH9" s="1084"/>
      <c r="AI9" s="1084"/>
    </row>
    <row r="10" spans="1:35" x14ac:dyDescent="0.2">
      <c r="A10" s="1085">
        <v>1.1000000000000001</v>
      </c>
      <c r="B10" s="1087" t="s">
        <v>1137</v>
      </c>
      <c r="C10" s="1084"/>
      <c r="D10" s="1084"/>
      <c r="E10" s="1084"/>
      <c r="F10" s="1084"/>
      <c r="G10" s="1084"/>
      <c r="H10" s="1084"/>
      <c r="I10" s="1084"/>
      <c r="J10" s="1084"/>
      <c r="K10" s="1084"/>
      <c r="L10" s="1084"/>
      <c r="M10" s="1084"/>
      <c r="N10" s="1084"/>
      <c r="O10" s="1084"/>
      <c r="P10" s="1084"/>
      <c r="Q10" s="1084"/>
      <c r="R10" s="1084"/>
      <c r="S10" s="1084"/>
      <c r="T10" s="1084"/>
      <c r="U10" s="1084"/>
      <c r="V10" s="1084"/>
      <c r="W10" s="1084"/>
      <c r="X10" s="1084"/>
      <c r="Y10" s="1084"/>
      <c r="Z10" s="1084"/>
      <c r="AA10" s="1084"/>
      <c r="AB10" s="1084"/>
      <c r="AC10" s="1084"/>
      <c r="AD10" s="1084"/>
      <c r="AE10" s="1084"/>
      <c r="AF10" s="1084"/>
      <c r="AG10" s="1084"/>
      <c r="AH10" s="1084"/>
      <c r="AI10" s="1084"/>
    </row>
    <row r="11" spans="1:35" x14ac:dyDescent="0.2">
      <c r="A11" s="1088" t="s">
        <v>1138</v>
      </c>
      <c r="B11" s="1089" t="s">
        <v>1139</v>
      </c>
      <c r="C11" s="1084"/>
      <c r="D11" s="1090"/>
      <c r="E11" s="1090"/>
      <c r="F11" s="1084"/>
      <c r="G11" s="1084"/>
      <c r="H11" s="1084"/>
      <c r="I11" s="1084"/>
      <c r="J11" s="1084"/>
      <c r="K11" s="1084"/>
      <c r="L11" s="1084"/>
      <c r="M11" s="1084"/>
      <c r="N11" s="1084"/>
      <c r="O11" s="1084"/>
      <c r="P11" s="1084"/>
      <c r="Q11" s="1084"/>
      <c r="R11" s="1084"/>
      <c r="S11" s="1084"/>
      <c r="T11" s="1084"/>
      <c r="U11" s="1084"/>
      <c r="V11" s="1084"/>
      <c r="W11" s="1084"/>
      <c r="X11" s="1084"/>
      <c r="Y11" s="1084"/>
      <c r="Z11" s="1084"/>
      <c r="AA11" s="1084"/>
      <c r="AB11" s="1084"/>
      <c r="AC11" s="1084"/>
      <c r="AD11" s="1084"/>
      <c r="AE11" s="1084"/>
      <c r="AF11" s="1084"/>
      <c r="AG11" s="1084"/>
      <c r="AH11" s="1084"/>
      <c r="AI11" s="1084"/>
    </row>
    <row r="12" spans="1:35" x14ac:dyDescent="0.2">
      <c r="A12" s="1088" t="s">
        <v>1140</v>
      </c>
      <c r="B12" s="1089" t="s">
        <v>1141</v>
      </c>
      <c r="C12" s="1084"/>
      <c r="D12" s="1090"/>
      <c r="E12" s="1090"/>
      <c r="F12" s="1084"/>
      <c r="G12" s="1084"/>
      <c r="H12" s="1084"/>
      <c r="I12" s="1084"/>
      <c r="J12" s="1084"/>
      <c r="K12" s="1084"/>
      <c r="L12" s="1084"/>
      <c r="M12" s="1084"/>
      <c r="N12" s="1084"/>
      <c r="O12" s="1084"/>
      <c r="P12" s="1084"/>
      <c r="Q12" s="1084"/>
      <c r="R12" s="1084"/>
      <c r="S12" s="1084"/>
      <c r="T12" s="1084"/>
      <c r="U12" s="1084"/>
      <c r="V12" s="1084"/>
      <c r="W12" s="1084"/>
      <c r="X12" s="1084"/>
      <c r="Y12" s="1084"/>
      <c r="Z12" s="1084"/>
      <c r="AA12" s="1084"/>
      <c r="AB12" s="1084"/>
      <c r="AC12" s="1084"/>
      <c r="AD12" s="1084"/>
      <c r="AE12" s="1084"/>
      <c r="AF12" s="1084"/>
      <c r="AG12" s="1084"/>
      <c r="AH12" s="1084"/>
      <c r="AI12" s="1084"/>
    </row>
    <row r="13" spans="1:35" x14ac:dyDescent="0.2">
      <c r="A13" s="1088" t="s">
        <v>1142</v>
      </c>
      <c r="B13" s="1089" t="s">
        <v>1143</v>
      </c>
      <c r="C13" s="1084"/>
      <c r="D13" s="1084"/>
      <c r="E13" s="1090"/>
      <c r="F13" s="1090"/>
      <c r="G13" s="1084"/>
      <c r="H13" s="1084"/>
      <c r="I13" s="1084"/>
      <c r="J13" s="1084"/>
      <c r="K13" s="1084"/>
      <c r="L13" s="1084"/>
      <c r="M13" s="1084"/>
      <c r="N13" s="1084"/>
      <c r="O13" s="1084"/>
      <c r="P13" s="1084"/>
      <c r="Q13" s="1084"/>
      <c r="R13" s="1084"/>
      <c r="S13" s="1084"/>
      <c r="T13" s="1084"/>
      <c r="U13" s="1084"/>
      <c r="V13" s="1084"/>
      <c r="W13" s="1084"/>
      <c r="X13" s="1084"/>
      <c r="Y13" s="1084"/>
      <c r="Z13" s="1084"/>
      <c r="AA13" s="1084"/>
      <c r="AB13" s="1084"/>
      <c r="AC13" s="1084"/>
      <c r="AD13" s="1084"/>
      <c r="AE13" s="1084"/>
      <c r="AF13" s="1084"/>
      <c r="AG13" s="1084"/>
      <c r="AH13" s="1084"/>
      <c r="AI13" s="1084"/>
    </row>
    <row r="14" spans="1:35" x14ac:dyDescent="0.2">
      <c r="A14" s="1088" t="s">
        <v>1144</v>
      </c>
      <c r="B14" s="1089" t="s">
        <v>1145</v>
      </c>
      <c r="C14" s="1084"/>
      <c r="D14" s="1084"/>
      <c r="E14" s="1090"/>
      <c r="F14" s="1090"/>
      <c r="G14" s="1084"/>
      <c r="H14" s="1084"/>
      <c r="I14" s="1084"/>
      <c r="J14" s="1084"/>
      <c r="K14" s="1084"/>
      <c r="L14" s="1084"/>
      <c r="M14" s="1084"/>
      <c r="N14" s="1084"/>
      <c r="O14" s="1084"/>
      <c r="P14" s="1084"/>
      <c r="Q14" s="1084"/>
      <c r="R14" s="1084"/>
      <c r="S14" s="1084"/>
      <c r="T14" s="1084"/>
      <c r="U14" s="1084"/>
      <c r="V14" s="1084"/>
      <c r="W14" s="1084"/>
      <c r="X14" s="1084"/>
      <c r="Y14" s="1084"/>
      <c r="Z14" s="1084"/>
      <c r="AA14" s="1084"/>
      <c r="AB14" s="1084"/>
      <c r="AC14" s="1084"/>
      <c r="AD14" s="1084"/>
      <c r="AE14" s="1084"/>
      <c r="AF14" s="1084"/>
      <c r="AG14" s="1084"/>
      <c r="AH14" s="1084"/>
      <c r="AI14" s="1084"/>
    </row>
    <row r="15" spans="1:35" x14ac:dyDescent="0.2">
      <c r="A15" s="1088" t="s">
        <v>1146</v>
      </c>
      <c r="B15" s="1089" t="s">
        <v>1147</v>
      </c>
      <c r="C15" s="1084"/>
      <c r="D15" s="1084"/>
      <c r="E15" s="1084"/>
      <c r="F15" s="1090"/>
      <c r="G15" s="1084"/>
      <c r="H15" s="1084"/>
      <c r="I15" s="1084"/>
      <c r="J15" s="1084"/>
      <c r="K15" s="1084"/>
      <c r="L15" s="1084"/>
      <c r="M15" s="1084"/>
      <c r="N15" s="1084"/>
      <c r="O15" s="1084"/>
      <c r="P15" s="1084"/>
      <c r="Q15" s="1084"/>
      <c r="R15" s="1084"/>
      <c r="S15" s="1084"/>
      <c r="T15" s="1084"/>
      <c r="U15" s="1084"/>
      <c r="V15" s="1084"/>
      <c r="W15" s="1084"/>
      <c r="X15" s="1084"/>
      <c r="Y15" s="1084"/>
      <c r="Z15" s="1084"/>
      <c r="AA15" s="1084"/>
      <c r="AB15" s="1084"/>
      <c r="AC15" s="1084"/>
      <c r="AD15" s="1084"/>
      <c r="AE15" s="1084"/>
      <c r="AF15" s="1084"/>
      <c r="AG15" s="1084"/>
      <c r="AH15" s="1084"/>
      <c r="AI15" s="1084"/>
    </row>
    <row r="16" spans="1:35" x14ac:dyDescent="0.2">
      <c r="A16" s="1085">
        <v>1.2</v>
      </c>
      <c r="B16" s="1087" t="s">
        <v>1148</v>
      </c>
      <c r="C16" s="1084"/>
      <c r="D16" s="1084"/>
      <c r="E16" s="1084"/>
      <c r="F16" s="1084"/>
      <c r="G16" s="1084"/>
      <c r="H16" s="1084"/>
      <c r="I16" s="1084"/>
      <c r="J16" s="1084"/>
      <c r="K16" s="1084"/>
      <c r="L16" s="1084"/>
      <c r="M16" s="1084"/>
      <c r="N16" s="1084"/>
      <c r="O16" s="1084"/>
      <c r="P16" s="1084"/>
      <c r="Q16" s="1084"/>
      <c r="R16" s="1084"/>
      <c r="S16" s="1084"/>
      <c r="T16" s="1084"/>
      <c r="U16" s="1084"/>
      <c r="V16" s="1084"/>
      <c r="W16" s="1084"/>
      <c r="X16" s="1084"/>
      <c r="Y16" s="1084"/>
      <c r="Z16" s="1084"/>
      <c r="AA16" s="1084"/>
      <c r="AB16" s="1084"/>
      <c r="AC16" s="1084"/>
      <c r="AD16" s="1084"/>
      <c r="AE16" s="1084"/>
      <c r="AF16" s="1084"/>
      <c r="AG16" s="1084"/>
      <c r="AH16" s="1084"/>
      <c r="AI16" s="1084"/>
    </row>
    <row r="17" spans="1:35" x14ac:dyDescent="0.2">
      <c r="A17" s="1088" t="s">
        <v>1149</v>
      </c>
      <c r="B17" s="1089" t="s">
        <v>1208</v>
      </c>
      <c r="C17" s="1084"/>
      <c r="D17" s="1090"/>
      <c r="E17" s="1084"/>
      <c r="F17" s="1084"/>
      <c r="G17" s="1084"/>
      <c r="H17" s="1084"/>
      <c r="I17" s="1084"/>
      <c r="J17" s="1084"/>
      <c r="K17" s="1084"/>
      <c r="L17" s="1084"/>
      <c r="M17" s="1084"/>
      <c r="N17" s="1084"/>
      <c r="O17" s="1084"/>
      <c r="P17" s="1084"/>
      <c r="Q17" s="1084"/>
      <c r="R17" s="1084"/>
      <c r="S17" s="1084"/>
      <c r="T17" s="1084"/>
      <c r="U17" s="1084"/>
      <c r="V17" s="1084"/>
      <c r="W17" s="1084"/>
      <c r="X17" s="1084"/>
      <c r="Y17" s="1084"/>
      <c r="Z17" s="1084"/>
      <c r="AA17" s="1084"/>
      <c r="AB17" s="1084"/>
      <c r="AC17" s="1084"/>
      <c r="AD17" s="1084"/>
      <c r="AE17" s="1084"/>
      <c r="AF17" s="1084"/>
      <c r="AG17" s="1084"/>
      <c r="AH17" s="1084"/>
      <c r="AI17" s="1084"/>
    </row>
    <row r="18" spans="1:35" x14ac:dyDescent="0.2">
      <c r="A18" s="1088" t="s">
        <v>1150</v>
      </c>
      <c r="B18" s="1089" t="s">
        <v>1151</v>
      </c>
      <c r="C18" s="1084"/>
      <c r="D18" s="1084"/>
      <c r="E18" s="1090"/>
      <c r="F18" s="1084"/>
      <c r="G18" s="1084"/>
      <c r="H18" s="1084"/>
      <c r="I18" s="1084"/>
      <c r="J18" s="1084"/>
      <c r="K18" s="1084"/>
      <c r="L18" s="1084"/>
      <c r="M18" s="1084"/>
      <c r="N18" s="1084"/>
      <c r="O18" s="1084"/>
      <c r="P18" s="1084"/>
      <c r="Q18" s="1084"/>
      <c r="R18" s="1084"/>
      <c r="S18" s="1084"/>
      <c r="T18" s="1084"/>
      <c r="U18" s="1084"/>
      <c r="V18" s="1084"/>
      <c r="W18" s="1084"/>
      <c r="X18" s="1084"/>
      <c r="Y18" s="1084"/>
      <c r="Z18" s="1084"/>
      <c r="AA18" s="1084"/>
      <c r="AB18" s="1084"/>
      <c r="AC18" s="1084"/>
      <c r="AD18" s="1084"/>
      <c r="AE18" s="1084"/>
      <c r="AF18" s="1084"/>
      <c r="AG18" s="1084"/>
      <c r="AH18" s="1084"/>
      <c r="AI18" s="1084"/>
    </row>
    <row r="19" spans="1:35" ht="25.5" x14ac:dyDescent="0.2">
      <c r="A19" s="1088" t="s">
        <v>1152</v>
      </c>
      <c r="B19" s="1089" t="s">
        <v>1153</v>
      </c>
      <c r="C19" s="1084"/>
      <c r="D19" s="1084"/>
      <c r="E19" s="1090"/>
      <c r="F19" s="1084"/>
      <c r="G19" s="1084"/>
      <c r="H19" s="1084"/>
      <c r="I19" s="1084"/>
      <c r="J19" s="1084"/>
      <c r="K19" s="1084"/>
      <c r="L19" s="1084"/>
      <c r="M19" s="1084"/>
      <c r="N19" s="1084"/>
      <c r="O19" s="1084"/>
      <c r="P19" s="1084"/>
      <c r="Q19" s="1084"/>
      <c r="R19" s="1084"/>
      <c r="S19" s="1084"/>
      <c r="T19" s="1084"/>
      <c r="U19" s="1084"/>
      <c r="V19" s="1084"/>
      <c r="W19" s="1084"/>
      <c r="X19" s="1084"/>
      <c r="Y19" s="1084"/>
      <c r="Z19" s="1084"/>
      <c r="AA19" s="1084"/>
      <c r="AB19" s="1084"/>
      <c r="AC19" s="1084"/>
      <c r="AD19" s="1084"/>
      <c r="AE19" s="1084"/>
      <c r="AF19" s="1084"/>
      <c r="AG19" s="1084"/>
      <c r="AH19" s="1084"/>
      <c r="AI19" s="1084"/>
    </row>
    <row r="20" spans="1:35" x14ac:dyDescent="0.2">
      <c r="A20" s="1088" t="s">
        <v>1154</v>
      </c>
      <c r="B20" s="1089" t="s">
        <v>1155</v>
      </c>
      <c r="C20" s="1084"/>
      <c r="D20" s="1084"/>
      <c r="E20" s="1084"/>
      <c r="F20" s="1090"/>
      <c r="G20" s="1084"/>
      <c r="H20" s="1084"/>
      <c r="I20" s="1084"/>
      <c r="J20" s="1084"/>
      <c r="K20" s="1084"/>
      <c r="L20" s="1084"/>
      <c r="M20" s="1084"/>
      <c r="N20" s="1084"/>
      <c r="O20" s="1084"/>
      <c r="P20" s="1084"/>
      <c r="Q20" s="1084"/>
      <c r="R20" s="1084"/>
      <c r="S20" s="1084"/>
      <c r="T20" s="1084"/>
      <c r="U20" s="1084"/>
      <c r="V20" s="1084"/>
      <c r="W20" s="1084"/>
      <c r="X20" s="1084"/>
      <c r="Y20" s="1084"/>
      <c r="Z20" s="1084"/>
      <c r="AA20" s="1084"/>
      <c r="AB20" s="1084"/>
      <c r="AC20" s="1084"/>
      <c r="AD20" s="1084"/>
      <c r="AE20" s="1084"/>
      <c r="AF20" s="1084"/>
      <c r="AG20" s="1084"/>
      <c r="AH20" s="1084"/>
      <c r="AI20" s="1084"/>
    </row>
    <row r="21" spans="1:35" x14ac:dyDescent="0.2">
      <c r="A21" s="1085">
        <v>1.3</v>
      </c>
      <c r="B21" s="1087" t="s">
        <v>1156</v>
      </c>
      <c r="C21" s="1084"/>
      <c r="D21" s="1084"/>
      <c r="E21" s="1084"/>
      <c r="F21" s="1084"/>
      <c r="G21" s="1084"/>
      <c r="H21" s="1084"/>
      <c r="I21" s="1084"/>
      <c r="J21" s="1084"/>
      <c r="K21" s="1084"/>
      <c r="L21" s="1084"/>
      <c r="M21" s="1084"/>
      <c r="N21" s="1084"/>
      <c r="O21" s="1084"/>
      <c r="P21" s="1084"/>
      <c r="Q21" s="1084"/>
      <c r="R21" s="1084"/>
      <c r="S21" s="1084"/>
      <c r="T21" s="1084"/>
      <c r="U21" s="1084"/>
      <c r="V21" s="1084"/>
      <c r="W21" s="1084"/>
      <c r="X21" s="1084"/>
      <c r="Y21" s="1084"/>
      <c r="Z21" s="1084"/>
      <c r="AA21" s="1084"/>
      <c r="AB21" s="1084"/>
      <c r="AC21" s="1084"/>
      <c r="AD21" s="1084"/>
      <c r="AE21" s="1084"/>
      <c r="AF21" s="1084"/>
      <c r="AG21" s="1084"/>
      <c r="AH21" s="1084"/>
      <c r="AI21" s="1084"/>
    </row>
    <row r="22" spans="1:35" ht="25.5" x14ac:dyDescent="0.2">
      <c r="A22" s="1088" t="s">
        <v>1157</v>
      </c>
      <c r="B22" s="1089" t="s">
        <v>1158</v>
      </c>
      <c r="C22" s="1084"/>
      <c r="D22" s="1090"/>
      <c r="E22" s="1090"/>
      <c r="F22" s="1090"/>
      <c r="G22" s="1084"/>
      <c r="H22" s="1084"/>
      <c r="I22" s="1084"/>
      <c r="J22" s="1084"/>
      <c r="K22" s="1084"/>
      <c r="L22" s="1084"/>
      <c r="M22" s="1084"/>
      <c r="N22" s="1084"/>
      <c r="O22" s="1084"/>
      <c r="P22" s="1084"/>
      <c r="Q22" s="1084"/>
      <c r="R22" s="1084"/>
      <c r="S22" s="1084"/>
      <c r="T22" s="1084"/>
      <c r="U22" s="1084"/>
      <c r="V22" s="1084"/>
      <c r="W22" s="1084"/>
      <c r="X22" s="1084"/>
      <c r="Y22" s="1084"/>
      <c r="Z22" s="1084"/>
      <c r="AA22" s="1084"/>
      <c r="AB22" s="1084"/>
      <c r="AC22" s="1084"/>
      <c r="AD22" s="1084"/>
      <c r="AE22" s="1084"/>
      <c r="AF22" s="1084"/>
      <c r="AG22" s="1084"/>
      <c r="AH22" s="1084"/>
      <c r="AI22" s="1084"/>
    </row>
    <row r="23" spans="1:35" x14ac:dyDescent="0.2">
      <c r="A23" s="1085"/>
      <c r="B23" s="1089"/>
      <c r="C23" s="1084"/>
      <c r="D23" s="1084"/>
      <c r="E23" s="1084"/>
      <c r="F23" s="1084"/>
      <c r="G23" s="1084"/>
      <c r="H23" s="1084"/>
      <c r="I23" s="1084"/>
      <c r="J23" s="1084"/>
      <c r="K23" s="1084"/>
      <c r="L23" s="1084"/>
      <c r="M23" s="1084"/>
      <c r="N23" s="1084"/>
      <c r="O23" s="1084"/>
      <c r="P23" s="1084"/>
      <c r="Q23" s="1084"/>
      <c r="R23" s="1084"/>
      <c r="S23" s="1084"/>
      <c r="T23" s="1084"/>
      <c r="U23" s="1084"/>
      <c r="V23" s="1084"/>
      <c r="W23" s="1084"/>
      <c r="X23" s="1084"/>
      <c r="Y23" s="1084"/>
      <c r="Z23" s="1084"/>
      <c r="AA23" s="1084"/>
      <c r="AB23" s="1084"/>
      <c r="AC23" s="1084"/>
      <c r="AD23" s="1084"/>
      <c r="AE23" s="1084"/>
      <c r="AF23" s="1084"/>
      <c r="AG23" s="1084"/>
      <c r="AH23" s="1084"/>
      <c r="AI23" s="1084"/>
    </row>
    <row r="24" spans="1:35" x14ac:dyDescent="0.2">
      <c r="A24" s="1085">
        <v>2</v>
      </c>
      <c r="B24" s="1086" t="s">
        <v>1159</v>
      </c>
      <c r="C24" s="1084"/>
      <c r="D24" s="1084"/>
      <c r="E24" s="1084"/>
      <c r="F24" s="1084"/>
      <c r="G24" s="1084"/>
      <c r="H24" s="1084"/>
      <c r="I24" s="1084"/>
      <c r="J24" s="1084"/>
      <c r="K24" s="1084"/>
      <c r="L24" s="1084"/>
      <c r="M24" s="1084"/>
      <c r="N24" s="1084"/>
      <c r="O24" s="1084"/>
      <c r="P24" s="1084"/>
      <c r="Q24" s="1084"/>
      <c r="R24" s="1084"/>
      <c r="S24" s="1084"/>
      <c r="T24" s="1084"/>
      <c r="U24" s="1084"/>
      <c r="V24" s="1084"/>
      <c r="W24" s="1084"/>
      <c r="X24" s="1084"/>
      <c r="Y24" s="1084"/>
      <c r="Z24" s="1084"/>
      <c r="AA24" s="1084"/>
      <c r="AB24" s="1084"/>
      <c r="AC24" s="1084"/>
      <c r="AD24" s="1084"/>
      <c r="AE24" s="1084"/>
      <c r="AF24" s="1084"/>
      <c r="AG24" s="1084"/>
      <c r="AH24" s="1084"/>
      <c r="AI24" s="1084"/>
    </row>
    <row r="25" spans="1:35" x14ac:dyDescent="0.2">
      <c r="A25" s="1085">
        <v>2.1</v>
      </c>
      <c r="B25" s="1087" t="str">
        <f>+B10</f>
        <v>Actividades tecnicas</v>
      </c>
      <c r="C25" s="1084"/>
      <c r="D25" s="1084"/>
      <c r="E25" s="1084"/>
      <c r="F25" s="1084"/>
      <c r="G25" s="1084"/>
      <c r="H25" s="1084"/>
      <c r="I25" s="1084"/>
      <c r="J25" s="1084"/>
      <c r="K25" s="1084"/>
      <c r="L25" s="1084"/>
      <c r="M25" s="1084"/>
      <c r="N25" s="1084"/>
      <c r="O25" s="1084"/>
      <c r="P25" s="1084"/>
      <c r="Q25" s="1084"/>
      <c r="R25" s="1084"/>
      <c r="S25" s="1084"/>
      <c r="T25" s="1084"/>
      <c r="U25" s="1084"/>
      <c r="V25" s="1084"/>
      <c r="W25" s="1084"/>
      <c r="X25" s="1084"/>
      <c r="Y25" s="1084"/>
      <c r="Z25" s="1084"/>
      <c r="AA25" s="1084"/>
      <c r="AB25" s="1084"/>
      <c r="AC25" s="1084"/>
      <c r="AD25" s="1084"/>
      <c r="AE25" s="1084"/>
      <c r="AF25" s="1084"/>
      <c r="AG25" s="1084"/>
      <c r="AH25" s="1084"/>
      <c r="AI25" s="1084"/>
    </row>
    <row r="26" spans="1:35" x14ac:dyDescent="0.2">
      <c r="A26" s="1088" t="s">
        <v>1160</v>
      </c>
      <c r="B26" s="1089" t="s">
        <v>1161</v>
      </c>
      <c r="C26" s="1084"/>
      <c r="D26" s="1084"/>
      <c r="E26" s="1084"/>
      <c r="F26" s="1084"/>
      <c r="G26" s="1090"/>
      <c r="H26" s="1084"/>
      <c r="I26" s="1084"/>
      <c r="J26" s="1084"/>
      <c r="K26" s="1084"/>
      <c r="L26" s="1084"/>
      <c r="M26" s="1084"/>
      <c r="N26" s="1084"/>
      <c r="O26" s="1084"/>
      <c r="P26" s="1084"/>
      <c r="Q26" s="1084"/>
      <c r="R26" s="1084"/>
      <c r="S26" s="1084"/>
      <c r="T26" s="1084"/>
      <c r="U26" s="1084"/>
      <c r="V26" s="1084"/>
      <c r="W26" s="1084"/>
      <c r="X26" s="1084"/>
      <c r="Y26" s="1084"/>
      <c r="Z26" s="1084"/>
      <c r="AA26" s="1084"/>
      <c r="AB26" s="1084"/>
      <c r="AC26" s="1084"/>
      <c r="AD26" s="1084"/>
      <c r="AE26" s="1084"/>
      <c r="AF26" s="1084"/>
      <c r="AG26" s="1084"/>
      <c r="AH26" s="1084"/>
      <c r="AI26" s="1084"/>
    </row>
    <row r="27" spans="1:35" x14ac:dyDescent="0.2">
      <c r="A27" s="1088" t="s">
        <v>1162</v>
      </c>
      <c r="B27" s="1089" t="s">
        <v>1163</v>
      </c>
      <c r="C27" s="1084"/>
      <c r="D27" s="1084"/>
      <c r="E27" s="1084"/>
      <c r="F27" s="1090"/>
      <c r="G27" s="1090"/>
      <c r="H27" s="1084"/>
      <c r="I27" s="1084"/>
      <c r="J27" s="1084"/>
      <c r="K27" s="1084"/>
      <c r="L27" s="1084"/>
      <c r="M27" s="1084"/>
      <c r="N27" s="1084"/>
      <c r="O27" s="1084"/>
      <c r="P27" s="1084"/>
      <c r="Q27" s="1084"/>
      <c r="R27" s="1084"/>
      <c r="S27" s="1084"/>
      <c r="T27" s="1084"/>
      <c r="U27" s="1084"/>
      <c r="V27" s="1084"/>
      <c r="W27" s="1084"/>
      <c r="X27" s="1084"/>
      <c r="Y27" s="1084"/>
      <c r="Z27" s="1084"/>
      <c r="AA27" s="1084"/>
      <c r="AB27" s="1084"/>
      <c r="AC27" s="1084"/>
      <c r="AD27" s="1084"/>
      <c r="AE27" s="1084"/>
      <c r="AF27" s="1084"/>
      <c r="AG27" s="1084"/>
      <c r="AH27" s="1084"/>
      <c r="AI27" s="1084"/>
    </row>
    <row r="28" spans="1:35" ht="25.5" x14ac:dyDescent="0.2">
      <c r="A28" s="1088" t="s">
        <v>1164</v>
      </c>
      <c r="B28" s="1089" t="s">
        <v>1165</v>
      </c>
      <c r="C28" s="1084"/>
      <c r="D28" s="1084"/>
      <c r="E28" s="1084"/>
      <c r="F28" s="1090"/>
      <c r="G28" s="1090"/>
      <c r="H28" s="1084"/>
      <c r="I28" s="1084"/>
      <c r="J28" s="1084"/>
      <c r="K28" s="1084"/>
      <c r="L28" s="1084"/>
      <c r="M28" s="1084"/>
      <c r="N28" s="1084"/>
      <c r="O28" s="1084"/>
      <c r="P28" s="1084"/>
      <c r="Q28" s="1084"/>
      <c r="R28" s="1084"/>
      <c r="S28" s="1084"/>
      <c r="T28" s="1084"/>
      <c r="U28" s="1084"/>
      <c r="V28" s="1084"/>
      <c r="W28" s="1084"/>
      <c r="X28" s="1084"/>
      <c r="Y28" s="1084"/>
      <c r="Z28" s="1084"/>
      <c r="AA28" s="1084"/>
      <c r="AB28" s="1084"/>
      <c r="AC28" s="1084"/>
      <c r="AD28" s="1084"/>
      <c r="AE28" s="1084"/>
      <c r="AF28" s="1084"/>
      <c r="AG28" s="1084"/>
      <c r="AH28" s="1084"/>
      <c r="AI28" s="1084"/>
    </row>
    <row r="29" spans="1:35" ht="25.5" x14ac:dyDescent="0.2">
      <c r="A29" s="1088" t="s">
        <v>1166</v>
      </c>
      <c r="B29" s="1089" t="s">
        <v>1167</v>
      </c>
      <c r="C29" s="1084"/>
      <c r="D29" s="1084"/>
      <c r="E29" s="1084"/>
      <c r="F29" s="1084"/>
      <c r="G29" s="1084"/>
      <c r="H29" s="1090"/>
      <c r="I29" s="1090"/>
      <c r="J29" s="1090"/>
      <c r="K29" s="1090"/>
      <c r="L29" s="1090"/>
      <c r="M29" s="1090"/>
      <c r="N29" s="1090"/>
      <c r="O29" s="1090"/>
      <c r="P29" s="1090"/>
      <c r="Q29" s="1090"/>
      <c r="R29" s="1090"/>
      <c r="S29" s="1090"/>
      <c r="T29" s="1090"/>
      <c r="U29" s="1090"/>
      <c r="V29" s="1090"/>
      <c r="W29" s="1090"/>
      <c r="X29" s="1090"/>
      <c r="Y29" s="1090"/>
      <c r="Z29" s="1090"/>
      <c r="AA29" s="1090"/>
      <c r="AB29" s="1090"/>
      <c r="AC29" s="1090"/>
      <c r="AD29" s="1090"/>
      <c r="AE29" s="1090"/>
      <c r="AF29" s="1084"/>
      <c r="AG29" s="1084"/>
      <c r="AH29" s="1084"/>
      <c r="AI29" s="1084"/>
    </row>
    <row r="30" spans="1:35" ht="25.5" x14ac:dyDescent="0.2">
      <c r="A30" s="1088" t="s">
        <v>1168</v>
      </c>
      <c r="B30" s="1089" t="s">
        <v>1169</v>
      </c>
      <c r="C30" s="1084"/>
      <c r="D30" s="1084"/>
      <c r="E30" s="1084"/>
      <c r="F30" s="1084"/>
      <c r="G30" s="1090"/>
      <c r="H30" s="1084"/>
      <c r="I30" s="1084"/>
      <c r="J30" s="1084"/>
      <c r="K30" s="1090"/>
      <c r="L30" s="1084"/>
      <c r="M30" s="1084"/>
      <c r="N30" s="1084"/>
      <c r="O30" s="1090"/>
      <c r="P30" s="1084"/>
      <c r="Q30" s="1084"/>
      <c r="R30" s="1084"/>
      <c r="S30" s="1090"/>
      <c r="T30" s="1084"/>
      <c r="U30" s="1084"/>
      <c r="V30" s="1084"/>
      <c r="W30" s="1090"/>
      <c r="X30" s="1084"/>
      <c r="Y30" s="1084"/>
      <c r="Z30" s="1084"/>
      <c r="AA30" s="1090"/>
      <c r="AB30" s="1084"/>
      <c r="AC30" s="1084"/>
      <c r="AD30" s="1084"/>
      <c r="AE30" s="1090"/>
      <c r="AF30" s="1084"/>
      <c r="AG30" s="1084"/>
      <c r="AH30" s="1084"/>
      <c r="AI30" s="1090"/>
    </row>
    <row r="31" spans="1:35" x14ac:dyDescent="0.2">
      <c r="A31" s="1088" t="s">
        <v>1170</v>
      </c>
      <c r="B31" s="1089" t="s">
        <v>1171</v>
      </c>
      <c r="C31" s="1084"/>
      <c r="D31" s="1084"/>
      <c r="E31" s="1084"/>
      <c r="F31" s="1090"/>
      <c r="G31" s="1084"/>
      <c r="H31" s="1084"/>
      <c r="I31" s="1084"/>
      <c r="J31" s="1090"/>
      <c r="K31" s="1084"/>
      <c r="L31" s="1084"/>
      <c r="M31" s="1084"/>
      <c r="N31" s="1090"/>
      <c r="O31" s="1084"/>
      <c r="P31" s="1084"/>
      <c r="Q31" s="1084"/>
      <c r="R31" s="1090"/>
      <c r="S31" s="1084"/>
      <c r="T31" s="1084"/>
      <c r="U31" s="1084"/>
      <c r="V31" s="1090"/>
      <c r="W31" s="1084"/>
      <c r="X31" s="1084"/>
      <c r="Y31" s="1084"/>
      <c r="Z31" s="1090"/>
      <c r="AA31" s="1084"/>
      <c r="AB31" s="1084"/>
      <c r="AC31" s="1084"/>
      <c r="AD31" s="1090"/>
      <c r="AE31" s="1084"/>
      <c r="AF31" s="1084"/>
      <c r="AG31" s="1084"/>
      <c r="AH31" s="1090"/>
      <c r="AI31" s="1084"/>
    </row>
    <row r="32" spans="1:35" ht="25.5" x14ac:dyDescent="0.2">
      <c r="A32" s="1088" t="s">
        <v>1172</v>
      </c>
      <c r="B32" s="1089" t="s">
        <v>1173</v>
      </c>
      <c r="C32" s="1084"/>
      <c r="D32" s="1084"/>
      <c r="E32" s="1084"/>
      <c r="F32" s="1084"/>
      <c r="G32" s="1084"/>
      <c r="H32" s="1084"/>
      <c r="I32" s="1084"/>
      <c r="J32" s="1090"/>
      <c r="K32" s="1084"/>
      <c r="L32" s="1084"/>
      <c r="M32" s="1084"/>
      <c r="N32" s="1090"/>
      <c r="O32" s="1084"/>
      <c r="P32" s="1084"/>
      <c r="Q32" s="1084"/>
      <c r="R32" s="1090"/>
      <c r="S32" s="1084"/>
      <c r="T32" s="1084"/>
      <c r="U32" s="1084"/>
      <c r="V32" s="1090"/>
      <c r="W32" s="1084"/>
      <c r="X32" s="1084"/>
      <c r="Y32" s="1084"/>
      <c r="Z32" s="1090"/>
      <c r="AA32" s="1084"/>
      <c r="AB32" s="1084"/>
      <c r="AC32" s="1084"/>
      <c r="AD32" s="1090"/>
      <c r="AE32" s="1084"/>
      <c r="AF32" s="1084"/>
      <c r="AG32" s="1084"/>
      <c r="AH32" s="1090"/>
      <c r="AI32" s="1084"/>
    </row>
    <row r="33" spans="1:35" x14ac:dyDescent="0.2">
      <c r="A33" s="1085">
        <v>2.2000000000000002</v>
      </c>
      <c r="B33" s="1087" t="str">
        <f>+B16</f>
        <v>Actividades administrativas y financieras</v>
      </c>
      <c r="C33" s="1084"/>
      <c r="D33" s="1084"/>
      <c r="E33" s="1084"/>
      <c r="F33" s="1084"/>
      <c r="G33" s="1084"/>
      <c r="H33" s="1084"/>
      <c r="I33" s="1084"/>
      <c r="J33" s="1084"/>
      <c r="K33" s="1084"/>
      <c r="L33" s="1084"/>
      <c r="M33" s="1084"/>
      <c r="N33" s="1084"/>
      <c r="O33" s="1084"/>
      <c r="P33" s="1084"/>
      <c r="Q33" s="1084"/>
      <c r="R33" s="1084"/>
      <c r="S33" s="1084"/>
      <c r="T33" s="1084"/>
      <c r="U33" s="1084"/>
      <c r="V33" s="1084"/>
      <c r="W33" s="1084"/>
      <c r="X33" s="1084"/>
      <c r="Y33" s="1084"/>
      <c r="Z33" s="1084"/>
      <c r="AA33" s="1084"/>
      <c r="AB33" s="1084"/>
      <c r="AC33" s="1084"/>
      <c r="AD33" s="1084"/>
      <c r="AE33" s="1084"/>
      <c r="AF33" s="1084"/>
      <c r="AG33" s="1084"/>
      <c r="AH33" s="1084"/>
      <c r="AI33" s="1084"/>
    </row>
    <row r="34" spans="1:35" x14ac:dyDescent="0.2">
      <c r="A34" s="1088" t="s">
        <v>1174</v>
      </c>
      <c r="B34" s="1089" t="s">
        <v>1175</v>
      </c>
      <c r="C34" s="1084"/>
      <c r="D34" s="1084"/>
      <c r="E34" s="1084"/>
      <c r="F34" s="1084"/>
      <c r="G34" s="1084"/>
      <c r="H34" s="1090"/>
      <c r="I34" s="1090"/>
      <c r="J34" s="1090"/>
      <c r="K34" s="1090"/>
      <c r="L34" s="1090"/>
      <c r="M34" s="1090"/>
      <c r="N34" s="1090"/>
      <c r="O34" s="1090"/>
      <c r="P34" s="1090"/>
      <c r="Q34" s="1090"/>
      <c r="R34" s="1090"/>
      <c r="S34" s="1090"/>
      <c r="T34" s="1090"/>
      <c r="U34" s="1090"/>
      <c r="V34" s="1090"/>
      <c r="W34" s="1090"/>
      <c r="X34" s="1090"/>
      <c r="Y34" s="1090"/>
      <c r="Z34" s="1090"/>
      <c r="AA34" s="1090"/>
      <c r="AB34" s="1090"/>
      <c r="AC34" s="1090"/>
      <c r="AD34" s="1090"/>
      <c r="AE34" s="1090"/>
      <c r="AF34" s="1090"/>
      <c r="AG34" s="1090"/>
      <c r="AH34" s="1090"/>
      <c r="AI34" s="1090"/>
    </row>
    <row r="35" spans="1:35" x14ac:dyDescent="0.2">
      <c r="A35" s="1088" t="s">
        <v>1176</v>
      </c>
      <c r="B35" s="1089" t="s">
        <v>1177</v>
      </c>
      <c r="C35" s="1084"/>
      <c r="D35" s="1084"/>
      <c r="E35" s="1084"/>
      <c r="F35" s="1084"/>
      <c r="G35" s="1084"/>
      <c r="H35" s="1090"/>
      <c r="I35" s="1090"/>
      <c r="J35" s="1090"/>
      <c r="K35" s="1090"/>
      <c r="L35" s="1090"/>
      <c r="M35" s="1090"/>
      <c r="N35" s="1090"/>
      <c r="O35" s="1090"/>
      <c r="P35" s="1090"/>
      <c r="Q35" s="1090"/>
      <c r="R35" s="1090"/>
      <c r="S35" s="1090"/>
      <c r="T35" s="1090"/>
      <c r="U35" s="1090"/>
      <c r="V35" s="1090"/>
      <c r="W35" s="1090"/>
      <c r="X35" s="1090"/>
      <c r="Y35" s="1090"/>
      <c r="Z35" s="1090"/>
      <c r="AA35" s="1090"/>
      <c r="AB35" s="1090"/>
      <c r="AC35" s="1090"/>
      <c r="AD35" s="1090"/>
      <c r="AE35" s="1090"/>
      <c r="AF35" s="1090"/>
      <c r="AG35" s="1090"/>
      <c r="AH35" s="1090"/>
      <c r="AI35" s="1090"/>
    </row>
    <row r="36" spans="1:35" x14ac:dyDescent="0.2">
      <c r="A36" s="1088" t="s">
        <v>1178</v>
      </c>
      <c r="B36" s="1089" t="s">
        <v>1179</v>
      </c>
      <c r="C36" s="1084"/>
      <c r="D36" s="1084"/>
      <c r="E36" s="1084"/>
      <c r="F36" s="1084"/>
      <c r="G36" s="1090"/>
      <c r="H36" s="1084"/>
      <c r="I36" s="1084"/>
      <c r="J36" s="1084"/>
      <c r="K36" s="1090"/>
      <c r="L36" s="1084"/>
      <c r="M36" s="1084"/>
      <c r="N36" s="1084"/>
      <c r="O36" s="1090"/>
      <c r="P36" s="1084"/>
      <c r="Q36" s="1084"/>
      <c r="R36" s="1084"/>
      <c r="S36" s="1090"/>
      <c r="T36" s="1084"/>
      <c r="U36" s="1084"/>
      <c r="V36" s="1084"/>
      <c r="W36" s="1090"/>
      <c r="X36" s="1084"/>
      <c r="Y36" s="1084"/>
      <c r="Z36" s="1084"/>
      <c r="AA36" s="1090"/>
      <c r="AB36" s="1084"/>
      <c r="AC36" s="1084"/>
      <c r="AD36" s="1084"/>
      <c r="AE36" s="1090"/>
      <c r="AF36" s="1084"/>
      <c r="AG36" s="1084"/>
      <c r="AH36" s="1084"/>
      <c r="AI36" s="1090"/>
    </row>
    <row r="37" spans="1:35" x14ac:dyDescent="0.2">
      <c r="A37" s="1088" t="s">
        <v>1180</v>
      </c>
      <c r="B37" s="1089" t="s">
        <v>1181</v>
      </c>
      <c r="C37" s="1084"/>
      <c r="D37" s="1084"/>
      <c r="E37" s="1084"/>
      <c r="F37" s="1084"/>
      <c r="G37" s="1084"/>
      <c r="H37" s="1084"/>
      <c r="I37" s="1084"/>
      <c r="J37" s="1084"/>
      <c r="K37" s="1084"/>
      <c r="L37" s="1084"/>
      <c r="M37" s="1084"/>
      <c r="N37" s="1084"/>
      <c r="O37" s="1084"/>
      <c r="P37" s="1084"/>
      <c r="Q37" s="1084"/>
      <c r="R37" s="1084"/>
      <c r="S37" s="1084"/>
      <c r="T37" s="1084"/>
      <c r="U37" s="1084"/>
      <c r="V37" s="1084"/>
      <c r="W37" s="1084"/>
      <c r="X37" s="1084"/>
      <c r="Y37" s="1084"/>
      <c r="Z37" s="1084"/>
      <c r="AA37" s="1084"/>
      <c r="AB37" s="1084"/>
      <c r="AC37" s="1084"/>
      <c r="AD37" s="1084"/>
      <c r="AE37" s="1084"/>
      <c r="AF37" s="1090"/>
      <c r="AG37" s="1090"/>
      <c r="AH37" s="1090"/>
      <c r="AI37" s="1090"/>
    </row>
    <row r="38" spans="1:35" x14ac:dyDescent="0.2">
      <c r="A38" s="1088" t="s">
        <v>1182</v>
      </c>
      <c r="B38" s="1089" t="s">
        <v>1183</v>
      </c>
      <c r="C38" s="1084"/>
      <c r="D38" s="1084"/>
      <c r="E38" s="1084"/>
      <c r="F38" s="1090"/>
      <c r="G38" s="1084"/>
      <c r="H38" s="1084"/>
      <c r="I38" s="1084"/>
      <c r="J38" s="1090"/>
      <c r="K38" s="1084"/>
      <c r="L38" s="1084"/>
      <c r="M38" s="1084"/>
      <c r="N38" s="1090"/>
      <c r="O38" s="1084"/>
      <c r="P38" s="1084"/>
      <c r="Q38" s="1084"/>
      <c r="R38" s="1090"/>
      <c r="S38" s="1084"/>
      <c r="T38" s="1084"/>
      <c r="U38" s="1084"/>
      <c r="V38" s="1090"/>
      <c r="W38" s="1084"/>
      <c r="X38" s="1084"/>
      <c r="Y38" s="1084"/>
      <c r="Z38" s="1090"/>
      <c r="AA38" s="1084"/>
      <c r="AB38" s="1084"/>
      <c r="AC38" s="1084"/>
      <c r="AD38" s="1090"/>
      <c r="AE38" s="1084"/>
      <c r="AF38" s="1084"/>
      <c r="AG38" s="1084"/>
      <c r="AH38" s="1090"/>
      <c r="AI38" s="1084"/>
    </row>
    <row r="39" spans="1:35" ht="24.75" customHeight="1" x14ac:dyDescent="0.2">
      <c r="A39" s="1088" t="s">
        <v>1184</v>
      </c>
      <c r="B39" s="1089" t="s">
        <v>1185</v>
      </c>
      <c r="C39" s="1084"/>
      <c r="D39" s="1084"/>
      <c r="E39" s="1084"/>
      <c r="F39" s="1090"/>
      <c r="G39" s="1084"/>
      <c r="H39" s="1084"/>
      <c r="I39" s="1084"/>
      <c r="J39" s="1090"/>
      <c r="K39" s="1084"/>
      <c r="L39" s="1084"/>
      <c r="M39" s="1084"/>
      <c r="N39" s="1090"/>
      <c r="O39" s="1084"/>
      <c r="P39" s="1084"/>
      <c r="Q39" s="1084"/>
      <c r="R39" s="1090"/>
      <c r="S39" s="1084"/>
      <c r="T39" s="1084"/>
      <c r="U39" s="1084"/>
      <c r="V39" s="1090"/>
      <c r="W39" s="1084"/>
      <c r="X39" s="1084"/>
      <c r="Y39" s="1084"/>
      <c r="Z39" s="1090"/>
      <c r="AA39" s="1084"/>
      <c r="AB39" s="1084"/>
      <c r="AC39" s="1084"/>
      <c r="AD39" s="1090"/>
      <c r="AE39" s="1084"/>
      <c r="AF39" s="1084"/>
      <c r="AG39" s="1084"/>
      <c r="AH39" s="1090"/>
      <c r="AI39" s="1084"/>
    </row>
    <row r="40" spans="1:35" x14ac:dyDescent="0.2">
      <c r="A40" s="1088">
        <v>2.2999999999999998</v>
      </c>
      <c r="B40" s="1087" t="str">
        <f>+B21</f>
        <v>Actividades de control</v>
      </c>
      <c r="C40" s="1084"/>
      <c r="D40" s="1084"/>
      <c r="E40" s="1084"/>
      <c r="F40" s="1084"/>
      <c r="G40" s="1084"/>
      <c r="H40" s="1084"/>
      <c r="I40" s="1084"/>
      <c r="J40" s="1084"/>
      <c r="K40" s="1084"/>
      <c r="L40" s="1084"/>
      <c r="M40" s="1084"/>
      <c r="N40" s="1084"/>
      <c r="O40" s="1084"/>
      <c r="P40" s="1084"/>
      <c r="Q40" s="1084"/>
      <c r="R40" s="1084"/>
      <c r="S40" s="1084"/>
      <c r="T40" s="1084"/>
      <c r="U40" s="1084"/>
      <c r="V40" s="1084"/>
      <c r="W40" s="1084"/>
      <c r="X40" s="1084"/>
      <c r="Y40" s="1084"/>
      <c r="Z40" s="1084"/>
      <c r="AA40" s="1084"/>
      <c r="AB40" s="1084"/>
      <c r="AC40" s="1084"/>
      <c r="AD40" s="1084"/>
      <c r="AE40" s="1084"/>
      <c r="AF40" s="1084"/>
      <c r="AG40" s="1084"/>
      <c r="AH40" s="1084"/>
      <c r="AI40" s="1084"/>
    </row>
    <row r="41" spans="1:35" x14ac:dyDescent="0.2">
      <c r="A41" s="1088" t="s">
        <v>1186</v>
      </c>
      <c r="B41" s="1089" t="s">
        <v>1187</v>
      </c>
      <c r="C41" s="1084"/>
      <c r="D41" s="1090"/>
      <c r="E41" s="1090"/>
      <c r="F41" s="1090"/>
      <c r="G41" s="1090"/>
      <c r="H41" s="1090"/>
      <c r="I41" s="1090"/>
      <c r="J41" s="1090"/>
      <c r="K41" s="1090"/>
      <c r="L41" s="1090"/>
      <c r="M41" s="1090"/>
      <c r="N41" s="1090"/>
      <c r="O41" s="1090"/>
      <c r="P41" s="1090"/>
      <c r="Q41" s="1090"/>
      <c r="R41" s="1090"/>
      <c r="S41" s="1090"/>
      <c r="T41" s="1090"/>
      <c r="U41" s="1090"/>
      <c r="V41" s="1090"/>
      <c r="W41" s="1090"/>
      <c r="X41" s="1090"/>
      <c r="Y41" s="1090"/>
      <c r="Z41" s="1090"/>
      <c r="AA41" s="1090"/>
      <c r="AB41" s="1090"/>
      <c r="AC41" s="1090"/>
      <c r="AD41" s="1090"/>
      <c r="AE41" s="1090"/>
      <c r="AF41" s="1090"/>
      <c r="AG41" s="1090"/>
      <c r="AH41" s="1090"/>
      <c r="AI41" s="1090"/>
    </row>
    <row r="42" spans="1:35" x14ac:dyDescent="0.2">
      <c r="A42" s="1088" t="s">
        <v>1188</v>
      </c>
      <c r="B42" s="1089" t="s">
        <v>1189</v>
      </c>
      <c r="C42" s="1084"/>
      <c r="D42" s="1090"/>
      <c r="E42" s="1090"/>
      <c r="F42" s="1090"/>
      <c r="G42" s="1090"/>
      <c r="H42" s="1090"/>
      <c r="I42" s="1090"/>
      <c r="J42" s="1090"/>
      <c r="K42" s="1090"/>
      <c r="L42" s="1090"/>
      <c r="M42" s="1090"/>
      <c r="N42" s="1090"/>
      <c r="O42" s="1090"/>
      <c r="P42" s="1090"/>
      <c r="Q42" s="1090"/>
      <c r="R42" s="1090"/>
      <c r="S42" s="1090"/>
      <c r="T42" s="1090"/>
      <c r="U42" s="1090"/>
      <c r="V42" s="1090"/>
      <c r="W42" s="1090"/>
      <c r="X42" s="1090"/>
      <c r="Y42" s="1090"/>
      <c r="Z42" s="1090"/>
      <c r="AA42" s="1090"/>
      <c r="AB42" s="1090"/>
      <c r="AC42" s="1090"/>
      <c r="AD42" s="1090"/>
      <c r="AE42" s="1090"/>
      <c r="AF42" s="1090"/>
      <c r="AG42" s="1090"/>
      <c r="AH42" s="1090"/>
      <c r="AI42" s="1090"/>
    </row>
    <row r="43" spans="1:35" x14ac:dyDescent="0.2">
      <c r="A43" s="1088" t="s">
        <v>1190</v>
      </c>
      <c r="B43" s="1089" t="s">
        <v>1191</v>
      </c>
      <c r="C43" s="1084"/>
      <c r="D43" s="1090"/>
      <c r="E43" s="1090"/>
      <c r="F43" s="1090"/>
      <c r="G43" s="1090"/>
      <c r="H43" s="1090"/>
      <c r="I43" s="1090"/>
      <c r="J43" s="1090"/>
      <c r="K43" s="1090"/>
      <c r="L43" s="1090"/>
      <c r="M43" s="1090"/>
      <c r="N43" s="1090"/>
      <c r="O43" s="1090"/>
      <c r="P43" s="1090"/>
      <c r="Q43" s="1090"/>
      <c r="R43" s="1090"/>
      <c r="S43" s="1090"/>
      <c r="T43" s="1090"/>
      <c r="U43" s="1090"/>
      <c r="V43" s="1090"/>
      <c r="W43" s="1090"/>
      <c r="X43" s="1090"/>
      <c r="Y43" s="1090"/>
      <c r="Z43" s="1090"/>
      <c r="AA43" s="1090"/>
      <c r="AB43" s="1090"/>
      <c r="AC43" s="1090"/>
      <c r="AD43" s="1090"/>
      <c r="AE43" s="1090"/>
      <c r="AF43" s="1090"/>
      <c r="AG43" s="1090"/>
      <c r="AH43" s="1090"/>
      <c r="AI43" s="1090"/>
    </row>
    <row r="44" spans="1:35" x14ac:dyDescent="0.2">
      <c r="A44" s="1084"/>
      <c r="B44" s="1084"/>
      <c r="C44" s="1084"/>
      <c r="D44" s="1084"/>
      <c r="E44" s="1084"/>
      <c r="F44" s="1084"/>
      <c r="G44" s="1084"/>
      <c r="H44" s="1084"/>
      <c r="I44" s="1084"/>
      <c r="J44" s="1084"/>
      <c r="K44" s="1084"/>
      <c r="L44" s="1084"/>
      <c r="M44" s="1084"/>
      <c r="N44" s="1084"/>
      <c r="O44" s="1084"/>
      <c r="P44" s="1084"/>
      <c r="Q44" s="1084"/>
      <c r="R44" s="1084"/>
      <c r="S44" s="1084"/>
      <c r="T44" s="1084"/>
      <c r="U44" s="1084"/>
      <c r="V44" s="1084"/>
      <c r="W44" s="1084"/>
      <c r="X44" s="1084"/>
      <c r="Y44" s="1084"/>
      <c r="Z44" s="1084"/>
      <c r="AA44" s="1084"/>
      <c r="AB44" s="1084"/>
      <c r="AC44" s="1084"/>
      <c r="AD44" s="1084"/>
      <c r="AE44" s="1084"/>
      <c r="AF44" s="1084"/>
      <c r="AG44" s="1084"/>
      <c r="AH44" s="1084"/>
      <c r="AI44" s="1084"/>
    </row>
    <row r="45" spans="1:35" x14ac:dyDescent="0.2">
      <c r="A45" s="1084">
        <v>3</v>
      </c>
      <c r="B45" s="1086" t="s">
        <v>1192</v>
      </c>
      <c r="C45" s="1084"/>
      <c r="D45" s="1084"/>
      <c r="E45" s="1084"/>
      <c r="F45" s="1084"/>
      <c r="G45" s="1084"/>
      <c r="H45" s="1084"/>
      <c r="I45" s="1084"/>
      <c r="J45" s="1084"/>
      <c r="K45" s="1084"/>
      <c r="L45" s="1084"/>
      <c r="M45" s="1084"/>
      <c r="N45" s="1084"/>
      <c r="O45" s="1084"/>
      <c r="P45" s="1084"/>
      <c r="Q45" s="1084"/>
      <c r="R45" s="1084"/>
      <c r="S45" s="1084"/>
      <c r="T45" s="1084"/>
      <c r="U45" s="1084"/>
      <c r="V45" s="1084"/>
      <c r="W45" s="1084"/>
      <c r="X45" s="1084"/>
      <c r="Y45" s="1084"/>
      <c r="Z45" s="1084"/>
      <c r="AA45" s="1084"/>
      <c r="AB45" s="1084"/>
      <c r="AC45" s="1084"/>
      <c r="AD45" s="1084"/>
      <c r="AE45" s="1084"/>
      <c r="AF45" s="1084"/>
      <c r="AG45" s="1084"/>
      <c r="AH45" s="1084"/>
      <c r="AI45" s="1084"/>
    </row>
    <row r="46" spans="1:35" x14ac:dyDescent="0.2">
      <c r="A46" s="1084">
        <v>3.1</v>
      </c>
      <c r="B46" s="1087" t="str">
        <f>+B25</f>
        <v>Actividades tecnicas</v>
      </c>
      <c r="C46" s="1084"/>
      <c r="D46" s="1084"/>
      <c r="E46" s="1084"/>
      <c r="F46" s="1084"/>
      <c r="G46" s="1084"/>
      <c r="H46" s="1084"/>
      <c r="I46" s="1084"/>
      <c r="J46" s="1084"/>
      <c r="K46" s="1084"/>
      <c r="L46" s="1084"/>
      <c r="M46" s="1084"/>
      <c r="N46" s="1084"/>
      <c r="O46" s="1084"/>
      <c r="P46" s="1084"/>
      <c r="Q46" s="1084"/>
      <c r="R46" s="1084"/>
      <c r="S46" s="1084"/>
      <c r="T46" s="1084"/>
      <c r="U46" s="1084"/>
      <c r="V46" s="1084"/>
      <c r="W46" s="1084"/>
      <c r="X46" s="1084"/>
      <c r="Y46" s="1084"/>
      <c r="Z46" s="1084"/>
      <c r="AA46" s="1084"/>
      <c r="AB46" s="1084"/>
      <c r="AC46" s="1084"/>
      <c r="AD46" s="1084"/>
      <c r="AE46" s="1084"/>
      <c r="AF46" s="1084"/>
      <c r="AG46" s="1084"/>
      <c r="AH46" s="1084"/>
      <c r="AI46" s="1084"/>
    </row>
    <row r="47" spans="1:35" ht="25.5" x14ac:dyDescent="0.2">
      <c r="A47" s="1091" t="s">
        <v>1193</v>
      </c>
      <c r="B47" s="1089" t="s">
        <v>1194</v>
      </c>
      <c r="C47" s="1084"/>
      <c r="D47" s="1084"/>
      <c r="E47" s="1084"/>
      <c r="F47" s="1084"/>
      <c r="G47" s="1084"/>
      <c r="H47" s="1084"/>
      <c r="I47" s="1084"/>
      <c r="J47" s="1084"/>
      <c r="K47" s="1084"/>
      <c r="L47" s="1084"/>
      <c r="M47" s="1084"/>
      <c r="N47" s="1084"/>
      <c r="O47" s="1084"/>
      <c r="P47" s="1084"/>
      <c r="Q47" s="1084"/>
      <c r="R47" s="1084"/>
      <c r="S47" s="1084"/>
      <c r="T47" s="1084"/>
      <c r="U47" s="1084"/>
      <c r="V47" s="1084"/>
      <c r="W47" s="1084"/>
      <c r="X47" s="1084"/>
      <c r="Y47" s="1084"/>
      <c r="Z47" s="1084"/>
      <c r="AA47" s="1084"/>
      <c r="AB47" s="1090"/>
      <c r="AC47" s="1090"/>
      <c r="AD47" s="1090"/>
      <c r="AE47" s="1090"/>
      <c r="AF47" s="1090"/>
      <c r="AG47" s="1090"/>
      <c r="AH47" s="1090"/>
      <c r="AI47" s="1090"/>
    </row>
    <row r="48" spans="1:35" x14ac:dyDescent="0.2">
      <c r="A48" s="1091" t="s">
        <v>1195</v>
      </c>
      <c r="B48" s="1089" t="s">
        <v>1196</v>
      </c>
      <c r="C48" s="1084"/>
      <c r="D48" s="1084"/>
      <c r="E48" s="1084"/>
      <c r="F48" s="1084"/>
      <c r="G48" s="1084"/>
      <c r="H48" s="1084"/>
      <c r="I48" s="1084"/>
      <c r="J48" s="1084"/>
      <c r="K48" s="1084"/>
      <c r="L48" s="1084"/>
      <c r="M48" s="1084"/>
      <c r="N48" s="1084"/>
      <c r="O48" s="1084"/>
      <c r="P48" s="1084"/>
      <c r="Q48" s="1084"/>
      <c r="R48" s="1084"/>
      <c r="S48" s="1084"/>
      <c r="T48" s="1084"/>
      <c r="U48" s="1084"/>
      <c r="V48" s="1084"/>
      <c r="W48" s="1084"/>
      <c r="X48" s="1084"/>
      <c r="Y48" s="1084"/>
      <c r="Z48" s="1084"/>
      <c r="AA48" s="1084"/>
      <c r="AB48" s="1084"/>
      <c r="AC48" s="1084"/>
      <c r="AD48" s="1084"/>
      <c r="AE48" s="1084"/>
      <c r="AF48" s="1090"/>
      <c r="AG48" s="1090"/>
      <c r="AH48" s="1090"/>
      <c r="AI48" s="1090"/>
    </row>
    <row r="49" spans="1:35" x14ac:dyDescent="0.2">
      <c r="A49" s="1084">
        <v>3.2</v>
      </c>
      <c r="B49" s="1087" t="str">
        <f>+B33</f>
        <v>Actividades administrativas y financieras</v>
      </c>
      <c r="C49" s="1084"/>
      <c r="D49" s="1084"/>
      <c r="E49" s="1084"/>
      <c r="F49" s="1084"/>
      <c r="G49" s="1084"/>
      <c r="H49" s="1084"/>
      <c r="I49" s="1084"/>
      <c r="J49" s="1084"/>
      <c r="K49" s="1084"/>
      <c r="L49" s="1084"/>
      <c r="M49" s="1084"/>
      <c r="N49" s="1084"/>
      <c r="O49" s="1084"/>
      <c r="P49" s="1084"/>
      <c r="Q49" s="1084"/>
      <c r="R49" s="1084"/>
      <c r="S49" s="1084"/>
      <c r="T49" s="1084"/>
      <c r="U49" s="1084"/>
      <c r="V49" s="1084"/>
      <c r="W49" s="1084"/>
      <c r="X49" s="1084"/>
      <c r="Y49" s="1084"/>
      <c r="Z49" s="1084"/>
      <c r="AA49" s="1084"/>
      <c r="AB49" s="1084"/>
      <c r="AC49" s="1084"/>
      <c r="AD49" s="1084"/>
      <c r="AE49" s="1084"/>
      <c r="AF49" s="1090"/>
      <c r="AG49" s="1090"/>
      <c r="AH49" s="1090"/>
      <c r="AI49" s="1090"/>
    </row>
    <row r="50" spans="1:35" x14ac:dyDescent="0.2">
      <c r="A50" s="1091" t="s">
        <v>1197</v>
      </c>
      <c r="B50" s="1089" t="s">
        <v>1198</v>
      </c>
      <c r="C50" s="1084"/>
      <c r="D50" s="1084"/>
      <c r="E50" s="1084"/>
      <c r="F50" s="1084"/>
      <c r="G50" s="1084"/>
      <c r="H50" s="1084"/>
      <c r="I50" s="1084"/>
      <c r="J50" s="1084"/>
      <c r="K50" s="1084"/>
      <c r="L50" s="1084"/>
      <c r="M50" s="1084"/>
      <c r="N50" s="1084"/>
      <c r="O50" s="1084"/>
      <c r="P50" s="1084"/>
      <c r="Q50" s="1084"/>
      <c r="R50" s="1084"/>
      <c r="S50" s="1084"/>
      <c r="T50" s="1084"/>
      <c r="U50" s="1084"/>
      <c r="V50" s="1084"/>
      <c r="W50" s="1084"/>
      <c r="X50" s="1084"/>
      <c r="Y50" s="1084"/>
      <c r="Z50" s="1084"/>
      <c r="AA50" s="1084"/>
      <c r="AB50" s="1084"/>
      <c r="AC50" s="1084"/>
      <c r="AD50" s="1084"/>
      <c r="AE50" s="1084"/>
      <c r="AF50" s="1090"/>
      <c r="AG50" s="1090"/>
      <c r="AH50" s="1090"/>
      <c r="AI50" s="1090"/>
    </row>
    <row r="51" spans="1:35" x14ac:dyDescent="0.2">
      <c r="A51" s="1091" t="s">
        <v>1199</v>
      </c>
      <c r="B51" s="1089" t="s">
        <v>1200</v>
      </c>
      <c r="C51" s="1084"/>
      <c r="D51" s="1084"/>
      <c r="E51" s="1084"/>
      <c r="F51" s="1084"/>
      <c r="G51" s="1084"/>
      <c r="H51" s="1084"/>
      <c r="I51" s="1084"/>
      <c r="J51" s="1084"/>
      <c r="K51" s="1084"/>
      <c r="L51" s="1084"/>
      <c r="M51" s="1084"/>
      <c r="N51" s="1084"/>
      <c r="O51" s="1084"/>
      <c r="P51" s="1084"/>
      <c r="Q51" s="1084"/>
      <c r="R51" s="1084"/>
      <c r="S51" s="1084"/>
      <c r="T51" s="1084"/>
      <c r="U51" s="1084"/>
      <c r="V51" s="1084"/>
      <c r="W51" s="1084"/>
      <c r="X51" s="1084"/>
      <c r="Y51" s="1084"/>
      <c r="Z51" s="1084"/>
      <c r="AA51" s="1084"/>
      <c r="AB51" s="1084"/>
      <c r="AC51" s="1084"/>
      <c r="AD51" s="1084"/>
      <c r="AE51" s="1084"/>
      <c r="AF51" s="1090"/>
      <c r="AG51" s="1090"/>
      <c r="AH51" s="1090"/>
      <c r="AI51" s="1090"/>
    </row>
    <row r="52" spans="1:35" ht="25.5" x14ac:dyDescent="0.2">
      <c r="A52" s="1091" t="s">
        <v>1201</v>
      </c>
      <c r="B52" s="1089" t="s">
        <v>1202</v>
      </c>
      <c r="C52" s="1084"/>
      <c r="D52" s="1084"/>
      <c r="E52" s="1084"/>
      <c r="F52" s="1084"/>
      <c r="G52" s="1084"/>
      <c r="H52" s="1084"/>
      <c r="I52" s="1084"/>
      <c r="J52" s="1084"/>
      <c r="K52" s="1084"/>
      <c r="L52" s="1084"/>
      <c r="M52" s="1084"/>
      <c r="N52" s="1084"/>
      <c r="O52" s="1084"/>
      <c r="P52" s="1084"/>
      <c r="Q52" s="1084"/>
      <c r="R52" s="1084"/>
      <c r="S52" s="1084"/>
      <c r="T52" s="1084"/>
      <c r="U52" s="1084"/>
      <c r="V52" s="1084"/>
      <c r="W52" s="1084"/>
      <c r="X52" s="1084"/>
      <c r="Y52" s="1084"/>
      <c r="Z52" s="1084"/>
      <c r="AA52" s="1084"/>
      <c r="AB52" s="1090"/>
      <c r="AC52" s="1090"/>
      <c r="AD52" s="1090"/>
      <c r="AE52" s="1090"/>
      <c r="AF52" s="1090"/>
      <c r="AG52" s="1090"/>
      <c r="AH52" s="1090"/>
      <c r="AI52" s="1090"/>
    </row>
    <row r="53" spans="1:35" ht="25.5" x14ac:dyDescent="0.2">
      <c r="A53" s="1091" t="s">
        <v>1203</v>
      </c>
      <c r="B53" s="1089" t="s">
        <v>1209</v>
      </c>
      <c r="C53" s="1084"/>
      <c r="D53" s="1084"/>
      <c r="E53" s="1084"/>
      <c r="F53" s="1084"/>
      <c r="G53" s="1084"/>
      <c r="H53" s="1084"/>
      <c r="I53" s="1084"/>
      <c r="J53" s="1084"/>
      <c r="K53" s="1084"/>
      <c r="L53" s="1084"/>
      <c r="M53" s="1084"/>
      <c r="N53" s="1084"/>
      <c r="O53" s="1084"/>
      <c r="P53" s="1084"/>
      <c r="Q53" s="1084"/>
      <c r="R53" s="1084"/>
      <c r="S53" s="1084"/>
      <c r="T53" s="1084"/>
      <c r="U53" s="1084"/>
      <c r="V53" s="1084"/>
      <c r="W53" s="1084"/>
      <c r="X53" s="1084"/>
      <c r="Y53" s="1084"/>
      <c r="Z53" s="1084"/>
      <c r="AA53" s="1084"/>
      <c r="AB53" s="1090"/>
      <c r="AC53" s="1090"/>
      <c r="AD53" s="1090"/>
      <c r="AE53" s="1090"/>
      <c r="AF53" s="1090"/>
      <c r="AG53" s="1090"/>
      <c r="AH53" s="1090"/>
      <c r="AI53" s="1090"/>
    </row>
    <row r="54" spans="1:35" x14ac:dyDescent="0.2">
      <c r="A54" s="1084">
        <v>3.3</v>
      </c>
      <c r="B54" s="1087" t="str">
        <f>+B21</f>
        <v>Actividades de control</v>
      </c>
      <c r="C54" s="1084"/>
      <c r="D54" s="1084"/>
      <c r="E54" s="1084"/>
      <c r="F54" s="1084"/>
      <c r="G54" s="1084"/>
      <c r="H54" s="1084"/>
      <c r="I54" s="1084"/>
      <c r="J54" s="1084"/>
      <c r="K54" s="1084"/>
      <c r="L54" s="1084"/>
      <c r="M54" s="1084"/>
      <c r="N54" s="1084"/>
      <c r="O54" s="1084"/>
      <c r="P54" s="1084"/>
      <c r="Q54" s="1084"/>
      <c r="R54" s="1084"/>
      <c r="S54" s="1084"/>
      <c r="T54" s="1084"/>
      <c r="U54" s="1084"/>
      <c r="V54" s="1084"/>
      <c r="W54" s="1084"/>
      <c r="X54" s="1084"/>
      <c r="Y54" s="1084"/>
      <c r="Z54" s="1084"/>
      <c r="AA54" s="1084"/>
      <c r="AB54" s="1084"/>
      <c r="AC54" s="1084"/>
      <c r="AD54" s="1084"/>
      <c r="AE54" s="1084"/>
      <c r="AF54" s="1084"/>
      <c r="AG54" s="1084"/>
      <c r="AH54" s="1084"/>
      <c r="AI54" s="1084"/>
    </row>
    <row r="55" spans="1:35" x14ac:dyDescent="0.2">
      <c r="A55" s="1091" t="s">
        <v>1204</v>
      </c>
      <c r="B55" s="1089" t="s">
        <v>1205</v>
      </c>
      <c r="C55" s="1084"/>
      <c r="D55" s="1090"/>
      <c r="E55" s="1090"/>
      <c r="F55" s="1090"/>
      <c r="G55" s="1090"/>
      <c r="H55" s="1090"/>
      <c r="I55" s="1090"/>
      <c r="J55" s="1090"/>
      <c r="K55" s="1090"/>
      <c r="L55" s="1090"/>
      <c r="M55" s="1090"/>
      <c r="N55" s="1090"/>
      <c r="O55" s="1090"/>
      <c r="P55" s="1090"/>
      <c r="Q55" s="1090"/>
      <c r="R55" s="1090"/>
      <c r="S55" s="1090"/>
      <c r="T55" s="1090"/>
      <c r="U55" s="1090"/>
      <c r="V55" s="1090"/>
      <c r="W55" s="1090"/>
      <c r="X55" s="1090"/>
      <c r="Y55" s="1090"/>
      <c r="Z55" s="1090"/>
      <c r="AA55" s="1090"/>
      <c r="AB55" s="1090"/>
      <c r="AC55" s="1090"/>
      <c r="AD55" s="1090"/>
      <c r="AE55" s="1090"/>
      <c r="AF55" s="1084"/>
      <c r="AG55" s="1084"/>
      <c r="AH55" s="1084"/>
      <c r="AI55" s="1084"/>
    </row>
    <row r="56" spans="1:35" x14ac:dyDescent="0.2">
      <c r="A56" s="1091" t="s">
        <v>1206</v>
      </c>
      <c r="B56" s="1089" t="s">
        <v>1207</v>
      </c>
      <c r="C56" s="1084"/>
      <c r="D56" s="1084"/>
      <c r="E56" s="1084"/>
      <c r="F56" s="1084"/>
      <c r="G56" s="1084"/>
      <c r="H56" s="1084"/>
      <c r="I56" s="1084"/>
      <c r="J56" s="1084"/>
      <c r="K56" s="1084"/>
      <c r="L56" s="1084"/>
      <c r="M56" s="1084"/>
      <c r="N56" s="1084"/>
      <c r="O56" s="1084"/>
      <c r="P56" s="1084"/>
      <c r="Q56" s="1084"/>
      <c r="R56" s="1084"/>
      <c r="S56" s="1084"/>
      <c r="T56" s="1084"/>
      <c r="U56" s="1084"/>
      <c r="V56" s="1084"/>
      <c r="W56" s="1084"/>
      <c r="X56" s="1084"/>
      <c r="Y56" s="1084"/>
      <c r="Z56" s="1084"/>
      <c r="AA56" s="1084"/>
      <c r="AB56" s="1084"/>
      <c r="AC56" s="1084"/>
      <c r="AD56" s="1084"/>
      <c r="AE56" s="1084"/>
      <c r="AF56" s="1090"/>
      <c r="AG56" s="1090"/>
      <c r="AH56" s="1090"/>
      <c r="AI56" s="1090"/>
    </row>
    <row r="57" spans="1:35" x14ac:dyDescent="0.2">
      <c r="B57" s="1092"/>
    </row>
  </sheetData>
  <mergeCells count="14">
    <mergeCell ref="T6:W6"/>
    <mergeCell ref="P6:S6"/>
    <mergeCell ref="X6:AA6"/>
    <mergeCell ref="AB6:AE6"/>
    <mergeCell ref="AF6:AI6"/>
    <mergeCell ref="D6:G6"/>
    <mergeCell ref="H6:K6"/>
    <mergeCell ref="L6:O6"/>
    <mergeCell ref="A1:C1"/>
    <mergeCell ref="A2:C3"/>
    <mergeCell ref="A4:C4"/>
    <mergeCell ref="A6:A7"/>
    <mergeCell ref="B6:B7"/>
    <mergeCell ref="C6:C7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125" scale="90" orientation="portrait" r:id="rId1"/>
  <colBreaks count="4" manualBreakCount="4">
    <brk id="11" max="55" man="1"/>
    <brk id="19" max="55" man="1"/>
    <brk id="27" max="55" man="1"/>
    <brk id="35" min="5" max="5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0.39997558519241921"/>
  </sheetPr>
  <dimension ref="A1:I37"/>
  <sheetViews>
    <sheetView view="pageBreakPreview" topLeftCell="A24" zoomScale="90" zoomScaleNormal="100" zoomScaleSheetLayoutView="90" workbookViewId="0">
      <selection activeCell="D31" sqref="D31"/>
    </sheetView>
  </sheetViews>
  <sheetFormatPr baseColWidth="10" defaultRowHeight="15" x14ac:dyDescent="0.25"/>
  <cols>
    <col min="1" max="1" width="17.5703125" customWidth="1"/>
    <col min="2" max="2" width="39.28515625" customWidth="1"/>
    <col min="3" max="3" width="13" customWidth="1"/>
    <col min="4" max="5" width="17.5703125" customWidth="1"/>
    <col min="6" max="6" width="19.5703125" customWidth="1"/>
    <col min="7" max="7" width="20.7109375" customWidth="1"/>
  </cols>
  <sheetData>
    <row r="1" spans="1:9" x14ac:dyDescent="0.25">
      <c r="A1" s="380"/>
      <c r="B1" s="381"/>
      <c r="C1" s="381"/>
      <c r="D1" s="381"/>
      <c r="E1" s="381"/>
      <c r="F1" s="381"/>
      <c r="G1" s="382"/>
    </row>
    <row r="2" spans="1:9" ht="18.75" x14ac:dyDescent="0.25">
      <c r="A2" s="1356" t="s">
        <v>0</v>
      </c>
      <c r="B2" s="1357"/>
      <c r="C2" s="1357"/>
      <c r="D2" s="1357"/>
      <c r="E2" s="1357"/>
      <c r="F2" s="1357"/>
      <c r="G2" s="1358"/>
    </row>
    <row r="3" spans="1:9" ht="18.75" x14ac:dyDescent="0.25">
      <c r="A3" s="1356" t="s">
        <v>1</v>
      </c>
      <c r="B3" s="1357"/>
      <c r="C3" s="1357"/>
      <c r="D3" s="1357"/>
      <c r="E3" s="1357"/>
      <c r="F3" s="1357"/>
      <c r="G3" s="1358"/>
    </row>
    <row r="4" spans="1:9" ht="18.75" x14ac:dyDescent="0.25">
      <c r="A4" s="1356" t="str">
        <f>+'Presup '!B3</f>
        <v>ALCALDÍA MUNICIPAL DE SAN LORENZO</v>
      </c>
      <c r="B4" s="1357"/>
      <c r="C4" s="1357"/>
      <c r="D4" s="1357"/>
      <c r="E4" s="1357"/>
      <c r="F4" s="1357"/>
      <c r="G4" s="1358"/>
    </row>
    <row r="5" spans="1:9" x14ac:dyDescent="0.25">
      <c r="A5" s="399"/>
      <c r="B5" s="679"/>
      <c r="C5" s="679"/>
      <c r="D5" s="679"/>
      <c r="E5" s="679"/>
      <c r="F5" s="400"/>
      <c r="G5" s="401"/>
    </row>
    <row r="6" spans="1:9" x14ac:dyDescent="0.25">
      <c r="A6" s="1356" t="str">
        <f>+'Presup '!B5</f>
        <v>MEJORAMIENTO VÍA LA LAGUNA, SALINAS, LOS OLIVOS</v>
      </c>
      <c r="B6" s="1357"/>
      <c r="C6" s="1357"/>
      <c r="D6" s="1357"/>
      <c r="E6" s="1357"/>
      <c r="F6" s="1357"/>
      <c r="G6" s="1358"/>
    </row>
    <row r="7" spans="1:9" x14ac:dyDescent="0.25">
      <c r="A7" s="1356"/>
      <c r="B7" s="1357"/>
      <c r="C7" s="1357"/>
      <c r="D7" s="1357"/>
      <c r="E7" s="1357"/>
      <c r="F7" s="1357"/>
      <c r="G7" s="1358"/>
    </row>
    <row r="8" spans="1:9" ht="15.75" x14ac:dyDescent="0.25">
      <c r="A8" s="1359" t="s">
        <v>644</v>
      </c>
      <c r="B8" s="1360"/>
      <c r="C8" s="1360"/>
      <c r="D8" s="1361" t="str">
        <f>+A6</f>
        <v>MEJORAMIENTO VÍA LA LAGUNA, SALINAS, LOS OLIVOS</v>
      </c>
      <c r="E8" s="1362"/>
      <c r="F8" s="1362"/>
      <c r="G8" s="1363"/>
    </row>
    <row r="9" spans="1:9" ht="15.75" thickBot="1" x14ac:dyDescent="0.3">
      <c r="A9" s="1353"/>
      <c r="B9" s="1354"/>
      <c r="C9" s="1354"/>
      <c r="D9" s="1354"/>
      <c r="E9" s="1354"/>
      <c r="F9" s="1354"/>
      <c r="G9" s="1355"/>
    </row>
    <row r="10" spans="1:9" ht="15.75" thickBot="1" x14ac:dyDescent="0.3">
      <c r="A10" s="1344"/>
      <c r="B10" s="1345"/>
      <c r="C10" s="1345"/>
      <c r="D10" s="1345"/>
      <c r="E10" s="1345"/>
      <c r="F10" s="1345"/>
      <c r="G10" s="1346"/>
    </row>
    <row r="11" spans="1:9" ht="42.75" x14ac:dyDescent="0.25">
      <c r="A11" s="383" t="s">
        <v>645</v>
      </c>
      <c r="B11" s="384" t="s">
        <v>646</v>
      </c>
      <c r="C11" s="384" t="s">
        <v>252</v>
      </c>
      <c r="D11" s="385" t="s">
        <v>647</v>
      </c>
      <c r="E11" s="386" t="s">
        <v>648</v>
      </c>
      <c r="F11" s="386" t="s">
        <v>649</v>
      </c>
      <c r="G11" s="387" t="s">
        <v>650</v>
      </c>
    </row>
    <row r="12" spans="1:9" x14ac:dyDescent="0.25">
      <c r="A12" s="681" t="s">
        <v>651</v>
      </c>
      <c r="B12" s="1347" t="s">
        <v>652</v>
      </c>
      <c r="C12" s="1348"/>
      <c r="D12" s="1348"/>
      <c r="E12" s="1348"/>
      <c r="F12" s="1348"/>
      <c r="G12" s="1349"/>
    </row>
    <row r="13" spans="1:9" x14ac:dyDescent="0.25">
      <c r="A13" s="682" t="s">
        <v>653</v>
      </c>
      <c r="B13" s="670" t="s">
        <v>654</v>
      </c>
      <c r="C13" s="388" t="s">
        <v>655</v>
      </c>
      <c r="D13" s="389">
        <f>+cant!J1071-150</f>
        <v>50</v>
      </c>
      <c r="E13" s="390">
        <f>+'A21'!I51</f>
        <v>9844</v>
      </c>
      <c r="F13" s="391">
        <v>1</v>
      </c>
      <c r="G13" s="683">
        <f>E13*D13*F13</f>
        <v>492200</v>
      </c>
    </row>
    <row r="14" spans="1:9" ht="26.25" x14ac:dyDescent="0.25">
      <c r="A14" s="682" t="s">
        <v>656</v>
      </c>
      <c r="B14" s="671" t="s">
        <v>657</v>
      </c>
      <c r="C14" s="388" t="s">
        <v>84</v>
      </c>
      <c r="D14" s="556">
        <v>2</v>
      </c>
      <c r="E14" s="390">
        <f>+'A22'!I51</f>
        <v>203632</v>
      </c>
      <c r="F14" s="391">
        <v>1</v>
      </c>
      <c r="G14" s="683">
        <f>E14*D14*F14</f>
        <v>407264</v>
      </c>
      <c r="I14" s="547"/>
    </row>
    <row r="15" spans="1:9" ht="26.25" x14ac:dyDescent="0.25">
      <c r="A15" s="682" t="s">
        <v>658</v>
      </c>
      <c r="B15" s="671" t="s">
        <v>659</v>
      </c>
      <c r="C15" s="388" t="s">
        <v>84</v>
      </c>
      <c r="D15" s="556">
        <v>2</v>
      </c>
      <c r="E15" s="390">
        <f>+'A23'!I51</f>
        <v>203632</v>
      </c>
      <c r="F15" s="391">
        <v>1</v>
      </c>
      <c r="G15" s="683">
        <f t="shared" ref="G15:G23" si="0">E15*D15*F15</f>
        <v>407264</v>
      </c>
    </row>
    <row r="16" spans="1:9" ht="26.25" x14ac:dyDescent="0.25">
      <c r="A16" s="682" t="s">
        <v>660</v>
      </c>
      <c r="B16" s="671" t="s">
        <v>661</v>
      </c>
      <c r="C16" s="388" t="s">
        <v>84</v>
      </c>
      <c r="D16" s="556">
        <v>2</v>
      </c>
      <c r="E16" s="390">
        <f>+'A24'!I51</f>
        <v>203632</v>
      </c>
      <c r="F16" s="391">
        <v>1</v>
      </c>
      <c r="G16" s="683">
        <f t="shared" si="0"/>
        <v>407264</v>
      </c>
    </row>
    <row r="17" spans="1:7" ht="26.25" x14ac:dyDescent="0.25">
      <c r="A17" s="682" t="s">
        <v>662</v>
      </c>
      <c r="B17" s="671" t="s">
        <v>663</v>
      </c>
      <c r="C17" s="388" t="s">
        <v>84</v>
      </c>
      <c r="D17" s="556">
        <v>2</v>
      </c>
      <c r="E17" s="390">
        <f>+'A25'!I51</f>
        <v>244347</v>
      </c>
      <c r="F17" s="391">
        <v>1</v>
      </c>
      <c r="G17" s="683">
        <f t="shared" si="0"/>
        <v>488694</v>
      </c>
    </row>
    <row r="18" spans="1:7" x14ac:dyDescent="0.25">
      <c r="A18" s="682" t="s">
        <v>664</v>
      </c>
      <c r="B18" s="672" t="s">
        <v>665</v>
      </c>
      <c r="C18" s="392" t="s">
        <v>84</v>
      </c>
      <c r="D18" s="393">
        <v>1</v>
      </c>
      <c r="E18" s="394">
        <f>+'A26'!I51</f>
        <v>1100346</v>
      </c>
      <c r="F18" s="391">
        <v>1</v>
      </c>
      <c r="G18" s="683">
        <f t="shared" si="0"/>
        <v>1100346</v>
      </c>
    </row>
    <row r="19" spans="1:7" x14ac:dyDescent="0.25">
      <c r="A19" s="682" t="s">
        <v>666</v>
      </c>
      <c r="B19" s="672" t="s">
        <v>667</v>
      </c>
      <c r="C19" s="392" t="s">
        <v>84</v>
      </c>
      <c r="D19" s="393">
        <v>10</v>
      </c>
      <c r="E19" s="394">
        <f>+'A27'!I51</f>
        <v>55173</v>
      </c>
      <c r="F19" s="391">
        <v>1</v>
      </c>
      <c r="G19" s="683">
        <f t="shared" si="0"/>
        <v>551730</v>
      </c>
    </row>
    <row r="20" spans="1:7" ht="26.25" x14ac:dyDescent="0.25">
      <c r="A20" s="682" t="s">
        <v>668</v>
      </c>
      <c r="B20" s="672" t="s">
        <v>669</v>
      </c>
      <c r="C20" s="392" t="s">
        <v>84</v>
      </c>
      <c r="D20" s="393">
        <v>6</v>
      </c>
      <c r="E20" s="394">
        <f>+'A28'!I51</f>
        <v>244347</v>
      </c>
      <c r="F20" s="391">
        <v>1</v>
      </c>
      <c r="G20" s="683">
        <f t="shared" si="0"/>
        <v>1466082</v>
      </c>
    </row>
    <row r="21" spans="1:7" x14ac:dyDescent="0.25">
      <c r="A21" s="682" t="s">
        <v>670</v>
      </c>
      <c r="B21" s="672" t="s">
        <v>671</v>
      </c>
      <c r="C21" s="392" t="s">
        <v>84</v>
      </c>
      <c r="D21" s="555">
        <f>+D17</f>
        <v>2</v>
      </c>
      <c r="E21" s="394">
        <f>+'A29'!I51</f>
        <v>50305</v>
      </c>
      <c r="F21" s="391">
        <v>1</v>
      </c>
      <c r="G21" s="683">
        <f t="shared" si="0"/>
        <v>100610</v>
      </c>
    </row>
    <row r="22" spans="1:7" x14ac:dyDescent="0.25">
      <c r="A22" s="682" t="s">
        <v>672</v>
      </c>
      <c r="B22" s="673" t="s">
        <v>673</v>
      </c>
      <c r="C22" s="392" t="s">
        <v>84</v>
      </c>
      <c r="D22" s="393">
        <v>4</v>
      </c>
      <c r="E22" s="394">
        <f>+'A210'!I51</f>
        <v>43673</v>
      </c>
      <c r="F22" s="391">
        <v>1</v>
      </c>
      <c r="G22" s="683">
        <f t="shared" si="0"/>
        <v>174692</v>
      </c>
    </row>
    <row r="23" spans="1:7" x14ac:dyDescent="0.25">
      <c r="A23" s="682" t="s">
        <v>674</v>
      </c>
      <c r="B23" s="674" t="s">
        <v>675</v>
      </c>
      <c r="C23" s="392" t="s">
        <v>15</v>
      </c>
      <c r="D23" s="621">
        <f>+cant!E15/10</f>
        <v>2020</v>
      </c>
      <c r="E23" s="394">
        <f>+'A211'!I51</f>
        <v>403</v>
      </c>
      <c r="F23" s="391">
        <v>1</v>
      </c>
      <c r="G23" s="683">
        <f t="shared" si="0"/>
        <v>814060</v>
      </c>
    </row>
    <row r="24" spans="1:7" ht="15.75" thickBot="1" x14ac:dyDescent="0.3">
      <c r="A24" s="682"/>
      <c r="B24" s="395"/>
      <c r="C24" s="392"/>
      <c r="D24" s="393"/>
      <c r="E24" s="394"/>
      <c r="F24" s="391"/>
      <c r="G24" s="683"/>
    </row>
    <row r="25" spans="1:7" ht="42.75" x14ac:dyDescent="0.25">
      <c r="A25" s="684"/>
      <c r="B25" s="384" t="s">
        <v>676</v>
      </c>
      <c r="C25" s="384" t="s">
        <v>252</v>
      </c>
      <c r="D25" s="384" t="s">
        <v>677</v>
      </c>
      <c r="E25" s="384" t="s">
        <v>678</v>
      </c>
      <c r="F25" s="384" t="s">
        <v>679</v>
      </c>
      <c r="G25" s="387" t="s">
        <v>680</v>
      </c>
    </row>
    <row r="26" spans="1:7" x14ac:dyDescent="0.25">
      <c r="A26" s="682" t="s">
        <v>681</v>
      </c>
      <c r="B26" s="395" t="s">
        <v>682</v>
      </c>
      <c r="C26" s="392" t="s">
        <v>683</v>
      </c>
      <c r="D26" s="555">
        <f>+D14</f>
        <v>2</v>
      </c>
      <c r="E26" s="394">
        <f>MdeObra!C24*1.65*30</f>
        <v>1538856</v>
      </c>
      <c r="F26" s="391">
        <v>2</v>
      </c>
      <c r="G26" s="683">
        <f>E26*D26*F26</f>
        <v>6155424</v>
      </c>
    </row>
    <row r="27" spans="1:7" x14ac:dyDescent="0.25">
      <c r="A27" s="685"/>
      <c r="B27" s="396"/>
      <c r="C27" s="397"/>
      <c r="D27" s="398"/>
      <c r="E27" s="398"/>
      <c r="F27" s="398"/>
      <c r="G27" s="683"/>
    </row>
    <row r="28" spans="1:7" ht="16.5" thickBot="1" x14ac:dyDescent="0.3">
      <c r="A28" s="1350" t="s">
        <v>684</v>
      </c>
      <c r="B28" s="1351"/>
      <c r="C28" s="1351"/>
      <c r="D28" s="1351"/>
      <c r="E28" s="1351"/>
      <c r="F28" s="1352"/>
      <c r="G28" s="686">
        <f>SUM(G13:G26)</f>
        <v>12565630</v>
      </c>
    </row>
    <row r="32" spans="1:7" x14ac:dyDescent="0.25">
      <c r="A32" s="448"/>
      <c r="B32" s="448"/>
    </row>
    <row r="33" spans="1:7" hidden="1" x14ac:dyDescent="0.25">
      <c r="E33" s="448"/>
      <c r="F33" s="448"/>
      <c r="G33" s="448"/>
    </row>
    <row r="34" spans="1:7" ht="15.75" hidden="1" x14ac:dyDescent="0.25">
      <c r="E34" s="1343" t="str">
        <f>+'Presup '!F118</f>
        <v xml:space="preserve">ING. MIGUEL ANTONIO VILLACRES MARTINEZ. </v>
      </c>
      <c r="F34" s="1343"/>
      <c r="G34" s="1343"/>
    </row>
    <row r="35" spans="1:7" ht="15.75" hidden="1" x14ac:dyDescent="0.25">
      <c r="E35" s="1343" t="str">
        <f>+'Presup '!F119</f>
        <v>M.P. 52202-090508 NRÑ</v>
      </c>
      <c r="F35" s="1343"/>
      <c r="G35" s="1343"/>
    </row>
    <row r="36" spans="1:7" x14ac:dyDescent="0.25">
      <c r="A36" s="744" t="str">
        <f>+'Presup '!F123</f>
        <v>ING. JHONATAN STIVEN PANTOJA MORILLO</v>
      </c>
    </row>
    <row r="37" spans="1:7" x14ac:dyDescent="0.25">
      <c r="A37" s="744" t="str">
        <f>+'Presup '!F124</f>
        <v xml:space="preserve">M.P. 111037-0520109 NRÑ </v>
      </c>
    </row>
  </sheetData>
  <mergeCells count="12">
    <mergeCell ref="A9:G9"/>
    <mergeCell ref="A2:G2"/>
    <mergeCell ref="A3:G3"/>
    <mergeCell ref="A4:G4"/>
    <mergeCell ref="A6:G7"/>
    <mergeCell ref="A8:C8"/>
    <mergeCell ref="D8:G8"/>
    <mergeCell ref="E34:G34"/>
    <mergeCell ref="E35:G35"/>
    <mergeCell ref="A10:G10"/>
    <mergeCell ref="B12:G12"/>
    <mergeCell ref="A28:F28"/>
  </mergeCells>
  <hyperlinks>
    <hyperlink ref="E13" location="PMT!A1" display="PMT!A1"/>
    <hyperlink ref="B13" location="'A21'!Área_de_impresión" display="Aislamiento en polisombra"/>
    <hyperlink ref="B14" location="'A22'!Área_de_impresión" display="Señales preventivas (SP) manual de señalización de transito cap. 4 y 5 móvil"/>
    <hyperlink ref="B15" location="'A23'!Área_de_impresión" display="Señales reglamentarias (SR) manual de señalización de transito cap. 4 y 5 móvil"/>
    <hyperlink ref="B16" location="'A24'!Área_de_impresión" display="Señales Informativas (SI) manual de señalización de transito cap. 4 y 5 móvil"/>
    <hyperlink ref="B17" location="'A25'!Área_de_impresión" display="Barricadas metálica, manual de señalización de transito cap. 4"/>
    <hyperlink ref="B18" location="'A26'!Área_de_impresión" display="Valla informativa "/>
    <hyperlink ref="B19" location="'A27'!Área_de_impresión" display="Cono anaranjado en material plástico"/>
    <hyperlink ref="B20" location="'A28'!Área_de_impresión" display="Barreras plásticas flexibles (Maletines) Altura 60cm x Largo 70cm x Ancho 40cm"/>
    <hyperlink ref="B21" location="'A29'!Área_de_impresión" display="Paletas pare - siga."/>
    <hyperlink ref="B22" location="'A210'!Área_de_impresión" display="Señalizador (colombina), h= 1,3m "/>
    <hyperlink ref="B23" location="'A211'!Área_de_impresión" display="Cinta reflectiva de alta intensidad,"/>
  </hyperlinks>
  <printOptions horizontalCentered="1" verticalCentered="1"/>
  <pageMargins left="0.23622047244094491" right="0.23622047244094491" top="0.74803149606299213" bottom="0.74803149606299213" header="0.31496062992125984" footer="0.31496062992125984"/>
  <pageSetup paperSize="125" scale="75" orientation="landscape" r:id="rId1"/>
  <colBreaks count="1" manualBreakCount="1">
    <brk id="7" max="1048575" man="1"/>
  </colBreaks>
  <drawing r:id="rId2"/>
  <legacyDrawing r:id="rId3"/>
  <legacyDrawingHF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120"/>
  <sheetViews>
    <sheetView view="pageBreakPreview" topLeftCell="A98" zoomScaleNormal="100" zoomScaleSheetLayoutView="100" workbookViewId="0">
      <selection activeCell="C59" sqref="C59"/>
    </sheetView>
  </sheetViews>
  <sheetFormatPr baseColWidth="10" defaultRowHeight="12.75" x14ac:dyDescent="0.2"/>
  <cols>
    <col min="1" max="1" width="64.7109375" style="139" customWidth="1"/>
    <col min="2" max="2" width="14.42578125" style="139" customWidth="1"/>
    <col min="3" max="3" width="14.42578125" style="745" customWidth="1"/>
    <col min="4" max="4" width="14.42578125" style="139" customWidth="1"/>
    <col min="5" max="5" width="3" style="139" customWidth="1"/>
    <col min="6" max="6" width="11.42578125" style="146"/>
    <col min="7" max="7" width="0" style="139" hidden="1" customWidth="1"/>
    <col min="8" max="8" width="11.42578125" style="146"/>
    <col min="9" max="9" width="7.5703125" style="139" customWidth="1"/>
    <col min="10" max="10" width="17.7109375" style="139" bestFit="1" customWidth="1"/>
    <col min="11" max="257" width="11.42578125" style="139"/>
    <col min="258" max="258" width="56.42578125" style="139" customWidth="1"/>
    <col min="259" max="262" width="11.42578125" style="139"/>
    <col min="263" max="263" width="0" style="139" hidden="1" customWidth="1"/>
    <col min="264" max="513" width="11.42578125" style="139"/>
    <col min="514" max="514" width="56.42578125" style="139" customWidth="1"/>
    <col min="515" max="518" width="11.42578125" style="139"/>
    <col min="519" max="519" width="0" style="139" hidden="1" customWidth="1"/>
    <col min="520" max="769" width="11.42578125" style="139"/>
    <col min="770" max="770" width="56.42578125" style="139" customWidth="1"/>
    <col min="771" max="774" width="11.42578125" style="139"/>
    <col min="775" max="775" width="0" style="139" hidden="1" customWidth="1"/>
    <col min="776" max="1025" width="11.42578125" style="139"/>
    <col min="1026" max="1026" width="56.42578125" style="139" customWidth="1"/>
    <col min="1027" max="1030" width="11.42578125" style="139"/>
    <col min="1031" max="1031" width="0" style="139" hidden="1" customWidth="1"/>
    <col min="1032" max="1281" width="11.42578125" style="139"/>
    <col min="1282" max="1282" width="56.42578125" style="139" customWidth="1"/>
    <col min="1283" max="1286" width="11.42578125" style="139"/>
    <col min="1287" max="1287" width="0" style="139" hidden="1" customWidth="1"/>
    <col min="1288" max="1537" width="11.42578125" style="139"/>
    <col min="1538" max="1538" width="56.42578125" style="139" customWidth="1"/>
    <col min="1539" max="1542" width="11.42578125" style="139"/>
    <col min="1543" max="1543" width="0" style="139" hidden="1" customWidth="1"/>
    <col min="1544" max="1793" width="11.42578125" style="139"/>
    <col min="1794" max="1794" width="56.42578125" style="139" customWidth="1"/>
    <col min="1795" max="1798" width="11.42578125" style="139"/>
    <col min="1799" max="1799" width="0" style="139" hidden="1" customWidth="1"/>
    <col min="1800" max="2049" width="11.42578125" style="139"/>
    <col min="2050" max="2050" width="56.42578125" style="139" customWidth="1"/>
    <col min="2051" max="2054" width="11.42578125" style="139"/>
    <col min="2055" max="2055" width="0" style="139" hidden="1" customWidth="1"/>
    <col min="2056" max="2305" width="11.42578125" style="139"/>
    <col min="2306" max="2306" width="56.42578125" style="139" customWidth="1"/>
    <col min="2307" max="2310" width="11.42578125" style="139"/>
    <col min="2311" max="2311" width="0" style="139" hidden="1" customWidth="1"/>
    <col min="2312" max="2561" width="11.42578125" style="139"/>
    <col min="2562" max="2562" width="56.42578125" style="139" customWidth="1"/>
    <col min="2563" max="2566" width="11.42578125" style="139"/>
    <col min="2567" max="2567" width="0" style="139" hidden="1" customWidth="1"/>
    <col min="2568" max="2817" width="11.42578125" style="139"/>
    <col min="2818" max="2818" width="56.42578125" style="139" customWidth="1"/>
    <col min="2819" max="2822" width="11.42578125" style="139"/>
    <col min="2823" max="2823" width="0" style="139" hidden="1" customWidth="1"/>
    <col min="2824" max="3073" width="11.42578125" style="139"/>
    <col min="3074" max="3074" width="56.42578125" style="139" customWidth="1"/>
    <col min="3075" max="3078" width="11.42578125" style="139"/>
    <col min="3079" max="3079" width="0" style="139" hidden="1" customWidth="1"/>
    <col min="3080" max="3329" width="11.42578125" style="139"/>
    <col min="3330" max="3330" width="56.42578125" style="139" customWidth="1"/>
    <col min="3331" max="3334" width="11.42578125" style="139"/>
    <col min="3335" max="3335" width="0" style="139" hidden="1" customWidth="1"/>
    <col min="3336" max="3585" width="11.42578125" style="139"/>
    <col min="3586" max="3586" width="56.42578125" style="139" customWidth="1"/>
    <col min="3587" max="3590" width="11.42578125" style="139"/>
    <col min="3591" max="3591" width="0" style="139" hidden="1" customWidth="1"/>
    <col min="3592" max="3841" width="11.42578125" style="139"/>
    <col min="3842" max="3842" width="56.42578125" style="139" customWidth="1"/>
    <col min="3843" max="3846" width="11.42578125" style="139"/>
    <col min="3847" max="3847" width="0" style="139" hidden="1" customWidth="1"/>
    <col min="3848" max="4097" width="11.42578125" style="139"/>
    <col min="4098" max="4098" width="56.42578125" style="139" customWidth="1"/>
    <col min="4099" max="4102" width="11.42578125" style="139"/>
    <col min="4103" max="4103" width="0" style="139" hidden="1" customWidth="1"/>
    <col min="4104" max="4353" width="11.42578125" style="139"/>
    <col min="4354" max="4354" width="56.42578125" style="139" customWidth="1"/>
    <col min="4355" max="4358" width="11.42578125" style="139"/>
    <col min="4359" max="4359" width="0" style="139" hidden="1" customWidth="1"/>
    <col min="4360" max="4609" width="11.42578125" style="139"/>
    <col min="4610" max="4610" width="56.42578125" style="139" customWidth="1"/>
    <col min="4611" max="4614" width="11.42578125" style="139"/>
    <col min="4615" max="4615" width="0" style="139" hidden="1" customWidth="1"/>
    <col min="4616" max="4865" width="11.42578125" style="139"/>
    <col min="4866" max="4866" width="56.42578125" style="139" customWidth="1"/>
    <col min="4867" max="4870" width="11.42578125" style="139"/>
    <col min="4871" max="4871" width="0" style="139" hidden="1" customWidth="1"/>
    <col min="4872" max="5121" width="11.42578125" style="139"/>
    <col min="5122" max="5122" width="56.42578125" style="139" customWidth="1"/>
    <col min="5123" max="5126" width="11.42578125" style="139"/>
    <col min="5127" max="5127" width="0" style="139" hidden="1" customWidth="1"/>
    <col min="5128" max="5377" width="11.42578125" style="139"/>
    <col min="5378" max="5378" width="56.42578125" style="139" customWidth="1"/>
    <col min="5379" max="5382" width="11.42578125" style="139"/>
    <col min="5383" max="5383" width="0" style="139" hidden="1" customWidth="1"/>
    <col min="5384" max="5633" width="11.42578125" style="139"/>
    <col min="5634" max="5634" width="56.42578125" style="139" customWidth="1"/>
    <col min="5635" max="5638" width="11.42578125" style="139"/>
    <col min="5639" max="5639" width="0" style="139" hidden="1" customWidth="1"/>
    <col min="5640" max="5889" width="11.42578125" style="139"/>
    <col min="5890" max="5890" width="56.42578125" style="139" customWidth="1"/>
    <col min="5891" max="5894" width="11.42578125" style="139"/>
    <col min="5895" max="5895" width="0" style="139" hidden="1" customWidth="1"/>
    <col min="5896" max="6145" width="11.42578125" style="139"/>
    <col min="6146" max="6146" width="56.42578125" style="139" customWidth="1"/>
    <col min="6147" max="6150" width="11.42578125" style="139"/>
    <col min="6151" max="6151" width="0" style="139" hidden="1" customWidth="1"/>
    <col min="6152" max="6401" width="11.42578125" style="139"/>
    <col min="6402" max="6402" width="56.42578125" style="139" customWidth="1"/>
    <col min="6403" max="6406" width="11.42578125" style="139"/>
    <col min="6407" max="6407" width="0" style="139" hidden="1" customWidth="1"/>
    <col min="6408" max="6657" width="11.42578125" style="139"/>
    <col min="6658" max="6658" width="56.42578125" style="139" customWidth="1"/>
    <col min="6659" max="6662" width="11.42578125" style="139"/>
    <col min="6663" max="6663" width="0" style="139" hidden="1" customWidth="1"/>
    <col min="6664" max="6913" width="11.42578125" style="139"/>
    <col min="6914" max="6914" width="56.42578125" style="139" customWidth="1"/>
    <col min="6915" max="6918" width="11.42578125" style="139"/>
    <col min="6919" max="6919" width="0" style="139" hidden="1" customWidth="1"/>
    <col min="6920" max="7169" width="11.42578125" style="139"/>
    <col min="7170" max="7170" width="56.42578125" style="139" customWidth="1"/>
    <col min="7171" max="7174" width="11.42578125" style="139"/>
    <col min="7175" max="7175" width="0" style="139" hidden="1" customWidth="1"/>
    <col min="7176" max="7425" width="11.42578125" style="139"/>
    <col min="7426" max="7426" width="56.42578125" style="139" customWidth="1"/>
    <col min="7427" max="7430" width="11.42578125" style="139"/>
    <col min="7431" max="7431" width="0" style="139" hidden="1" customWidth="1"/>
    <col min="7432" max="7681" width="11.42578125" style="139"/>
    <col min="7682" max="7682" width="56.42578125" style="139" customWidth="1"/>
    <col min="7683" max="7686" width="11.42578125" style="139"/>
    <col min="7687" max="7687" width="0" style="139" hidden="1" customWidth="1"/>
    <col min="7688" max="7937" width="11.42578125" style="139"/>
    <col min="7938" max="7938" width="56.42578125" style="139" customWidth="1"/>
    <col min="7939" max="7942" width="11.42578125" style="139"/>
    <col min="7943" max="7943" width="0" style="139" hidden="1" customWidth="1"/>
    <col min="7944" max="8193" width="11.42578125" style="139"/>
    <col min="8194" max="8194" width="56.42578125" style="139" customWidth="1"/>
    <col min="8195" max="8198" width="11.42578125" style="139"/>
    <col min="8199" max="8199" width="0" style="139" hidden="1" customWidth="1"/>
    <col min="8200" max="8449" width="11.42578125" style="139"/>
    <col min="8450" max="8450" width="56.42578125" style="139" customWidth="1"/>
    <col min="8451" max="8454" width="11.42578125" style="139"/>
    <col min="8455" max="8455" width="0" style="139" hidden="1" customWidth="1"/>
    <col min="8456" max="8705" width="11.42578125" style="139"/>
    <col min="8706" max="8706" width="56.42578125" style="139" customWidth="1"/>
    <col min="8707" max="8710" width="11.42578125" style="139"/>
    <col min="8711" max="8711" width="0" style="139" hidden="1" customWidth="1"/>
    <col min="8712" max="8961" width="11.42578125" style="139"/>
    <col min="8962" max="8962" width="56.42578125" style="139" customWidth="1"/>
    <col min="8963" max="8966" width="11.42578125" style="139"/>
    <col min="8967" max="8967" width="0" style="139" hidden="1" customWidth="1"/>
    <col min="8968" max="9217" width="11.42578125" style="139"/>
    <col min="9218" max="9218" width="56.42578125" style="139" customWidth="1"/>
    <col min="9219" max="9222" width="11.42578125" style="139"/>
    <col min="9223" max="9223" width="0" style="139" hidden="1" customWidth="1"/>
    <col min="9224" max="9473" width="11.42578125" style="139"/>
    <col min="9474" max="9474" width="56.42578125" style="139" customWidth="1"/>
    <col min="9475" max="9478" width="11.42578125" style="139"/>
    <col min="9479" max="9479" width="0" style="139" hidden="1" customWidth="1"/>
    <col min="9480" max="9729" width="11.42578125" style="139"/>
    <col min="9730" max="9730" width="56.42578125" style="139" customWidth="1"/>
    <col min="9731" max="9734" width="11.42578125" style="139"/>
    <col min="9735" max="9735" width="0" style="139" hidden="1" customWidth="1"/>
    <col min="9736" max="9985" width="11.42578125" style="139"/>
    <col min="9986" max="9986" width="56.42578125" style="139" customWidth="1"/>
    <col min="9987" max="9990" width="11.42578125" style="139"/>
    <col min="9991" max="9991" width="0" style="139" hidden="1" customWidth="1"/>
    <col min="9992" max="10241" width="11.42578125" style="139"/>
    <col min="10242" max="10242" width="56.42578125" style="139" customWidth="1"/>
    <col min="10243" max="10246" width="11.42578125" style="139"/>
    <col min="10247" max="10247" width="0" style="139" hidden="1" customWidth="1"/>
    <col min="10248" max="10497" width="11.42578125" style="139"/>
    <col min="10498" max="10498" width="56.42578125" style="139" customWidth="1"/>
    <col min="10499" max="10502" width="11.42578125" style="139"/>
    <col min="10503" max="10503" width="0" style="139" hidden="1" customWidth="1"/>
    <col min="10504" max="10753" width="11.42578125" style="139"/>
    <col min="10754" max="10754" width="56.42578125" style="139" customWidth="1"/>
    <col min="10755" max="10758" width="11.42578125" style="139"/>
    <col min="10759" max="10759" width="0" style="139" hidden="1" customWidth="1"/>
    <col min="10760" max="11009" width="11.42578125" style="139"/>
    <col min="11010" max="11010" width="56.42578125" style="139" customWidth="1"/>
    <col min="11011" max="11014" width="11.42578125" style="139"/>
    <col min="11015" max="11015" width="0" style="139" hidden="1" customWidth="1"/>
    <col min="11016" max="11265" width="11.42578125" style="139"/>
    <col min="11266" max="11266" width="56.42578125" style="139" customWidth="1"/>
    <col min="11267" max="11270" width="11.42578125" style="139"/>
    <col min="11271" max="11271" width="0" style="139" hidden="1" customWidth="1"/>
    <col min="11272" max="11521" width="11.42578125" style="139"/>
    <col min="11522" max="11522" width="56.42578125" style="139" customWidth="1"/>
    <col min="11523" max="11526" width="11.42578125" style="139"/>
    <col min="11527" max="11527" width="0" style="139" hidden="1" customWidth="1"/>
    <col min="11528" max="11777" width="11.42578125" style="139"/>
    <col min="11778" max="11778" width="56.42578125" style="139" customWidth="1"/>
    <col min="11779" max="11782" width="11.42578125" style="139"/>
    <col min="11783" max="11783" width="0" style="139" hidden="1" customWidth="1"/>
    <col min="11784" max="12033" width="11.42578125" style="139"/>
    <col min="12034" max="12034" width="56.42578125" style="139" customWidth="1"/>
    <col min="12035" max="12038" width="11.42578125" style="139"/>
    <col min="12039" max="12039" width="0" style="139" hidden="1" customWidth="1"/>
    <col min="12040" max="12289" width="11.42578125" style="139"/>
    <col min="12290" max="12290" width="56.42578125" style="139" customWidth="1"/>
    <col min="12291" max="12294" width="11.42578125" style="139"/>
    <col min="12295" max="12295" width="0" style="139" hidden="1" customWidth="1"/>
    <col min="12296" max="12545" width="11.42578125" style="139"/>
    <col min="12546" max="12546" width="56.42578125" style="139" customWidth="1"/>
    <col min="12547" max="12550" width="11.42578125" style="139"/>
    <col min="12551" max="12551" width="0" style="139" hidden="1" customWidth="1"/>
    <col min="12552" max="12801" width="11.42578125" style="139"/>
    <col min="12802" max="12802" width="56.42578125" style="139" customWidth="1"/>
    <col min="12803" max="12806" width="11.42578125" style="139"/>
    <col min="12807" max="12807" width="0" style="139" hidden="1" customWidth="1"/>
    <col min="12808" max="13057" width="11.42578125" style="139"/>
    <col min="13058" max="13058" width="56.42578125" style="139" customWidth="1"/>
    <col min="13059" max="13062" width="11.42578125" style="139"/>
    <col min="13063" max="13063" width="0" style="139" hidden="1" customWidth="1"/>
    <col min="13064" max="13313" width="11.42578125" style="139"/>
    <col min="13314" max="13314" width="56.42578125" style="139" customWidth="1"/>
    <col min="13315" max="13318" width="11.42578125" style="139"/>
    <col min="13319" max="13319" width="0" style="139" hidden="1" customWidth="1"/>
    <col min="13320" max="13569" width="11.42578125" style="139"/>
    <col min="13570" max="13570" width="56.42578125" style="139" customWidth="1"/>
    <col min="13571" max="13574" width="11.42578125" style="139"/>
    <col min="13575" max="13575" width="0" style="139" hidden="1" customWidth="1"/>
    <col min="13576" max="13825" width="11.42578125" style="139"/>
    <col min="13826" max="13826" width="56.42578125" style="139" customWidth="1"/>
    <col min="13827" max="13830" width="11.42578125" style="139"/>
    <col min="13831" max="13831" width="0" style="139" hidden="1" customWidth="1"/>
    <col min="13832" max="14081" width="11.42578125" style="139"/>
    <col min="14082" max="14082" width="56.42578125" style="139" customWidth="1"/>
    <col min="14083" max="14086" width="11.42578125" style="139"/>
    <col min="14087" max="14087" width="0" style="139" hidden="1" customWidth="1"/>
    <col min="14088" max="14337" width="11.42578125" style="139"/>
    <col min="14338" max="14338" width="56.42578125" style="139" customWidth="1"/>
    <col min="14339" max="14342" width="11.42578125" style="139"/>
    <col min="14343" max="14343" width="0" style="139" hidden="1" customWidth="1"/>
    <col min="14344" max="14593" width="11.42578125" style="139"/>
    <col min="14594" max="14594" width="56.42578125" style="139" customWidth="1"/>
    <col min="14595" max="14598" width="11.42578125" style="139"/>
    <col min="14599" max="14599" width="0" style="139" hidden="1" customWidth="1"/>
    <col min="14600" max="14849" width="11.42578125" style="139"/>
    <col min="14850" max="14850" width="56.42578125" style="139" customWidth="1"/>
    <col min="14851" max="14854" width="11.42578125" style="139"/>
    <col min="14855" max="14855" width="0" style="139" hidden="1" customWidth="1"/>
    <col min="14856" max="15105" width="11.42578125" style="139"/>
    <col min="15106" max="15106" width="56.42578125" style="139" customWidth="1"/>
    <col min="15107" max="15110" width="11.42578125" style="139"/>
    <col min="15111" max="15111" width="0" style="139" hidden="1" customWidth="1"/>
    <col min="15112" max="15361" width="11.42578125" style="139"/>
    <col min="15362" max="15362" width="56.42578125" style="139" customWidth="1"/>
    <col min="15363" max="15366" width="11.42578125" style="139"/>
    <col min="15367" max="15367" width="0" style="139" hidden="1" customWidth="1"/>
    <col min="15368" max="15617" width="11.42578125" style="139"/>
    <col min="15618" max="15618" width="56.42578125" style="139" customWidth="1"/>
    <col min="15619" max="15622" width="11.42578125" style="139"/>
    <col min="15623" max="15623" width="0" style="139" hidden="1" customWidth="1"/>
    <col min="15624" max="15873" width="11.42578125" style="139"/>
    <col min="15874" max="15874" width="56.42578125" style="139" customWidth="1"/>
    <col min="15875" max="15878" width="11.42578125" style="139"/>
    <col min="15879" max="15879" width="0" style="139" hidden="1" customWidth="1"/>
    <col min="15880" max="16129" width="11.42578125" style="139"/>
    <col min="16130" max="16130" width="56.42578125" style="139" customWidth="1"/>
    <col min="16131" max="16134" width="11.42578125" style="139"/>
    <col min="16135" max="16135" width="0" style="139" hidden="1" customWidth="1"/>
    <col min="16136" max="16384" width="11.42578125" style="139"/>
  </cols>
  <sheetData>
    <row r="1" spans="1:11" ht="12" customHeight="1" x14ac:dyDescent="0.2">
      <c r="A1" s="1176" t="s">
        <v>0</v>
      </c>
      <c r="B1" s="1176"/>
      <c r="C1" s="1176"/>
      <c r="D1" s="1176"/>
      <c r="E1" s="87"/>
      <c r="F1" s="87"/>
      <c r="G1" s="87"/>
      <c r="H1" s="87"/>
      <c r="I1" s="87"/>
      <c r="J1" s="87"/>
    </row>
    <row r="2" spans="1:11" ht="12" customHeight="1" x14ac:dyDescent="0.2">
      <c r="A2" s="1176" t="s">
        <v>1</v>
      </c>
      <c r="B2" s="1176"/>
      <c r="C2" s="1176"/>
      <c r="D2" s="1176"/>
      <c r="E2" s="87"/>
      <c r="F2" s="87"/>
      <c r="G2" s="87"/>
      <c r="H2" s="87"/>
      <c r="I2" s="87"/>
      <c r="J2" s="87"/>
    </row>
    <row r="3" spans="1:11" ht="12" customHeight="1" x14ac:dyDescent="0.2">
      <c r="A3" s="1176" t="str">
        <f>+'Presup '!B3</f>
        <v>ALCALDÍA MUNICIPAL DE SAN LORENZO</v>
      </c>
      <c r="B3" s="1176"/>
      <c r="C3" s="1176"/>
      <c r="D3" s="1176"/>
      <c r="E3" s="87"/>
      <c r="F3" s="87"/>
      <c r="G3" s="87"/>
      <c r="H3" s="87"/>
      <c r="I3" s="87"/>
      <c r="J3" s="87"/>
    </row>
    <row r="4" spans="1:11" ht="15.75" x14ac:dyDescent="0.2">
      <c r="A4" s="75"/>
      <c r="B4" s="75"/>
      <c r="C4" s="1129"/>
      <c r="D4" s="75"/>
      <c r="E4" s="76"/>
      <c r="F4" s="76"/>
      <c r="G4" s="76"/>
      <c r="H4" s="82"/>
      <c r="I4" s="89"/>
      <c r="J4" s="89">
        <v>980657</v>
      </c>
      <c r="K4" s="139">
        <f>+(K5*J4)/J5</f>
        <v>96.618357011960825</v>
      </c>
    </row>
    <row r="5" spans="1:11" ht="15.75" customHeight="1" x14ac:dyDescent="0.2">
      <c r="A5" s="1176" t="str">
        <f>+'Presup '!B5</f>
        <v>MEJORAMIENTO VÍA LA LAGUNA, SALINAS, LOS OLIVOS</v>
      </c>
      <c r="B5" s="1176"/>
      <c r="C5" s="1176"/>
      <c r="D5" s="1176"/>
      <c r="E5" s="90"/>
      <c r="F5" s="90"/>
      <c r="G5" s="90"/>
      <c r="H5" s="90"/>
      <c r="I5" s="90"/>
      <c r="J5" s="89">
        <v>1014980</v>
      </c>
      <c r="K5" s="139">
        <v>100</v>
      </c>
    </row>
    <row r="6" spans="1:11" x14ac:dyDescent="0.2">
      <c r="K6" s="139">
        <f>+K5-K4</f>
        <v>3.3816429880391752</v>
      </c>
    </row>
    <row r="7" spans="1:11" x14ac:dyDescent="0.2">
      <c r="A7" s="140" t="s">
        <v>251</v>
      </c>
      <c r="B7" s="140" t="s">
        <v>252</v>
      </c>
      <c r="C7" s="140" t="s">
        <v>1216</v>
      </c>
      <c r="D7" s="140" t="s">
        <v>1104</v>
      </c>
      <c r="E7" s="141"/>
      <c r="F7" s="244"/>
      <c r="G7" s="140" t="s">
        <v>253</v>
      </c>
      <c r="H7" s="1042" t="s">
        <v>1105</v>
      </c>
      <c r="I7" s="141"/>
      <c r="J7" s="141"/>
      <c r="K7" s="139">
        <f>+K6/100</f>
        <v>3.3816429880391755E-2</v>
      </c>
    </row>
    <row r="8" spans="1:11" x14ac:dyDescent="0.2">
      <c r="A8" s="690" t="s">
        <v>797</v>
      </c>
      <c r="B8" s="688" t="s">
        <v>255</v>
      </c>
      <c r="C8" s="758">
        <f>+ROUNDUP((D8*0.034)+D8,0)</f>
        <v>45626</v>
      </c>
      <c r="D8" s="689">
        <v>44125</v>
      </c>
      <c r="E8" s="141"/>
      <c r="F8" s="244"/>
      <c r="G8" s="573"/>
      <c r="H8" s="245"/>
      <c r="I8" s="141"/>
      <c r="J8" s="141"/>
    </row>
    <row r="9" spans="1:11" x14ac:dyDescent="0.2">
      <c r="A9" s="690" t="s">
        <v>254</v>
      </c>
      <c r="B9" s="688" t="s">
        <v>255</v>
      </c>
      <c r="C9" s="758">
        <f t="shared" ref="C9:C72" si="0">+ROUNDUP((D9*0.034)+D9,0)</f>
        <v>2068</v>
      </c>
      <c r="D9" s="689">
        <f>ROUND(H9,0)</f>
        <v>2000</v>
      </c>
      <c r="E9" s="142"/>
      <c r="F9" s="755">
        <v>2226</v>
      </c>
      <c r="G9" s="745"/>
      <c r="H9" s="786">
        <v>2000</v>
      </c>
    </row>
    <row r="10" spans="1:11" x14ac:dyDescent="0.2">
      <c r="A10" s="690" t="s">
        <v>256</v>
      </c>
      <c r="B10" s="688" t="s">
        <v>255</v>
      </c>
      <c r="C10" s="758">
        <f t="shared" si="0"/>
        <v>87025</v>
      </c>
      <c r="D10" s="759">
        <f t="shared" ref="D10:D73" si="1">ROUND(H10,0)</f>
        <v>84163</v>
      </c>
      <c r="E10" s="142"/>
      <c r="F10" s="755">
        <v>55650</v>
      </c>
      <c r="G10" s="745"/>
      <c r="H10" s="786">
        <v>84163</v>
      </c>
    </row>
    <row r="11" spans="1:11" x14ac:dyDescent="0.2">
      <c r="A11" s="690" t="s">
        <v>257</v>
      </c>
      <c r="B11" s="688" t="s">
        <v>255</v>
      </c>
      <c r="C11" s="758">
        <f t="shared" si="0"/>
        <v>21272</v>
      </c>
      <c r="D11" s="759">
        <f t="shared" si="1"/>
        <v>20572</v>
      </c>
      <c r="E11" s="142"/>
      <c r="F11" s="755">
        <v>16695</v>
      </c>
      <c r="G11" s="745"/>
      <c r="H11" s="786">
        <v>20572</v>
      </c>
    </row>
    <row r="12" spans="1:11" x14ac:dyDescent="0.2">
      <c r="A12" s="690" t="s">
        <v>258</v>
      </c>
      <c r="B12" s="688" t="s">
        <v>255</v>
      </c>
      <c r="C12" s="758">
        <f t="shared" si="0"/>
        <v>36181</v>
      </c>
      <c r="D12" s="759">
        <f t="shared" si="1"/>
        <v>34991</v>
      </c>
      <c r="E12" s="142"/>
      <c r="F12" s="755">
        <v>33390</v>
      </c>
      <c r="G12" s="745"/>
      <c r="H12" s="786">
        <v>34991</v>
      </c>
    </row>
    <row r="13" spans="1:11" x14ac:dyDescent="0.2">
      <c r="A13" s="690" t="s">
        <v>259</v>
      </c>
      <c r="B13" s="688" t="s">
        <v>255</v>
      </c>
      <c r="C13" s="758">
        <f t="shared" si="0"/>
        <v>36881</v>
      </c>
      <c r="D13" s="759">
        <f t="shared" si="1"/>
        <v>35668</v>
      </c>
      <c r="E13" s="142"/>
      <c r="F13" s="755">
        <v>55650</v>
      </c>
      <c r="G13" s="745"/>
      <c r="H13" s="786">
        <v>35668</v>
      </c>
    </row>
    <row r="14" spans="1:11" x14ac:dyDescent="0.2">
      <c r="A14" s="690" t="s">
        <v>260</v>
      </c>
      <c r="B14" s="688" t="s">
        <v>255</v>
      </c>
      <c r="C14" s="758">
        <f t="shared" si="0"/>
        <v>103400</v>
      </c>
      <c r="D14" s="759">
        <f t="shared" si="1"/>
        <v>100000</v>
      </c>
      <c r="E14" s="142"/>
      <c r="F14" s="755">
        <v>100170</v>
      </c>
      <c r="G14" s="745"/>
      <c r="H14" s="786">
        <v>100000</v>
      </c>
    </row>
    <row r="15" spans="1:11" x14ac:dyDescent="0.2">
      <c r="A15" s="690" t="s">
        <v>261</v>
      </c>
      <c r="B15" s="688" t="s">
        <v>255</v>
      </c>
      <c r="C15" s="758">
        <f t="shared" si="0"/>
        <v>134420</v>
      </c>
      <c r="D15" s="759">
        <f t="shared" si="1"/>
        <v>130000</v>
      </c>
      <c r="E15" s="142"/>
      <c r="F15" s="755">
        <v>105735</v>
      </c>
      <c r="G15" s="745"/>
      <c r="H15" s="786">
        <v>130000</v>
      </c>
    </row>
    <row r="16" spans="1:11" ht="15" x14ac:dyDescent="0.25">
      <c r="A16" s="690" t="s">
        <v>262</v>
      </c>
      <c r="B16" s="688" t="s">
        <v>255</v>
      </c>
      <c r="C16" s="758">
        <f t="shared" si="0"/>
        <v>155100</v>
      </c>
      <c r="D16" s="759">
        <f t="shared" si="1"/>
        <v>150000</v>
      </c>
      <c r="E16" s="142"/>
      <c r="F16" s="246">
        <v>122430</v>
      </c>
      <c r="G16" s="745"/>
      <c r="H16" s="786">
        <v>150000</v>
      </c>
    </row>
    <row r="17" spans="1:10" ht="16.5" customHeight="1" x14ac:dyDescent="0.25">
      <c r="A17" s="687" t="s">
        <v>587</v>
      </c>
      <c r="B17" s="688" t="s">
        <v>255</v>
      </c>
      <c r="C17" s="758">
        <f t="shared" si="0"/>
        <v>155100</v>
      </c>
      <c r="D17" s="759">
        <f t="shared" si="1"/>
        <v>150000</v>
      </c>
      <c r="E17" s="142"/>
      <c r="F17" s="246"/>
      <c r="G17" s="745"/>
      <c r="H17" s="786">
        <v>150000</v>
      </c>
      <c r="J17" s="143"/>
    </row>
    <row r="18" spans="1:10" ht="15" x14ac:dyDescent="0.25">
      <c r="A18" s="687" t="s">
        <v>263</v>
      </c>
      <c r="B18" s="688" t="s">
        <v>255</v>
      </c>
      <c r="C18" s="758">
        <f t="shared" si="0"/>
        <v>40338</v>
      </c>
      <c r="D18" s="759">
        <f t="shared" si="1"/>
        <v>39011</v>
      </c>
      <c r="E18" s="142"/>
      <c r="F18" s="755">
        <v>38955</v>
      </c>
      <c r="G18" s="745"/>
      <c r="H18" s="1040">
        <v>39011</v>
      </c>
    </row>
    <row r="19" spans="1:10" s="745" customFormat="1" ht="15" x14ac:dyDescent="0.25">
      <c r="A19" s="757" t="s">
        <v>264</v>
      </c>
      <c r="B19" s="758" t="s">
        <v>255</v>
      </c>
      <c r="C19" s="758">
        <f t="shared" si="0"/>
        <v>33597</v>
      </c>
      <c r="D19" s="759">
        <f t="shared" si="1"/>
        <v>32492</v>
      </c>
      <c r="E19" s="743"/>
      <c r="F19" s="755">
        <v>30051</v>
      </c>
      <c r="H19" s="786">
        <v>32492</v>
      </c>
    </row>
    <row r="20" spans="1:10" s="745" customFormat="1" x14ac:dyDescent="0.2">
      <c r="A20" s="757" t="s">
        <v>265</v>
      </c>
      <c r="B20" s="758" t="s">
        <v>255</v>
      </c>
      <c r="C20" s="758">
        <f t="shared" si="0"/>
        <v>124080</v>
      </c>
      <c r="D20" s="759">
        <f t="shared" si="1"/>
        <v>120000</v>
      </c>
      <c r="E20" s="746"/>
      <c r="F20" s="755">
        <v>116865</v>
      </c>
      <c r="H20" s="786">
        <v>120000</v>
      </c>
    </row>
    <row r="21" spans="1:10" s="745" customFormat="1" x14ac:dyDescent="0.2">
      <c r="A21" s="757" t="s">
        <v>266</v>
      </c>
      <c r="B21" s="758" t="s">
        <v>255</v>
      </c>
      <c r="C21" s="758">
        <f t="shared" si="0"/>
        <v>103400</v>
      </c>
      <c r="D21" s="759">
        <f t="shared" si="1"/>
        <v>100000</v>
      </c>
      <c r="E21" s="746"/>
      <c r="F21" s="755">
        <v>89040</v>
      </c>
      <c r="H21" s="786">
        <v>100000</v>
      </c>
    </row>
    <row r="22" spans="1:10" s="745" customFormat="1" ht="15" x14ac:dyDescent="0.25">
      <c r="A22" s="757" t="s">
        <v>267</v>
      </c>
      <c r="B22" s="758" t="s">
        <v>255</v>
      </c>
      <c r="C22" s="758">
        <f t="shared" si="0"/>
        <v>113740</v>
      </c>
      <c r="D22" s="759">
        <f t="shared" si="1"/>
        <v>110000</v>
      </c>
      <c r="E22" s="743"/>
      <c r="F22" s="755">
        <v>127200</v>
      </c>
      <c r="H22" s="786">
        <v>110000</v>
      </c>
      <c r="I22" s="739"/>
    </row>
    <row r="23" spans="1:10" s="745" customFormat="1" x14ac:dyDescent="0.2">
      <c r="A23" s="760" t="s">
        <v>268</v>
      </c>
      <c r="B23" s="758" t="s">
        <v>255</v>
      </c>
      <c r="C23" s="758">
        <f t="shared" si="0"/>
        <v>124080</v>
      </c>
      <c r="D23" s="759">
        <f t="shared" si="1"/>
        <v>120000</v>
      </c>
      <c r="E23" s="746"/>
      <c r="F23" s="755">
        <v>116865</v>
      </c>
      <c r="H23" s="786">
        <v>120000</v>
      </c>
    </row>
    <row r="24" spans="1:10" s="745" customFormat="1" x14ac:dyDescent="0.2">
      <c r="A24" s="760" t="s">
        <v>269</v>
      </c>
      <c r="B24" s="758" t="s">
        <v>255</v>
      </c>
      <c r="C24" s="758">
        <f t="shared" si="0"/>
        <v>64625</v>
      </c>
      <c r="D24" s="759">
        <f t="shared" si="1"/>
        <v>62500</v>
      </c>
      <c r="E24" s="746"/>
      <c r="F24" s="755">
        <v>46746</v>
      </c>
      <c r="H24" s="786">
        <v>62500</v>
      </c>
    </row>
    <row r="25" spans="1:10" s="745" customFormat="1" x14ac:dyDescent="0.2">
      <c r="A25" s="757" t="s">
        <v>270</v>
      </c>
      <c r="B25" s="758" t="s">
        <v>255</v>
      </c>
      <c r="C25" s="758">
        <f t="shared" si="0"/>
        <v>103400</v>
      </c>
      <c r="D25" s="759">
        <f t="shared" si="1"/>
        <v>100000</v>
      </c>
      <c r="E25" s="746"/>
      <c r="F25" s="755">
        <v>83475</v>
      </c>
      <c r="H25" s="786">
        <v>100000</v>
      </c>
    </row>
    <row r="26" spans="1:10" s="745" customFormat="1" x14ac:dyDescent="0.2">
      <c r="A26" s="760" t="s">
        <v>271</v>
      </c>
      <c r="B26" s="758" t="s">
        <v>255</v>
      </c>
      <c r="C26" s="758">
        <f t="shared" si="0"/>
        <v>1046</v>
      </c>
      <c r="D26" s="759">
        <f t="shared" si="1"/>
        <v>1011</v>
      </c>
      <c r="E26" s="746"/>
      <c r="F26" s="755">
        <v>3339</v>
      </c>
      <c r="H26" s="786">
        <v>1011</v>
      </c>
    </row>
    <row r="27" spans="1:10" s="745" customFormat="1" x14ac:dyDescent="0.2">
      <c r="A27" s="760" t="s">
        <v>272</v>
      </c>
      <c r="B27" s="758" t="s">
        <v>255</v>
      </c>
      <c r="C27" s="758">
        <f t="shared" si="0"/>
        <v>55285</v>
      </c>
      <c r="D27" s="759">
        <f t="shared" si="1"/>
        <v>53467</v>
      </c>
      <c r="E27" s="746"/>
      <c r="F27" s="755">
        <v>50085</v>
      </c>
      <c r="H27" s="786">
        <v>53467</v>
      </c>
    </row>
    <row r="28" spans="1:10" s="745" customFormat="1" x14ac:dyDescent="0.2">
      <c r="A28" s="757" t="s">
        <v>273</v>
      </c>
      <c r="B28" s="758" t="s">
        <v>255</v>
      </c>
      <c r="C28" s="758">
        <f t="shared" si="0"/>
        <v>5170</v>
      </c>
      <c r="D28" s="759">
        <f t="shared" si="1"/>
        <v>5000</v>
      </c>
      <c r="E28" s="746"/>
      <c r="F28" s="755">
        <v>8904</v>
      </c>
      <c r="H28" s="786">
        <v>5000</v>
      </c>
    </row>
    <row r="29" spans="1:10" s="745" customFormat="1" x14ac:dyDescent="0.2">
      <c r="A29" s="757" t="s">
        <v>274</v>
      </c>
      <c r="B29" s="758" t="s">
        <v>255</v>
      </c>
      <c r="C29" s="758">
        <f t="shared" si="0"/>
        <v>16799</v>
      </c>
      <c r="D29" s="759">
        <f t="shared" si="1"/>
        <v>16246</v>
      </c>
      <c r="E29" s="746"/>
      <c r="F29" s="755">
        <v>16695</v>
      </c>
      <c r="H29" s="786">
        <v>16246</v>
      </c>
    </row>
    <row r="30" spans="1:10" s="745" customFormat="1" x14ac:dyDescent="0.2">
      <c r="A30" s="760" t="s">
        <v>275</v>
      </c>
      <c r="B30" s="758" t="s">
        <v>255</v>
      </c>
      <c r="C30" s="758">
        <f t="shared" si="0"/>
        <v>7691</v>
      </c>
      <c r="D30" s="759">
        <f t="shared" si="1"/>
        <v>7438</v>
      </c>
      <c r="E30" s="746"/>
      <c r="F30" s="755">
        <v>11130</v>
      </c>
      <c r="H30" s="786">
        <v>7438</v>
      </c>
    </row>
    <row r="31" spans="1:10" s="745" customFormat="1" x14ac:dyDescent="0.2">
      <c r="A31" s="757" t="s">
        <v>276</v>
      </c>
      <c r="B31" s="758" t="s">
        <v>255</v>
      </c>
      <c r="C31" s="758">
        <f t="shared" si="0"/>
        <v>82720</v>
      </c>
      <c r="D31" s="759">
        <f t="shared" si="1"/>
        <v>80000</v>
      </c>
      <c r="E31" s="746"/>
      <c r="F31" s="755">
        <v>77910</v>
      </c>
      <c r="H31" s="786">
        <v>80000</v>
      </c>
      <c r="J31" s="746"/>
    </row>
    <row r="32" spans="1:10" s="745" customFormat="1" x14ac:dyDescent="0.2">
      <c r="A32" s="757" t="s">
        <v>588</v>
      </c>
      <c r="B32" s="758"/>
      <c r="C32" s="758">
        <f t="shared" si="0"/>
        <v>103400</v>
      </c>
      <c r="D32" s="759">
        <f t="shared" si="1"/>
        <v>100000</v>
      </c>
      <c r="E32" s="746"/>
      <c r="F32" s="755"/>
      <c r="H32" s="786">
        <v>100000</v>
      </c>
      <c r="J32" s="746"/>
    </row>
    <row r="33" spans="1:10" s="745" customFormat="1" x14ac:dyDescent="0.2">
      <c r="A33" s="757" t="s">
        <v>277</v>
      </c>
      <c r="B33" s="758" t="s">
        <v>255</v>
      </c>
      <c r="C33" s="758">
        <f t="shared" si="0"/>
        <v>80096</v>
      </c>
      <c r="D33" s="759">
        <f t="shared" si="1"/>
        <v>77462</v>
      </c>
      <c r="E33" s="746"/>
      <c r="F33" s="755">
        <v>72345</v>
      </c>
      <c r="H33" s="786">
        <v>77462</v>
      </c>
      <c r="J33" s="746"/>
    </row>
    <row r="34" spans="1:10" s="745" customFormat="1" x14ac:dyDescent="0.2">
      <c r="A34" s="760" t="s">
        <v>278</v>
      </c>
      <c r="B34" s="758" t="s">
        <v>255</v>
      </c>
      <c r="C34" s="758">
        <f t="shared" si="0"/>
        <v>95606</v>
      </c>
      <c r="D34" s="759">
        <f t="shared" si="1"/>
        <v>92462</v>
      </c>
      <c r="E34" s="746"/>
      <c r="F34" s="755">
        <v>94605</v>
      </c>
      <c r="H34" s="786">
        <v>92462</v>
      </c>
      <c r="J34" s="746"/>
    </row>
    <row r="35" spans="1:10" s="745" customFormat="1" x14ac:dyDescent="0.2">
      <c r="A35" s="757" t="s">
        <v>279</v>
      </c>
      <c r="B35" s="758" t="s">
        <v>255</v>
      </c>
      <c r="C35" s="758">
        <f t="shared" si="0"/>
        <v>64586</v>
      </c>
      <c r="D35" s="759">
        <f t="shared" si="1"/>
        <v>62462</v>
      </c>
      <c r="E35" s="746"/>
      <c r="F35" s="755">
        <v>72345</v>
      </c>
      <c r="H35" s="786">
        <v>62462</v>
      </c>
      <c r="J35" s="746"/>
    </row>
    <row r="36" spans="1:10" s="745" customFormat="1" x14ac:dyDescent="0.2">
      <c r="A36" s="760" t="s">
        <v>280</v>
      </c>
      <c r="B36" s="758" t="s">
        <v>255</v>
      </c>
      <c r="C36" s="758">
        <f t="shared" si="0"/>
        <v>82720</v>
      </c>
      <c r="D36" s="759">
        <f t="shared" si="1"/>
        <v>80000</v>
      </c>
      <c r="E36" s="746"/>
      <c r="F36" s="755">
        <v>72345</v>
      </c>
      <c r="H36" s="786">
        <v>80000</v>
      </c>
      <c r="J36" s="746"/>
    </row>
    <row r="37" spans="1:10" s="745" customFormat="1" x14ac:dyDescent="0.2">
      <c r="A37" s="757" t="s">
        <v>281</v>
      </c>
      <c r="B37" s="758" t="s">
        <v>255</v>
      </c>
      <c r="C37" s="758">
        <f t="shared" si="0"/>
        <v>12408</v>
      </c>
      <c r="D37" s="759">
        <f t="shared" si="1"/>
        <v>12000</v>
      </c>
      <c r="E37" s="746"/>
      <c r="F37" s="755">
        <v>11130</v>
      </c>
      <c r="H37" s="786">
        <v>12000</v>
      </c>
      <c r="J37" s="746"/>
    </row>
    <row r="38" spans="1:10" s="745" customFormat="1" x14ac:dyDescent="0.2">
      <c r="A38" s="757" t="s">
        <v>282</v>
      </c>
      <c r="B38" s="758" t="s">
        <v>255</v>
      </c>
      <c r="C38" s="758">
        <f t="shared" si="0"/>
        <v>3749</v>
      </c>
      <c r="D38" s="759">
        <f t="shared" si="1"/>
        <v>3625</v>
      </c>
      <c r="E38" s="746"/>
      <c r="F38" s="755">
        <v>5008.5</v>
      </c>
      <c r="H38" s="786">
        <v>3625</v>
      </c>
      <c r="J38" s="746"/>
    </row>
    <row r="39" spans="1:10" s="745" customFormat="1" x14ac:dyDescent="0.2">
      <c r="A39" s="760" t="s">
        <v>283</v>
      </c>
      <c r="B39" s="758" t="s">
        <v>255</v>
      </c>
      <c r="C39" s="758">
        <f t="shared" si="0"/>
        <v>4660</v>
      </c>
      <c r="D39" s="759">
        <f t="shared" si="1"/>
        <v>4506</v>
      </c>
      <c r="E39" s="746"/>
      <c r="F39" s="755">
        <v>7234.5</v>
      </c>
      <c r="H39" s="786">
        <v>4506</v>
      </c>
      <c r="J39" s="746"/>
    </row>
    <row r="40" spans="1:10" s="745" customFormat="1" ht="25.5" x14ac:dyDescent="0.2">
      <c r="A40" s="757" t="s">
        <v>284</v>
      </c>
      <c r="B40" s="758" t="s">
        <v>255</v>
      </c>
      <c r="C40" s="758">
        <f t="shared" si="0"/>
        <v>3619</v>
      </c>
      <c r="D40" s="759">
        <f t="shared" si="1"/>
        <v>3500</v>
      </c>
      <c r="E40" s="746"/>
      <c r="F40" s="755">
        <v>1669.5</v>
      </c>
      <c r="H40" s="786">
        <v>3500</v>
      </c>
      <c r="J40" s="746"/>
    </row>
    <row r="41" spans="1:10" s="745" customFormat="1" ht="15" x14ac:dyDescent="0.25">
      <c r="A41" s="757" t="s">
        <v>285</v>
      </c>
      <c r="B41" s="758" t="s">
        <v>255</v>
      </c>
      <c r="C41" s="758">
        <f t="shared" si="0"/>
        <v>16067</v>
      </c>
      <c r="D41" s="759">
        <f t="shared" si="1"/>
        <v>15538</v>
      </c>
      <c r="E41" s="743"/>
      <c r="F41" s="755">
        <v>28938</v>
      </c>
      <c r="H41" s="786">
        <v>15538</v>
      </c>
      <c r="I41" s="739"/>
      <c r="J41" s="746"/>
    </row>
    <row r="42" spans="1:10" s="745" customFormat="1" x14ac:dyDescent="0.2">
      <c r="A42" s="757" t="s">
        <v>286</v>
      </c>
      <c r="B42" s="758" t="s">
        <v>255</v>
      </c>
      <c r="C42" s="758">
        <f t="shared" si="0"/>
        <v>124080</v>
      </c>
      <c r="D42" s="759">
        <f t="shared" si="1"/>
        <v>120000</v>
      </c>
      <c r="E42" s="746"/>
      <c r="F42" s="755">
        <v>122430</v>
      </c>
      <c r="H42" s="786">
        <v>120000</v>
      </c>
      <c r="J42" s="746"/>
    </row>
    <row r="43" spans="1:10" x14ac:dyDescent="0.2">
      <c r="A43" s="687" t="s">
        <v>287</v>
      </c>
      <c r="B43" s="688" t="s">
        <v>255</v>
      </c>
      <c r="C43" s="758">
        <f t="shared" si="0"/>
        <v>7238</v>
      </c>
      <c r="D43" s="759">
        <f t="shared" si="1"/>
        <v>7000</v>
      </c>
      <c r="E43" s="142"/>
      <c r="F43" s="755">
        <v>13912.5</v>
      </c>
      <c r="G43" s="745"/>
      <c r="H43" s="786">
        <v>7000</v>
      </c>
      <c r="J43" s="142"/>
    </row>
    <row r="44" spans="1:10" x14ac:dyDescent="0.2">
      <c r="A44" s="687" t="s">
        <v>288</v>
      </c>
      <c r="B44" s="688" t="s">
        <v>255</v>
      </c>
      <c r="C44" s="758">
        <f t="shared" si="0"/>
        <v>10574</v>
      </c>
      <c r="D44" s="759">
        <f t="shared" si="1"/>
        <v>10226</v>
      </c>
      <c r="E44" s="142"/>
      <c r="F44" s="755">
        <v>21147</v>
      </c>
      <c r="G44" s="745"/>
      <c r="H44" s="786">
        <v>10226.046057666963</v>
      </c>
      <c r="J44" s="142"/>
    </row>
    <row r="45" spans="1:10" x14ac:dyDescent="0.2">
      <c r="A45" s="690" t="s">
        <v>289</v>
      </c>
      <c r="B45" s="688" t="s">
        <v>255</v>
      </c>
      <c r="C45" s="758">
        <f t="shared" si="0"/>
        <v>11246</v>
      </c>
      <c r="D45" s="759">
        <f t="shared" si="1"/>
        <v>10876</v>
      </c>
      <c r="E45" s="142"/>
      <c r="F45" s="755">
        <v>23373</v>
      </c>
      <c r="G45" s="745"/>
      <c r="H45" s="786">
        <v>10876.470227529941</v>
      </c>
      <c r="J45" s="142"/>
    </row>
    <row r="46" spans="1:10" x14ac:dyDescent="0.2">
      <c r="A46" s="690" t="s">
        <v>290</v>
      </c>
      <c r="B46" s="688" t="s">
        <v>255</v>
      </c>
      <c r="C46" s="758">
        <f t="shared" si="0"/>
        <v>13013</v>
      </c>
      <c r="D46" s="759">
        <f t="shared" si="1"/>
        <v>12585</v>
      </c>
      <c r="E46" s="142"/>
      <c r="F46" s="755">
        <v>25599</v>
      </c>
      <c r="G46" s="745"/>
      <c r="H46" s="786">
        <v>12585.061238485103</v>
      </c>
      <c r="J46" s="142"/>
    </row>
    <row r="47" spans="1:10" x14ac:dyDescent="0.2">
      <c r="A47" s="687" t="s">
        <v>291</v>
      </c>
      <c r="B47" s="688" t="s">
        <v>255</v>
      </c>
      <c r="C47" s="758">
        <f t="shared" si="0"/>
        <v>10340</v>
      </c>
      <c r="D47" s="759">
        <f t="shared" si="1"/>
        <v>10000</v>
      </c>
      <c r="E47" s="142"/>
      <c r="F47" s="755">
        <v>33390</v>
      </c>
      <c r="G47" s="745"/>
      <c r="H47" s="786">
        <v>10000</v>
      </c>
      <c r="J47" s="142"/>
    </row>
    <row r="48" spans="1:10" x14ac:dyDescent="0.2">
      <c r="A48" s="687" t="s">
        <v>292</v>
      </c>
      <c r="B48" s="688" t="s">
        <v>255</v>
      </c>
      <c r="C48" s="758">
        <f t="shared" si="0"/>
        <v>36190</v>
      </c>
      <c r="D48" s="759">
        <f t="shared" si="1"/>
        <v>35000</v>
      </c>
      <c r="E48" s="142"/>
      <c r="F48" s="755">
        <v>33390</v>
      </c>
      <c r="G48" s="745"/>
      <c r="H48" s="786">
        <v>35000</v>
      </c>
      <c r="J48" s="142"/>
    </row>
    <row r="49" spans="1:10" x14ac:dyDescent="0.2">
      <c r="A49" s="687" t="s">
        <v>293</v>
      </c>
      <c r="B49" s="688" t="s">
        <v>255</v>
      </c>
      <c r="C49" s="758">
        <f t="shared" si="0"/>
        <v>258500</v>
      </c>
      <c r="D49" s="759">
        <f t="shared" si="1"/>
        <v>250000</v>
      </c>
      <c r="E49" s="142"/>
      <c r="F49" s="755">
        <v>72345</v>
      </c>
      <c r="G49" s="745"/>
      <c r="H49" s="786">
        <v>250000</v>
      </c>
      <c r="J49" s="142"/>
    </row>
    <row r="50" spans="1:10" x14ac:dyDescent="0.2">
      <c r="A50" s="687" t="s">
        <v>294</v>
      </c>
      <c r="B50" s="688" t="s">
        <v>255</v>
      </c>
      <c r="C50" s="758">
        <f t="shared" si="0"/>
        <v>10340</v>
      </c>
      <c r="D50" s="759">
        <f t="shared" si="1"/>
        <v>10000</v>
      </c>
      <c r="E50" s="142"/>
      <c r="F50" s="755">
        <v>16695</v>
      </c>
      <c r="G50" s="745"/>
      <c r="H50" s="786">
        <v>10000</v>
      </c>
      <c r="J50" s="142"/>
    </row>
    <row r="51" spans="1:10" x14ac:dyDescent="0.2">
      <c r="A51" s="687" t="s">
        <v>295</v>
      </c>
      <c r="B51" s="688" t="s">
        <v>255</v>
      </c>
      <c r="C51" s="758">
        <f t="shared" si="0"/>
        <v>2848</v>
      </c>
      <c r="D51" s="759">
        <f t="shared" si="1"/>
        <v>2754</v>
      </c>
      <c r="E51" s="142"/>
      <c r="F51" s="755">
        <v>1113</v>
      </c>
      <c r="G51" s="745"/>
      <c r="H51" s="786">
        <v>2754</v>
      </c>
      <c r="J51" s="142"/>
    </row>
    <row r="52" spans="1:10" x14ac:dyDescent="0.2">
      <c r="A52" s="687" t="s">
        <v>296</v>
      </c>
      <c r="B52" s="688" t="s">
        <v>255</v>
      </c>
      <c r="C52" s="758">
        <f t="shared" si="0"/>
        <v>272427</v>
      </c>
      <c r="D52" s="759">
        <f t="shared" si="1"/>
        <v>263469</v>
      </c>
      <c r="E52" s="142"/>
      <c r="F52" s="755">
        <v>278250</v>
      </c>
      <c r="G52" s="745"/>
      <c r="H52" s="786">
        <v>263469</v>
      </c>
      <c r="J52" s="142"/>
    </row>
    <row r="53" spans="1:10" x14ac:dyDescent="0.2">
      <c r="A53" s="687" t="s">
        <v>297</v>
      </c>
      <c r="B53" s="688" t="s">
        <v>255</v>
      </c>
      <c r="C53" s="758">
        <f t="shared" si="0"/>
        <v>348146</v>
      </c>
      <c r="D53" s="759">
        <f t="shared" si="1"/>
        <v>336698</v>
      </c>
      <c r="E53" s="142"/>
      <c r="F53" s="755">
        <v>389550</v>
      </c>
      <c r="G53" s="745"/>
      <c r="H53" s="786">
        <v>336698</v>
      </c>
    </row>
    <row r="54" spans="1:10" x14ac:dyDescent="0.2">
      <c r="A54" s="687" t="s">
        <v>298</v>
      </c>
      <c r="B54" s="688" t="s">
        <v>255</v>
      </c>
      <c r="C54" s="758">
        <f t="shared" si="0"/>
        <v>17180</v>
      </c>
      <c r="D54" s="759">
        <f t="shared" si="1"/>
        <v>16615</v>
      </c>
      <c r="E54" s="142"/>
      <c r="F54" s="755">
        <v>27825</v>
      </c>
      <c r="G54" s="745"/>
      <c r="H54" s="786">
        <v>16615</v>
      </c>
    </row>
    <row r="55" spans="1:10" x14ac:dyDescent="0.2">
      <c r="A55" s="687" t="s">
        <v>299</v>
      </c>
      <c r="B55" s="688" t="s">
        <v>255</v>
      </c>
      <c r="C55" s="758">
        <f t="shared" si="0"/>
        <v>109354</v>
      </c>
      <c r="D55" s="759">
        <f t="shared" si="1"/>
        <v>105758</v>
      </c>
      <c r="E55" s="142"/>
      <c r="F55" s="755">
        <v>100170</v>
      </c>
      <c r="G55" s="745"/>
      <c r="H55" s="786">
        <v>105758</v>
      </c>
    </row>
    <row r="56" spans="1:10" x14ac:dyDescent="0.2">
      <c r="A56" s="687" t="s">
        <v>300</v>
      </c>
      <c r="B56" s="688" t="s">
        <v>255</v>
      </c>
      <c r="C56" s="758">
        <f t="shared" si="0"/>
        <v>137045</v>
      </c>
      <c r="D56" s="759">
        <f t="shared" si="1"/>
        <v>132538</v>
      </c>
      <c r="E56" s="142"/>
      <c r="F56" s="755">
        <v>172515</v>
      </c>
      <c r="G56" s="745"/>
      <c r="H56" s="786">
        <v>132538</v>
      </c>
    </row>
    <row r="57" spans="1:10" x14ac:dyDescent="0.2">
      <c r="A57" s="687" t="s">
        <v>301</v>
      </c>
      <c r="B57" s="688" t="s">
        <v>255</v>
      </c>
      <c r="C57" s="758">
        <f t="shared" si="0"/>
        <v>220459</v>
      </c>
      <c r="D57" s="759">
        <f t="shared" si="1"/>
        <v>213209</v>
      </c>
      <c r="E57" s="142"/>
      <c r="F57" s="755">
        <v>194775</v>
      </c>
      <c r="G57" s="745"/>
      <c r="H57" s="786">
        <v>213209</v>
      </c>
    </row>
    <row r="58" spans="1:10" x14ac:dyDescent="0.2">
      <c r="A58" s="690" t="s">
        <v>302</v>
      </c>
      <c r="B58" s="688" t="s">
        <v>255</v>
      </c>
      <c r="C58" s="758">
        <f t="shared" si="0"/>
        <v>95824</v>
      </c>
      <c r="D58" s="759">
        <f t="shared" si="1"/>
        <v>92673</v>
      </c>
      <c r="E58" s="142"/>
      <c r="F58" s="755">
        <v>77910</v>
      </c>
      <c r="G58" s="745"/>
      <c r="H58" s="786">
        <v>92673</v>
      </c>
    </row>
    <row r="59" spans="1:10" x14ac:dyDescent="0.2">
      <c r="A59" s="687" t="s">
        <v>303</v>
      </c>
      <c r="B59" s="688" t="s">
        <v>255</v>
      </c>
      <c r="C59" s="758">
        <f t="shared" si="0"/>
        <v>6463</v>
      </c>
      <c r="D59" s="759">
        <f t="shared" si="1"/>
        <v>6250</v>
      </c>
      <c r="E59" s="142"/>
      <c r="F59" s="755">
        <v>7791</v>
      </c>
      <c r="G59" s="745"/>
      <c r="H59" s="786">
        <v>6250</v>
      </c>
    </row>
    <row r="60" spans="1:10" x14ac:dyDescent="0.2">
      <c r="A60" s="687" t="s">
        <v>304</v>
      </c>
      <c r="B60" s="688" t="s">
        <v>255</v>
      </c>
      <c r="C60" s="758">
        <f t="shared" si="0"/>
        <v>46530</v>
      </c>
      <c r="D60" s="759">
        <f t="shared" si="1"/>
        <v>45000</v>
      </c>
      <c r="E60" s="142"/>
      <c r="F60" s="755">
        <v>13912.5</v>
      </c>
      <c r="G60" s="745"/>
      <c r="H60" s="786">
        <v>45000</v>
      </c>
    </row>
    <row r="61" spans="1:10" x14ac:dyDescent="0.2">
      <c r="A61" s="687" t="s">
        <v>305</v>
      </c>
      <c r="B61" s="688" t="s">
        <v>255</v>
      </c>
      <c r="C61" s="758">
        <f t="shared" si="0"/>
        <v>15510</v>
      </c>
      <c r="D61" s="759">
        <f t="shared" si="1"/>
        <v>15000</v>
      </c>
      <c r="E61" s="142"/>
      <c r="F61" s="755">
        <v>11130</v>
      </c>
      <c r="G61" s="745"/>
      <c r="H61" s="786">
        <v>15000</v>
      </c>
    </row>
    <row r="62" spans="1:10" x14ac:dyDescent="0.2">
      <c r="A62" s="687" t="s">
        <v>306</v>
      </c>
      <c r="B62" s="688" t="s">
        <v>255</v>
      </c>
      <c r="C62" s="758">
        <f t="shared" si="0"/>
        <v>11124</v>
      </c>
      <c r="D62" s="759">
        <f t="shared" si="1"/>
        <v>10758</v>
      </c>
      <c r="E62" s="142"/>
      <c r="F62" s="755">
        <v>6678</v>
      </c>
      <c r="G62" s="745"/>
      <c r="H62" s="786">
        <v>10758</v>
      </c>
    </row>
    <row r="63" spans="1:10" x14ac:dyDescent="0.2">
      <c r="A63" s="687" t="s">
        <v>307</v>
      </c>
      <c r="B63" s="688" t="s">
        <v>255</v>
      </c>
      <c r="C63" s="758">
        <f t="shared" si="0"/>
        <v>14864</v>
      </c>
      <c r="D63" s="759">
        <f t="shared" si="1"/>
        <v>14375</v>
      </c>
      <c r="E63" s="142"/>
      <c r="F63" s="755">
        <v>11130</v>
      </c>
      <c r="G63" s="745"/>
      <c r="H63" s="786">
        <v>14375</v>
      </c>
    </row>
    <row r="64" spans="1:10" x14ac:dyDescent="0.2">
      <c r="A64" s="690" t="s">
        <v>308</v>
      </c>
      <c r="B64" s="688" t="s">
        <v>255</v>
      </c>
      <c r="C64" s="758">
        <f t="shared" si="0"/>
        <v>18273</v>
      </c>
      <c r="D64" s="759">
        <f t="shared" si="1"/>
        <v>17672</v>
      </c>
      <c r="E64" s="142"/>
      <c r="F64" s="755">
        <v>27825</v>
      </c>
      <c r="G64" s="745"/>
      <c r="H64" s="786">
        <v>17672</v>
      </c>
    </row>
    <row r="65" spans="1:11" x14ac:dyDescent="0.2">
      <c r="A65" s="687" t="s">
        <v>309</v>
      </c>
      <c r="B65" s="688" t="s">
        <v>255</v>
      </c>
      <c r="C65" s="758">
        <f t="shared" si="0"/>
        <v>57332</v>
      </c>
      <c r="D65" s="759">
        <f t="shared" si="1"/>
        <v>55446</v>
      </c>
      <c r="E65" s="142"/>
      <c r="F65" s="755">
        <v>55650</v>
      </c>
      <c r="G65" s="745"/>
      <c r="H65" s="786">
        <v>55446</v>
      </c>
    </row>
    <row r="66" spans="1:11" x14ac:dyDescent="0.2">
      <c r="A66" s="687" t="s">
        <v>310</v>
      </c>
      <c r="B66" s="688" t="s">
        <v>255</v>
      </c>
      <c r="C66" s="758">
        <f t="shared" si="0"/>
        <v>124080</v>
      </c>
      <c r="D66" s="759">
        <f t="shared" si="1"/>
        <v>120000</v>
      </c>
      <c r="E66" s="142"/>
      <c r="F66" s="755">
        <v>111300</v>
      </c>
      <c r="G66" s="745"/>
      <c r="H66" s="786">
        <v>120000</v>
      </c>
    </row>
    <row r="67" spans="1:11" x14ac:dyDescent="0.2">
      <c r="A67" s="687" t="s">
        <v>311</v>
      </c>
      <c r="B67" s="688" t="s">
        <v>255</v>
      </c>
      <c r="C67" s="758">
        <f t="shared" si="0"/>
        <v>6463</v>
      </c>
      <c r="D67" s="759">
        <f t="shared" si="1"/>
        <v>6250</v>
      </c>
      <c r="E67" s="142"/>
      <c r="F67" s="755">
        <v>10573.5</v>
      </c>
      <c r="G67" s="745"/>
      <c r="H67" s="786">
        <v>6250</v>
      </c>
    </row>
    <row r="68" spans="1:11" x14ac:dyDescent="0.2">
      <c r="A68" s="687" t="s">
        <v>312</v>
      </c>
      <c r="B68" s="688" t="s">
        <v>255</v>
      </c>
      <c r="C68" s="758">
        <f t="shared" si="0"/>
        <v>277252</v>
      </c>
      <c r="D68" s="759">
        <f t="shared" si="1"/>
        <v>268135</v>
      </c>
      <c r="E68" s="142"/>
      <c r="F68" s="755">
        <v>289380</v>
      </c>
      <c r="G68" s="745"/>
      <c r="H68" s="786">
        <v>268135</v>
      </c>
      <c r="K68" s="142"/>
    </row>
    <row r="69" spans="1:11" x14ac:dyDescent="0.2">
      <c r="A69" s="687" t="s">
        <v>313</v>
      </c>
      <c r="B69" s="688" t="s">
        <v>255</v>
      </c>
      <c r="C69" s="758">
        <f t="shared" si="0"/>
        <v>259395</v>
      </c>
      <c r="D69" s="759">
        <f t="shared" si="1"/>
        <v>250865</v>
      </c>
      <c r="E69" s="142"/>
      <c r="F69" s="755">
        <v>200340</v>
      </c>
      <c r="G69" s="745"/>
      <c r="H69" s="786">
        <v>250865</v>
      </c>
      <c r="K69" s="142"/>
    </row>
    <row r="70" spans="1:11" x14ac:dyDescent="0.2">
      <c r="A70" s="687" t="s">
        <v>314</v>
      </c>
      <c r="B70" s="688" t="s">
        <v>255</v>
      </c>
      <c r="C70" s="758">
        <f t="shared" si="0"/>
        <v>239186</v>
      </c>
      <c r="D70" s="759">
        <f t="shared" si="1"/>
        <v>231321</v>
      </c>
      <c r="E70" s="142"/>
      <c r="F70" s="755">
        <v>200340</v>
      </c>
      <c r="G70" s="745"/>
      <c r="H70" s="786">
        <v>231321</v>
      </c>
      <c r="K70" s="142"/>
    </row>
    <row r="71" spans="1:11" x14ac:dyDescent="0.2">
      <c r="A71" s="687" t="s">
        <v>315</v>
      </c>
      <c r="B71" s="688" t="s">
        <v>255</v>
      </c>
      <c r="C71" s="758">
        <f t="shared" si="0"/>
        <v>372240</v>
      </c>
      <c r="D71" s="759">
        <f t="shared" si="1"/>
        <v>360000</v>
      </c>
      <c r="E71" s="142"/>
      <c r="F71" s="755">
        <v>445200</v>
      </c>
      <c r="G71" s="745"/>
      <c r="H71" s="786">
        <v>360000</v>
      </c>
      <c r="K71" s="142"/>
    </row>
    <row r="72" spans="1:11" x14ac:dyDescent="0.2">
      <c r="A72" s="687" t="s">
        <v>316</v>
      </c>
      <c r="B72" s="688" t="s">
        <v>255</v>
      </c>
      <c r="C72" s="758">
        <f t="shared" si="0"/>
        <v>174574</v>
      </c>
      <c r="D72" s="759">
        <f t="shared" si="1"/>
        <v>168833</v>
      </c>
      <c r="E72" s="142"/>
      <c r="F72" s="755">
        <v>200340</v>
      </c>
      <c r="G72" s="745"/>
      <c r="H72" s="786">
        <v>168833</v>
      </c>
      <c r="K72" s="142"/>
    </row>
    <row r="73" spans="1:11" x14ac:dyDescent="0.2">
      <c r="A73" s="690" t="s">
        <v>317</v>
      </c>
      <c r="B73" s="688" t="s">
        <v>255</v>
      </c>
      <c r="C73" s="758">
        <f t="shared" ref="C73:C106" si="2">+ROUNDUP((D73*0.034)+D73,0)</f>
        <v>13755</v>
      </c>
      <c r="D73" s="759">
        <f t="shared" si="1"/>
        <v>13302</v>
      </c>
      <c r="E73" s="142"/>
      <c r="F73" s="755">
        <v>27825</v>
      </c>
      <c r="G73" s="745"/>
      <c r="H73" s="786">
        <v>13302</v>
      </c>
      <c r="K73" s="142"/>
    </row>
    <row r="74" spans="1:11" x14ac:dyDescent="0.2">
      <c r="A74" s="687" t="s">
        <v>318</v>
      </c>
      <c r="B74" s="688" t="s">
        <v>255</v>
      </c>
      <c r="C74" s="758">
        <f t="shared" si="2"/>
        <v>413600</v>
      </c>
      <c r="D74" s="759">
        <f t="shared" ref="D74:D106" si="3">ROUND(H74,0)</f>
        <v>400000</v>
      </c>
      <c r="E74" s="142"/>
      <c r="F74" s="755">
        <v>311640</v>
      </c>
      <c r="G74" s="745"/>
      <c r="H74" s="786">
        <v>400000</v>
      </c>
      <c r="K74" s="142"/>
    </row>
    <row r="75" spans="1:11" x14ac:dyDescent="0.2">
      <c r="A75" s="690" t="s">
        <v>319</v>
      </c>
      <c r="B75" s="688" t="s">
        <v>255</v>
      </c>
      <c r="C75" s="758">
        <f t="shared" si="2"/>
        <v>6527</v>
      </c>
      <c r="D75" s="759">
        <f t="shared" si="3"/>
        <v>6312</v>
      </c>
      <c r="E75" s="142"/>
      <c r="F75" s="755">
        <v>9460.5</v>
      </c>
      <c r="G75" s="745"/>
      <c r="H75" s="786">
        <v>6312</v>
      </c>
      <c r="K75" s="142"/>
    </row>
    <row r="76" spans="1:11" x14ac:dyDescent="0.2">
      <c r="A76" s="687" t="s">
        <v>320</v>
      </c>
      <c r="B76" s="688" t="s">
        <v>255</v>
      </c>
      <c r="C76" s="758">
        <f t="shared" si="2"/>
        <v>3264</v>
      </c>
      <c r="D76" s="759">
        <f t="shared" si="3"/>
        <v>3156</v>
      </c>
      <c r="E76" s="142"/>
      <c r="F76" s="755">
        <v>2226</v>
      </c>
      <c r="G76" s="745"/>
      <c r="H76" s="786">
        <v>3156</v>
      </c>
      <c r="K76" s="142"/>
    </row>
    <row r="77" spans="1:11" x14ac:dyDescent="0.2">
      <c r="A77" s="687" t="s">
        <v>321</v>
      </c>
      <c r="B77" s="688" t="s">
        <v>255</v>
      </c>
      <c r="C77" s="758">
        <f t="shared" si="2"/>
        <v>97889</v>
      </c>
      <c r="D77" s="759">
        <f t="shared" si="3"/>
        <v>94670</v>
      </c>
      <c r="E77" s="142"/>
      <c r="F77" s="755">
        <v>0</v>
      </c>
      <c r="G77" s="745"/>
      <c r="H77" s="786">
        <v>94670</v>
      </c>
      <c r="K77" s="142"/>
    </row>
    <row r="78" spans="1:11" x14ac:dyDescent="0.2">
      <c r="A78" s="687" t="s">
        <v>589</v>
      </c>
      <c r="B78" s="688" t="s">
        <v>255</v>
      </c>
      <c r="C78" s="758">
        <f t="shared" si="2"/>
        <v>7615</v>
      </c>
      <c r="D78" s="759">
        <f t="shared" si="3"/>
        <v>7364</v>
      </c>
      <c r="E78" s="142"/>
      <c r="F78" s="755">
        <v>13356</v>
      </c>
      <c r="G78" s="745"/>
      <c r="H78" s="786">
        <v>7364</v>
      </c>
      <c r="K78" s="142"/>
    </row>
    <row r="79" spans="1:11" x14ac:dyDescent="0.2">
      <c r="A79" s="687" t="s">
        <v>322</v>
      </c>
      <c r="B79" s="688" t="s">
        <v>255</v>
      </c>
      <c r="C79" s="758">
        <f t="shared" si="2"/>
        <v>332985</v>
      </c>
      <c r="D79" s="759">
        <f t="shared" si="3"/>
        <v>322035</v>
      </c>
      <c r="E79" s="142"/>
      <c r="F79" s="755">
        <v>389550</v>
      </c>
      <c r="G79" s="745"/>
      <c r="H79" s="786">
        <v>322035</v>
      </c>
      <c r="K79" s="142"/>
    </row>
    <row r="80" spans="1:11" x14ac:dyDescent="0.2">
      <c r="A80" s="690" t="s">
        <v>323</v>
      </c>
      <c r="B80" s="688" t="s">
        <v>255</v>
      </c>
      <c r="C80" s="758">
        <f t="shared" si="2"/>
        <v>82720</v>
      </c>
      <c r="D80" s="759">
        <f t="shared" si="3"/>
        <v>80000</v>
      </c>
      <c r="E80" s="142"/>
      <c r="F80" s="755">
        <v>83475</v>
      </c>
      <c r="G80" s="745"/>
      <c r="H80" s="786">
        <v>80000</v>
      </c>
      <c r="K80" s="142"/>
    </row>
    <row r="81" spans="1:11" x14ac:dyDescent="0.2">
      <c r="A81" s="690" t="s">
        <v>324</v>
      </c>
      <c r="B81" s="688" t="s">
        <v>255</v>
      </c>
      <c r="C81" s="758">
        <f t="shared" si="2"/>
        <v>124080</v>
      </c>
      <c r="D81" s="759">
        <f t="shared" si="3"/>
        <v>120000</v>
      </c>
      <c r="E81" s="142"/>
      <c r="F81" s="755">
        <v>139125</v>
      </c>
      <c r="G81" s="745"/>
      <c r="H81" s="786">
        <v>120000</v>
      </c>
      <c r="K81" s="142"/>
    </row>
    <row r="82" spans="1:11" x14ac:dyDescent="0.2">
      <c r="A82" s="690" t="s">
        <v>325</v>
      </c>
      <c r="B82" s="688" t="s">
        <v>255</v>
      </c>
      <c r="C82" s="758">
        <f t="shared" si="2"/>
        <v>124297</v>
      </c>
      <c r="D82" s="759">
        <f t="shared" si="3"/>
        <v>120209</v>
      </c>
      <c r="E82" s="142"/>
      <c r="F82" s="755">
        <v>166950</v>
      </c>
      <c r="G82" s="745"/>
      <c r="H82" s="786">
        <v>120209</v>
      </c>
      <c r="K82" s="142"/>
    </row>
    <row r="83" spans="1:11" x14ac:dyDescent="0.2">
      <c r="A83" s="690" t="s">
        <v>326</v>
      </c>
      <c r="B83" s="688" t="s">
        <v>255</v>
      </c>
      <c r="C83" s="758">
        <f t="shared" si="2"/>
        <v>124080</v>
      </c>
      <c r="D83" s="759">
        <f t="shared" si="3"/>
        <v>120000</v>
      </c>
      <c r="E83" s="142"/>
      <c r="F83" s="755">
        <v>116865</v>
      </c>
      <c r="G83" s="745"/>
      <c r="H83" s="786">
        <v>120000</v>
      </c>
      <c r="K83" s="142"/>
    </row>
    <row r="84" spans="1:11" x14ac:dyDescent="0.2">
      <c r="A84" s="690" t="s">
        <v>327</v>
      </c>
      <c r="B84" s="688" t="s">
        <v>255</v>
      </c>
      <c r="C84" s="758">
        <f t="shared" si="2"/>
        <v>155100</v>
      </c>
      <c r="D84" s="759">
        <f t="shared" si="3"/>
        <v>150000</v>
      </c>
      <c r="E84" s="142"/>
      <c r="F84" s="755">
        <v>161385</v>
      </c>
      <c r="G84" s="745"/>
      <c r="H84" s="786">
        <v>150000</v>
      </c>
      <c r="K84" s="142"/>
    </row>
    <row r="85" spans="1:11" x14ac:dyDescent="0.2">
      <c r="A85" s="690" t="s">
        <v>328</v>
      </c>
      <c r="B85" s="688" t="s">
        <v>255</v>
      </c>
      <c r="C85" s="758">
        <f t="shared" si="2"/>
        <v>77550</v>
      </c>
      <c r="D85" s="759">
        <f t="shared" si="3"/>
        <v>75000</v>
      </c>
      <c r="E85" s="142"/>
      <c r="F85" s="755">
        <v>89040</v>
      </c>
      <c r="G85" s="745"/>
      <c r="H85" s="786">
        <v>75000</v>
      </c>
      <c r="K85" s="142"/>
    </row>
    <row r="86" spans="1:11" x14ac:dyDescent="0.2">
      <c r="A86" s="690" t="s">
        <v>329</v>
      </c>
      <c r="B86" s="688" t="s">
        <v>255</v>
      </c>
      <c r="C86" s="758">
        <f t="shared" si="2"/>
        <v>93060</v>
      </c>
      <c r="D86" s="759">
        <f t="shared" si="3"/>
        <v>90000</v>
      </c>
      <c r="E86" s="142"/>
      <c r="F86" s="755">
        <v>89040</v>
      </c>
      <c r="G86" s="745"/>
      <c r="H86" s="786">
        <v>90000</v>
      </c>
      <c r="K86" s="142"/>
    </row>
    <row r="87" spans="1:11" x14ac:dyDescent="0.2">
      <c r="A87" s="690" t="s">
        <v>330</v>
      </c>
      <c r="B87" s="688" t="s">
        <v>255</v>
      </c>
      <c r="C87" s="758">
        <f t="shared" si="2"/>
        <v>4187</v>
      </c>
      <c r="D87" s="759">
        <f t="shared" si="3"/>
        <v>4049</v>
      </c>
      <c r="E87" s="142"/>
      <c r="F87" s="755">
        <v>4674.6000000000004</v>
      </c>
      <c r="G87" s="745"/>
      <c r="H87" s="786">
        <v>4049</v>
      </c>
      <c r="K87" s="142"/>
    </row>
    <row r="88" spans="1:11" x14ac:dyDescent="0.2">
      <c r="A88" s="690" t="s">
        <v>331</v>
      </c>
      <c r="B88" s="688" t="s">
        <v>332</v>
      </c>
      <c r="C88" s="758">
        <f t="shared" si="2"/>
        <v>75</v>
      </c>
      <c r="D88" s="759">
        <f t="shared" si="3"/>
        <v>72</v>
      </c>
      <c r="E88" s="142"/>
      <c r="F88" s="755">
        <v>89.04</v>
      </c>
      <c r="G88" s="745"/>
      <c r="H88" s="786">
        <v>72</v>
      </c>
      <c r="K88" s="142"/>
    </row>
    <row r="89" spans="1:11" x14ac:dyDescent="0.2">
      <c r="A89" s="690" t="s">
        <v>333</v>
      </c>
      <c r="B89" s="688" t="s">
        <v>334</v>
      </c>
      <c r="C89" s="758">
        <f t="shared" si="2"/>
        <v>1241</v>
      </c>
      <c r="D89" s="759">
        <f t="shared" si="3"/>
        <v>1200</v>
      </c>
      <c r="E89" s="142"/>
      <c r="F89" s="755">
        <v>1113</v>
      </c>
      <c r="G89" s="745"/>
      <c r="H89" s="786">
        <v>1200</v>
      </c>
      <c r="K89" s="142"/>
    </row>
    <row r="90" spans="1:11" x14ac:dyDescent="0.2">
      <c r="A90" s="690" t="s">
        <v>335</v>
      </c>
      <c r="B90" s="688" t="s">
        <v>334</v>
      </c>
      <c r="C90" s="758">
        <f t="shared" si="2"/>
        <v>1241</v>
      </c>
      <c r="D90" s="759">
        <f t="shared" si="3"/>
        <v>1200</v>
      </c>
      <c r="E90" s="142"/>
      <c r="F90" s="755">
        <v>1001.7</v>
      </c>
      <c r="G90" s="745"/>
      <c r="H90" s="786">
        <v>1200</v>
      </c>
    </row>
    <row r="91" spans="1:11" x14ac:dyDescent="0.2">
      <c r="A91" s="690" t="s">
        <v>590</v>
      </c>
      <c r="B91" s="688" t="s">
        <v>334</v>
      </c>
      <c r="C91" s="758">
        <f t="shared" si="2"/>
        <v>1241</v>
      </c>
      <c r="D91" s="759">
        <f t="shared" si="3"/>
        <v>1200</v>
      </c>
      <c r="E91" s="142"/>
      <c r="F91" s="755"/>
      <c r="G91" s="745"/>
      <c r="H91" s="786">
        <v>1200</v>
      </c>
    </row>
    <row r="92" spans="1:11" x14ac:dyDescent="0.2">
      <c r="A92" s="690" t="s">
        <v>591</v>
      </c>
      <c r="B92" s="688" t="s">
        <v>334</v>
      </c>
      <c r="C92" s="758">
        <f t="shared" si="2"/>
        <v>1241</v>
      </c>
      <c r="D92" s="759">
        <f t="shared" si="3"/>
        <v>1200</v>
      </c>
      <c r="E92" s="142"/>
      <c r="F92" s="755"/>
      <c r="G92" s="745"/>
      <c r="H92" s="786">
        <v>1200</v>
      </c>
    </row>
    <row r="93" spans="1:11" x14ac:dyDescent="0.2">
      <c r="A93" s="690" t="s">
        <v>592</v>
      </c>
      <c r="B93" s="688" t="s">
        <v>334</v>
      </c>
      <c r="C93" s="758">
        <f t="shared" si="2"/>
        <v>1241</v>
      </c>
      <c r="D93" s="759">
        <f t="shared" si="3"/>
        <v>1200</v>
      </c>
      <c r="E93" s="142"/>
      <c r="F93" s="755"/>
      <c r="G93" s="745"/>
      <c r="H93" s="786">
        <v>1200</v>
      </c>
    </row>
    <row r="94" spans="1:11" x14ac:dyDescent="0.2">
      <c r="A94" s="690" t="s">
        <v>593</v>
      </c>
      <c r="B94" s="688" t="s">
        <v>334</v>
      </c>
      <c r="C94" s="758">
        <f t="shared" si="2"/>
        <v>1241</v>
      </c>
      <c r="D94" s="759">
        <f t="shared" si="3"/>
        <v>1200</v>
      </c>
      <c r="E94" s="142"/>
      <c r="F94" s="755"/>
      <c r="G94" s="745"/>
      <c r="H94" s="786">
        <v>1200</v>
      </c>
    </row>
    <row r="95" spans="1:11" x14ac:dyDescent="0.2">
      <c r="A95" s="690" t="s">
        <v>594</v>
      </c>
      <c r="B95" s="688" t="s">
        <v>334</v>
      </c>
      <c r="C95" s="758">
        <f t="shared" si="2"/>
        <v>1241</v>
      </c>
      <c r="D95" s="759">
        <f t="shared" si="3"/>
        <v>1200</v>
      </c>
      <c r="E95" s="142"/>
      <c r="F95" s="755"/>
      <c r="G95" s="745"/>
      <c r="H95" s="786">
        <v>1200</v>
      </c>
    </row>
    <row r="96" spans="1:11" s="745" customFormat="1" x14ac:dyDescent="0.2">
      <c r="A96" s="760" t="s">
        <v>957</v>
      </c>
      <c r="B96" s="758" t="s">
        <v>334</v>
      </c>
      <c r="C96" s="758">
        <f t="shared" si="2"/>
        <v>1241</v>
      </c>
      <c r="D96" s="759">
        <f t="shared" si="3"/>
        <v>1200</v>
      </c>
      <c r="E96" s="746"/>
      <c r="F96" s="755"/>
      <c r="H96" s="786">
        <v>1200</v>
      </c>
    </row>
    <row r="97" spans="1:8" s="745" customFormat="1" x14ac:dyDescent="0.2">
      <c r="A97" s="760" t="s">
        <v>595</v>
      </c>
      <c r="B97" s="758" t="s">
        <v>334</v>
      </c>
      <c r="C97" s="758">
        <f t="shared" si="2"/>
        <v>1241</v>
      </c>
      <c r="D97" s="759">
        <f t="shared" si="3"/>
        <v>1200</v>
      </c>
      <c r="E97" s="746"/>
      <c r="F97" s="755"/>
      <c r="H97" s="786">
        <v>1200</v>
      </c>
    </row>
    <row r="98" spans="1:8" s="745" customFormat="1" x14ac:dyDescent="0.2">
      <c r="A98" s="760" t="s">
        <v>336</v>
      </c>
      <c r="B98" s="758" t="s">
        <v>255</v>
      </c>
      <c r="C98" s="758">
        <f t="shared" si="2"/>
        <v>217140</v>
      </c>
      <c r="D98" s="759">
        <f t="shared" si="3"/>
        <v>210000</v>
      </c>
      <c r="E98" s="746"/>
      <c r="F98" s="755">
        <v>200340</v>
      </c>
      <c r="H98" s="786">
        <v>210000</v>
      </c>
    </row>
    <row r="99" spans="1:8" s="745" customFormat="1" x14ac:dyDescent="0.2">
      <c r="A99" s="760" t="s">
        <v>337</v>
      </c>
      <c r="B99" s="758" t="s">
        <v>338</v>
      </c>
      <c r="C99" s="758">
        <f t="shared" si="2"/>
        <v>321</v>
      </c>
      <c r="D99" s="759">
        <f t="shared" si="3"/>
        <v>310</v>
      </c>
      <c r="E99" s="746"/>
      <c r="F99" s="755">
        <v>1001.7</v>
      </c>
      <c r="H99" s="786">
        <v>310</v>
      </c>
    </row>
    <row r="100" spans="1:8" s="745" customFormat="1" x14ac:dyDescent="0.2">
      <c r="A100" s="760" t="s">
        <v>339</v>
      </c>
      <c r="B100" s="758" t="s">
        <v>334</v>
      </c>
      <c r="C100" s="758">
        <f t="shared" si="2"/>
        <v>1551</v>
      </c>
      <c r="D100" s="759">
        <f t="shared" si="3"/>
        <v>1500</v>
      </c>
      <c r="E100" s="746"/>
      <c r="F100" s="755">
        <v>1224.3</v>
      </c>
      <c r="H100" s="786">
        <v>1500</v>
      </c>
    </row>
    <row r="101" spans="1:8" s="745" customFormat="1" x14ac:dyDescent="0.2">
      <c r="A101" s="760" t="s">
        <v>340</v>
      </c>
      <c r="B101" s="758" t="s">
        <v>341</v>
      </c>
      <c r="C101" s="758">
        <f t="shared" si="2"/>
        <v>0</v>
      </c>
      <c r="D101" s="759">
        <f t="shared" si="3"/>
        <v>0</v>
      </c>
      <c r="E101" s="746"/>
      <c r="F101" s="755">
        <v>2.12</v>
      </c>
      <c r="H101" s="1041">
        <v>0.32</v>
      </c>
    </row>
    <row r="102" spans="1:8" s="745" customFormat="1" x14ac:dyDescent="0.2">
      <c r="A102" s="760" t="s">
        <v>342</v>
      </c>
      <c r="B102" s="758" t="s">
        <v>255</v>
      </c>
      <c r="C102" s="758">
        <f t="shared" si="2"/>
        <v>206800</v>
      </c>
      <c r="D102" s="759">
        <f t="shared" si="3"/>
        <v>200000</v>
      </c>
      <c r="E102" s="746"/>
      <c r="F102" s="755">
        <v>116865</v>
      </c>
      <c r="H102" s="786">
        <v>200000</v>
      </c>
    </row>
    <row r="103" spans="1:8" s="745" customFormat="1" x14ac:dyDescent="0.2">
      <c r="A103" s="760" t="s">
        <v>343</v>
      </c>
      <c r="B103" s="758" t="s">
        <v>255</v>
      </c>
      <c r="C103" s="758">
        <f t="shared" si="2"/>
        <v>155100</v>
      </c>
      <c r="D103" s="759">
        <f t="shared" si="3"/>
        <v>150000</v>
      </c>
      <c r="E103" s="746" t="s">
        <v>961</v>
      </c>
      <c r="F103" s="755">
        <v>94605</v>
      </c>
      <c r="H103" s="786">
        <v>150000</v>
      </c>
    </row>
    <row r="104" spans="1:8" s="745" customFormat="1" x14ac:dyDescent="0.2">
      <c r="A104" s="760" t="s">
        <v>344</v>
      </c>
      <c r="B104" s="758" t="s">
        <v>255</v>
      </c>
      <c r="C104" s="758">
        <f t="shared" si="2"/>
        <v>15510</v>
      </c>
      <c r="D104" s="759">
        <f t="shared" si="3"/>
        <v>15000</v>
      </c>
      <c r="E104" s="746"/>
      <c r="F104" s="755">
        <v>13356</v>
      </c>
      <c r="H104" s="786">
        <v>15000</v>
      </c>
    </row>
    <row r="105" spans="1:8" x14ac:dyDescent="0.2">
      <c r="A105" s="690" t="s">
        <v>345</v>
      </c>
      <c r="B105" s="688" t="s">
        <v>255</v>
      </c>
      <c r="C105" s="758">
        <f t="shared" si="2"/>
        <v>103400</v>
      </c>
      <c r="D105" s="759">
        <f t="shared" si="3"/>
        <v>100000</v>
      </c>
      <c r="E105" s="142"/>
      <c r="F105" s="755">
        <v>83475</v>
      </c>
      <c r="G105" s="745"/>
      <c r="H105" s="786">
        <v>100000</v>
      </c>
    </row>
    <row r="106" spans="1:8" x14ac:dyDescent="0.2">
      <c r="A106" s="690" t="s">
        <v>346</v>
      </c>
      <c r="B106" s="688" t="s">
        <v>255</v>
      </c>
      <c r="C106" s="758">
        <f t="shared" si="2"/>
        <v>71647</v>
      </c>
      <c r="D106" s="759">
        <f t="shared" si="3"/>
        <v>69291</v>
      </c>
      <c r="E106" s="142"/>
      <c r="F106" s="755">
        <v>52311</v>
      </c>
      <c r="G106" s="745"/>
      <c r="H106" s="786">
        <v>69291</v>
      </c>
    </row>
    <row r="107" spans="1:8" x14ac:dyDescent="0.2">
      <c r="A107" s="1366"/>
      <c r="B107" s="1365"/>
      <c r="C107" s="1365"/>
      <c r="D107" s="1365"/>
      <c r="F107" s="139"/>
      <c r="H107" s="139"/>
    </row>
    <row r="108" spans="1:8" x14ac:dyDescent="0.2">
      <c r="A108" s="1366"/>
      <c r="B108" s="1365"/>
      <c r="C108" s="1365"/>
      <c r="D108" s="1365"/>
      <c r="F108" s="139"/>
      <c r="H108" s="139"/>
    </row>
    <row r="109" spans="1:8" hidden="1" x14ac:dyDescent="0.2">
      <c r="A109" s="1366"/>
      <c r="B109" s="1365"/>
      <c r="C109" s="1365"/>
      <c r="D109" s="1365"/>
    </row>
    <row r="110" spans="1:8" hidden="1" x14ac:dyDescent="0.2">
      <c r="A110" s="1364" t="e">
        <f>+#REF!</f>
        <v>#REF!</v>
      </c>
      <c r="B110" s="1365"/>
      <c r="C110" s="1365"/>
      <c r="D110" s="1365"/>
    </row>
    <row r="111" spans="1:8" hidden="1" x14ac:dyDescent="0.2">
      <c r="A111" s="1364" t="e">
        <f>+#REF!</f>
        <v>#REF!</v>
      </c>
      <c r="B111" s="1365"/>
      <c r="C111" s="1365"/>
      <c r="D111" s="1365"/>
    </row>
    <row r="112" spans="1:8" x14ac:dyDescent="0.2">
      <c r="A112" s="144"/>
    </row>
    <row r="113" spans="1:1" x14ac:dyDescent="0.2">
      <c r="A113" s="144"/>
    </row>
    <row r="114" spans="1:1" x14ac:dyDescent="0.2">
      <c r="A114" s="144"/>
    </row>
    <row r="115" spans="1:1" x14ac:dyDescent="0.2">
      <c r="A115" s="144"/>
    </row>
    <row r="116" spans="1:1" x14ac:dyDescent="0.2">
      <c r="A116" s="144"/>
    </row>
    <row r="117" spans="1:1" x14ac:dyDescent="0.2">
      <c r="A117" s="144"/>
    </row>
    <row r="118" spans="1:1" x14ac:dyDescent="0.2">
      <c r="A118" s="144"/>
    </row>
    <row r="119" spans="1:1" x14ac:dyDescent="0.2">
      <c r="A119" s="144"/>
    </row>
    <row r="120" spans="1:1" x14ac:dyDescent="0.2">
      <c r="A120" s="144"/>
    </row>
  </sheetData>
  <mergeCells count="9">
    <mergeCell ref="A110:D110"/>
    <mergeCell ref="A111:D111"/>
    <mergeCell ref="A107:D107"/>
    <mergeCell ref="A108:D108"/>
    <mergeCell ref="A1:D1"/>
    <mergeCell ref="A2:D2"/>
    <mergeCell ref="A3:D3"/>
    <mergeCell ref="A5:D5"/>
    <mergeCell ref="A109:D109"/>
  </mergeCells>
  <printOptions horizontalCentered="1"/>
  <pageMargins left="0.78740157480314965" right="0.78740157480314965" top="0.74803149606299213" bottom="0.74803149606299213" header="0.31496062992125984" footer="0.31496062992125984"/>
  <pageSetup paperSize="125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220"/>
  <sheetViews>
    <sheetView view="pageBreakPreview" topLeftCell="A175" zoomScaleNormal="100" zoomScaleSheetLayoutView="100" workbookViewId="0">
      <selection activeCell="A10" sqref="A10"/>
    </sheetView>
  </sheetViews>
  <sheetFormatPr baseColWidth="10" defaultRowHeight="12.75" x14ac:dyDescent="0.2"/>
  <cols>
    <col min="1" max="1" width="77.7109375" style="139" customWidth="1"/>
    <col min="2" max="2" width="14.42578125" style="141" customWidth="1"/>
    <col min="3" max="3" width="14.42578125" style="1131" customWidth="1"/>
    <col min="4" max="4" width="14.42578125" style="139" customWidth="1"/>
    <col min="5" max="6" width="11.42578125" style="139"/>
    <col min="7" max="7" width="12.42578125" style="139" hidden="1" customWidth="1"/>
    <col min="8" max="257" width="11.42578125" style="139"/>
    <col min="258" max="258" width="77.7109375" style="139" customWidth="1"/>
    <col min="259" max="259" width="11.5703125" style="139" customWidth="1"/>
    <col min="260" max="260" width="12.42578125" style="139" customWidth="1"/>
    <col min="261" max="262" width="11.42578125" style="139"/>
    <col min="263" max="263" width="0" style="139" hidden="1" customWidth="1"/>
    <col min="264" max="513" width="11.42578125" style="139"/>
    <col min="514" max="514" width="77.7109375" style="139" customWidth="1"/>
    <col min="515" max="515" width="11.5703125" style="139" customWidth="1"/>
    <col min="516" max="516" width="12.42578125" style="139" customWidth="1"/>
    <col min="517" max="518" width="11.42578125" style="139"/>
    <col min="519" max="519" width="0" style="139" hidden="1" customWidth="1"/>
    <col min="520" max="769" width="11.42578125" style="139"/>
    <col min="770" max="770" width="77.7109375" style="139" customWidth="1"/>
    <col min="771" max="771" width="11.5703125" style="139" customWidth="1"/>
    <col min="772" max="772" width="12.42578125" style="139" customWidth="1"/>
    <col min="773" max="774" width="11.42578125" style="139"/>
    <col min="775" max="775" width="0" style="139" hidden="1" customWidth="1"/>
    <col min="776" max="1025" width="11.42578125" style="139"/>
    <col min="1026" max="1026" width="77.7109375" style="139" customWidth="1"/>
    <col min="1027" max="1027" width="11.5703125" style="139" customWidth="1"/>
    <col min="1028" max="1028" width="12.42578125" style="139" customWidth="1"/>
    <col min="1029" max="1030" width="11.42578125" style="139"/>
    <col min="1031" max="1031" width="0" style="139" hidden="1" customWidth="1"/>
    <col min="1032" max="1281" width="11.42578125" style="139"/>
    <col min="1282" max="1282" width="77.7109375" style="139" customWidth="1"/>
    <col min="1283" max="1283" width="11.5703125" style="139" customWidth="1"/>
    <col min="1284" max="1284" width="12.42578125" style="139" customWidth="1"/>
    <col min="1285" max="1286" width="11.42578125" style="139"/>
    <col min="1287" max="1287" width="0" style="139" hidden="1" customWidth="1"/>
    <col min="1288" max="1537" width="11.42578125" style="139"/>
    <col min="1538" max="1538" width="77.7109375" style="139" customWidth="1"/>
    <col min="1539" max="1539" width="11.5703125" style="139" customWidth="1"/>
    <col min="1540" max="1540" width="12.42578125" style="139" customWidth="1"/>
    <col min="1541" max="1542" width="11.42578125" style="139"/>
    <col min="1543" max="1543" width="0" style="139" hidden="1" customWidth="1"/>
    <col min="1544" max="1793" width="11.42578125" style="139"/>
    <col min="1794" max="1794" width="77.7109375" style="139" customWidth="1"/>
    <col min="1795" max="1795" width="11.5703125" style="139" customWidth="1"/>
    <col min="1796" max="1796" width="12.42578125" style="139" customWidth="1"/>
    <col min="1797" max="1798" width="11.42578125" style="139"/>
    <col min="1799" max="1799" width="0" style="139" hidden="1" customWidth="1"/>
    <col min="1800" max="2049" width="11.42578125" style="139"/>
    <col min="2050" max="2050" width="77.7109375" style="139" customWidth="1"/>
    <col min="2051" max="2051" width="11.5703125" style="139" customWidth="1"/>
    <col min="2052" max="2052" width="12.42578125" style="139" customWidth="1"/>
    <col min="2053" max="2054" width="11.42578125" style="139"/>
    <col min="2055" max="2055" width="0" style="139" hidden="1" customWidth="1"/>
    <col min="2056" max="2305" width="11.42578125" style="139"/>
    <col min="2306" max="2306" width="77.7109375" style="139" customWidth="1"/>
    <col min="2307" max="2307" width="11.5703125" style="139" customWidth="1"/>
    <col min="2308" max="2308" width="12.42578125" style="139" customWidth="1"/>
    <col min="2309" max="2310" width="11.42578125" style="139"/>
    <col min="2311" max="2311" width="0" style="139" hidden="1" customWidth="1"/>
    <col min="2312" max="2561" width="11.42578125" style="139"/>
    <col min="2562" max="2562" width="77.7109375" style="139" customWidth="1"/>
    <col min="2563" max="2563" width="11.5703125" style="139" customWidth="1"/>
    <col min="2564" max="2564" width="12.42578125" style="139" customWidth="1"/>
    <col min="2565" max="2566" width="11.42578125" style="139"/>
    <col min="2567" max="2567" width="0" style="139" hidden="1" customWidth="1"/>
    <col min="2568" max="2817" width="11.42578125" style="139"/>
    <col min="2818" max="2818" width="77.7109375" style="139" customWidth="1"/>
    <col min="2819" max="2819" width="11.5703125" style="139" customWidth="1"/>
    <col min="2820" max="2820" width="12.42578125" style="139" customWidth="1"/>
    <col min="2821" max="2822" width="11.42578125" style="139"/>
    <col min="2823" max="2823" width="0" style="139" hidden="1" customWidth="1"/>
    <col min="2824" max="3073" width="11.42578125" style="139"/>
    <col min="3074" max="3074" width="77.7109375" style="139" customWidth="1"/>
    <col min="3075" max="3075" width="11.5703125" style="139" customWidth="1"/>
    <col min="3076" max="3076" width="12.42578125" style="139" customWidth="1"/>
    <col min="3077" max="3078" width="11.42578125" style="139"/>
    <col min="3079" max="3079" width="0" style="139" hidden="1" customWidth="1"/>
    <col min="3080" max="3329" width="11.42578125" style="139"/>
    <col min="3330" max="3330" width="77.7109375" style="139" customWidth="1"/>
    <col min="3331" max="3331" width="11.5703125" style="139" customWidth="1"/>
    <col min="3332" max="3332" width="12.42578125" style="139" customWidth="1"/>
    <col min="3333" max="3334" width="11.42578125" style="139"/>
    <col min="3335" max="3335" width="0" style="139" hidden="1" customWidth="1"/>
    <col min="3336" max="3585" width="11.42578125" style="139"/>
    <col min="3586" max="3586" width="77.7109375" style="139" customWidth="1"/>
    <col min="3587" max="3587" width="11.5703125" style="139" customWidth="1"/>
    <col min="3588" max="3588" width="12.42578125" style="139" customWidth="1"/>
    <col min="3589" max="3590" width="11.42578125" style="139"/>
    <col min="3591" max="3591" width="0" style="139" hidden="1" customWidth="1"/>
    <col min="3592" max="3841" width="11.42578125" style="139"/>
    <col min="3842" max="3842" width="77.7109375" style="139" customWidth="1"/>
    <col min="3843" max="3843" width="11.5703125" style="139" customWidth="1"/>
    <col min="3844" max="3844" width="12.42578125" style="139" customWidth="1"/>
    <col min="3845" max="3846" width="11.42578125" style="139"/>
    <col min="3847" max="3847" width="0" style="139" hidden="1" customWidth="1"/>
    <col min="3848" max="4097" width="11.42578125" style="139"/>
    <col min="4098" max="4098" width="77.7109375" style="139" customWidth="1"/>
    <col min="4099" max="4099" width="11.5703125" style="139" customWidth="1"/>
    <col min="4100" max="4100" width="12.42578125" style="139" customWidth="1"/>
    <col min="4101" max="4102" width="11.42578125" style="139"/>
    <col min="4103" max="4103" width="0" style="139" hidden="1" customWidth="1"/>
    <col min="4104" max="4353" width="11.42578125" style="139"/>
    <col min="4354" max="4354" width="77.7109375" style="139" customWidth="1"/>
    <col min="4355" max="4355" width="11.5703125" style="139" customWidth="1"/>
    <col min="4356" max="4356" width="12.42578125" style="139" customWidth="1"/>
    <col min="4357" max="4358" width="11.42578125" style="139"/>
    <col min="4359" max="4359" width="0" style="139" hidden="1" customWidth="1"/>
    <col min="4360" max="4609" width="11.42578125" style="139"/>
    <col min="4610" max="4610" width="77.7109375" style="139" customWidth="1"/>
    <col min="4611" max="4611" width="11.5703125" style="139" customWidth="1"/>
    <col min="4612" max="4612" width="12.42578125" style="139" customWidth="1"/>
    <col min="4613" max="4614" width="11.42578125" style="139"/>
    <col min="4615" max="4615" width="0" style="139" hidden="1" customWidth="1"/>
    <col min="4616" max="4865" width="11.42578125" style="139"/>
    <col min="4866" max="4866" width="77.7109375" style="139" customWidth="1"/>
    <col min="4867" max="4867" width="11.5703125" style="139" customWidth="1"/>
    <col min="4868" max="4868" width="12.42578125" style="139" customWidth="1"/>
    <col min="4869" max="4870" width="11.42578125" style="139"/>
    <col min="4871" max="4871" width="0" style="139" hidden="1" customWidth="1"/>
    <col min="4872" max="5121" width="11.42578125" style="139"/>
    <col min="5122" max="5122" width="77.7109375" style="139" customWidth="1"/>
    <col min="5123" max="5123" width="11.5703125" style="139" customWidth="1"/>
    <col min="5124" max="5124" width="12.42578125" style="139" customWidth="1"/>
    <col min="5125" max="5126" width="11.42578125" style="139"/>
    <col min="5127" max="5127" width="0" style="139" hidden="1" customWidth="1"/>
    <col min="5128" max="5377" width="11.42578125" style="139"/>
    <col min="5378" max="5378" width="77.7109375" style="139" customWidth="1"/>
    <col min="5379" max="5379" width="11.5703125" style="139" customWidth="1"/>
    <col min="5380" max="5380" width="12.42578125" style="139" customWidth="1"/>
    <col min="5381" max="5382" width="11.42578125" style="139"/>
    <col min="5383" max="5383" width="0" style="139" hidden="1" customWidth="1"/>
    <col min="5384" max="5633" width="11.42578125" style="139"/>
    <col min="5634" max="5634" width="77.7109375" style="139" customWidth="1"/>
    <col min="5635" max="5635" width="11.5703125" style="139" customWidth="1"/>
    <col min="5636" max="5636" width="12.42578125" style="139" customWidth="1"/>
    <col min="5637" max="5638" width="11.42578125" style="139"/>
    <col min="5639" max="5639" width="0" style="139" hidden="1" customWidth="1"/>
    <col min="5640" max="5889" width="11.42578125" style="139"/>
    <col min="5890" max="5890" width="77.7109375" style="139" customWidth="1"/>
    <col min="5891" max="5891" width="11.5703125" style="139" customWidth="1"/>
    <col min="5892" max="5892" width="12.42578125" style="139" customWidth="1"/>
    <col min="5893" max="5894" width="11.42578125" style="139"/>
    <col min="5895" max="5895" width="0" style="139" hidden="1" customWidth="1"/>
    <col min="5896" max="6145" width="11.42578125" style="139"/>
    <col min="6146" max="6146" width="77.7109375" style="139" customWidth="1"/>
    <col min="6147" max="6147" width="11.5703125" style="139" customWidth="1"/>
    <col min="6148" max="6148" width="12.42578125" style="139" customWidth="1"/>
    <col min="6149" max="6150" width="11.42578125" style="139"/>
    <col min="6151" max="6151" width="0" style="139" hidden="1" customWidth="1"/>
    <col min="6152" max="6401" width="11.42578125" style="139"/>
    <col min="6402" max="6402" width="77.7109375" style="139" customWidth="1"/>
    <col min="6403" max="6403" width="11.5703125" style="139" customWidth="1"/>
    <col min="6404" max="6404" width="12.42578125" style="139" customWidth="1"/>
    <col min="6405" max="6406" width="11.42578125" style="139"/>
    <col min="6407" max="6407" width="0" style="139" hidden="1" customWidth="1"/>
    <col min="6408" max="6657" width="11.42578125" style="139"/>
    <col min="6658" max="6658" width="77.7109375" style="139" customWidth="1"/>
    <col min="6659" max="6659" width="11.5703125" style="139" customWidth="1"/>
    <col min="6660" max="6660" width="12.42578125" style="139" customWidth="1"/>
    <col min="6661" max="6662" width="11.42578125" style="139"/>
    <col min="6663" max="6663" width="0" style="139" hidden="1" customWidth="1"/>
    <col min="6664" max="6913" width="11.42578125" style="139"/>
    <col min="6914" max="6914" width="77.7109375" style="139" customWidth="1"/>
    <col min="6915" max="6915" width="11.5703125" style="139" customWidth="1"/>
    <col min="6916" max="6916" width="12.42578125" style="139" customWidth="1"/>
    <col min="6917" max="6918" width="11.42578125" style="139"/>
    <col min="6919" max="6919" width="0" style="139" hidden="1" customWidth="1"/>
    <col min="6920" max="7169" width="11.42578125" style="139"/>
    <col min="7170" max="7170" width="77.7109375" style="139" customWidth="1"/>
    <col min="7171" max="7171" width="11.5703125" style="139" customWidth="1"/>
    <col min="7172" max="7172" width="12.42578125" style="139" customWidth="1"/>
    <col min="7173" max="7174" width="11.42578125" style="139"/>
    <col min="7175" max="7175" width="0" style="139" hidden="1" customWidth="1"/>
    <col min="7176" max="7425" width="11.42578125" style="139"/>
    <col min="7426" max="7426" width="77.7109375" style="139" customWidth="1"/>
    <col min="7427" max="7427" width="11.5703125" style="139" customWidth="1"/>
    <col min="7428" max="7428" width="12.42578125" style="139" customWidth="1"/>
    <col min="7429" max="7430" width="11.42578125" style="139"/>
    <col min="7431" max="7431" width="0" style="139" hidden="1" customWidth="1"/>
    <col min="7432" max="7681" width="11.42578125" style="139"/>
    <col min="7682" max="7682" width="77.7109375" style="139" customWidth="1"/>
    <col min="7683" max="7683" width="11.5703125" style="139" customWidth="1"/>
    <col min="7684" max="7684" width="12.42578125" style="139" customWidth="1"/>
    <col min="7685" max="7686" width="11.42578125" style="139"/>
    <col min="7687" max="7687" width="0" style="139" hidden="1" customWidth="1"/>
    <col min="7688" max="7937" width="11.42578125" style="139"/>
    <col min="7938" max="7938" width="77.7109375" style="139" customWidth="1"/>
    <col min="7939" max="7939" width="11.5703125" style="139" customWidth="1"/>
    <col min="7940" max="7940" width="12.42578125" style="139" customWidth="1"/>
    <col min="7941" max="7942" width="11.42578125" style="139"/>
    <col min="7943" max="7943" width="0" style="139" hidden="1" customWidth="1"/>
    <col min="7944" max="8193" width="11.42578125" style="139"/>
    <col min="8194" max="8194" width="77.7109375" style="139" customWidth="1"/>
    <col min="8195" max="8195" width="11.5703125" style="139" customWidth="1"/>
    <col min="8196" max="8196" width="12.42578125" style="139" customWidth="1"/>
    <col min="8197" max="8198" width="11.42578125" style="139"/>
    <col min="8199" max="8199" width="0" style="139" hidden="1" customWidth="1"/>
    <col min="8200" max="8449" width="11.42578125" style="139"/>
    <col min="8450" max="8450" width="77.7109375" style="139" customWidth="1"/>
    <col min="8451" max="8451" width="11.5703125" style="139" customWidth="1"/>
    <col min="8452" max="8452" width="12.42578125" style="139" customWidth="1"/>
    <col min="8453" max="8454" width="11.42578125" style="139"/>
    <col min="8455" max="8455" width="0" style="139" hidden="1" customWidth="1"/>
    <col min="8456" max="8705" width="11.42578125" style="139"/>
    <col min="8706" max="8706" width="77.7109375" style="139" customWidth="1"/>
    <col min="8707" max="8707" width="11.5703125" style="139" customWidth="1"/>
    <col min="8708" max="8708" width="12.42578125" style="139" customWidth="1"/>
    <col min="8709" max="8710" width="11.42578125" style="139"/>
    <col min="8711" max="8711" width="0" style="139" hidden="1" customWidth="1"/>
    <col min="8712" max="8961" width="11.42578125" style="139"/>
    <col min="8962" max="8962" width="77.7109375" style="139" customWidth="1"/>
    <col min="8963" max="8963" width="11.5703125" style="139" customWidth="1"/>
    <col min="8964" max="8964" width="12.42578125" style="139" customWidth="1"/>
    <col min="8965" max="8966" width="11.42578125" style="139"/>
    <col min="8967" max="8967" width="0" style="139" hidden="1" customWidth="1"/>
    <col min="8968" max="9217" width="11.42578125" style="139"/>
    <col min="9218" max="9218" width="77.7109375" style="139" customWidth="1"/>
    <col min="9219" max="9219" width="11.5703125" style="139" customWidth="1"/>
    <col min="9220" max="9220" width="12.42578125" style="139" customWidth="1"/>
    <col min="9221" max="9222" width="11.42578125" style="139"/>
    <col min="9223" max="9223" width="0" style="139" hidden="1" customWidth="1"/>
    <col min="9224" max="9473" width="11.42578125" style="139"/>
    <col min="9474" max="9474" width="77.7109375" style="139" customWidth="1"/>
    <col min="9475" max="9475" width="11.5703125" style="139" customWidth="1"/>
    <col min="9476" max="9476" width="12.42578125" style="139" customWidth="1"/>
    <col min="9477" max="9478" width="11.42578125" style="139"/>
    <col min="9479" max="9479" width="0" style="139" hidden="1" customWidth="1"/>
    <col min="9480" max="9729" width="11.42578125" style="139"/>
    <col min="9730" max="9730" width="77.7109375" style="139" customWidth="1"/>
    <col min="9731" max="9731" width="11.5703125" style="139" customWidth="1"/>
    <col min="9732" max="9732" width="12.42578125" style="139" customWidth="1"/>
    <col min="9733" max="9734" width="11.42578125" style="139"/>
    <col min="9735" max="9735" width="0" style="139" hidden="1" customWidth="1"/>
    <col min="9736" max="9985" width="11.42578125" style="139"/>
    <col min="9986" max="9986" width="77.7109375" style="139" customWidth="1"/>
    <col min="9987" max="9987" width="11.5703125" style="139" customWidth="1"/>
    <col min="9988" max="9988" width="12.42578125" style="139" customWidth="1"/>
    <col min="9989" max="9990" width="11.42578125" style="139"/>
    <col min="9991" max="9991" width="0" style="139" hidden="1" customWidth="1"/>
    <col min="9992" max="10241" width="11.42578125" style="139"/>
    <col min="10242" max="10242" width="77.7109375" style="139" customWidth="1"/>
    <col min="10243" max="10243" width="11.5703125" style="139" customWidth="1"/>
    <col min="10244" max="10244" width="12.42578125" style="139" customWidth="1"/>
    <col min="10245" max="10246" width="11.42578125" style="139"/>
    <col min="10247" max="10247" width="0" style="139" hidden="1" customWidth="1"/>
    <col min="10248" max="10497" width="11.42578125" style="139"/>
    <col min="10498" max="10498" width="77.7109375" style="139" customWidth="1"/>
    <col min="10499" max="10499" width="11.5703125" style="139" customWidth="1"/>
    <col min="10500" max="10500" width="12.42578125" style="139" customWidth="1"/>
    <col min="10501" max="10502" width="11.42578125" style="139"/>
    <col min="10503" max="10503" width="0" style="139" hidden="1" customWidth="1"/>
    <col min="10504" max="10753" width="11.42578125" style="139"/>
    <col min="10754" max="10754" width="77.7109375" style="139" customWidth="1"/>
    <col min="10755" max="10755" width="11.5703125" style="139" customWidth="1"/>
    <col min="10756" max="10756" width="12.42578125" style="139" customWidth="1"/>
    <col min="10757" max="10758" width="11.42578125" style="139"/>
    <col min="10759" max="10759" width="0" style="139" hidden="1" customWidth="1"/>
    <col min="10760" max="11009" width="11.42578125" style="139"/>
    <col min="11010" max="11010" width="77.7109375" style="139" customWidth="1"/>
    <col min="11011" max="11011" width="11.5703125" style="139" customWidth="1"/>
    <col min="11012" max="11012" width="12.42578125" style="139" customWidth="1"/>
    <col min="11013" max="11014" width="11.42578125" style="139"/>
    <col min="11015" max="11015" width="0" style="139" hidden="1" customWidth="1"/>
    <col min="11016" max="11265" width="11.42578125" style="139"/>
    <col min="11266" max="11266" width="77.7109375" style="139" customWidth="1"/>
    <col min="11267" max="11267" width="11.5703125" style="139" customWidth="1"/>
    <col min="11268" max="11268" width="12.42578125" style="139" customWidth="1"/>
    <col min="11269" max="11270" width="11.42578125" style="139"/>
    <col min="11271" max="11271" width="0" style="139" hidden="1" customWidth="1"/>
    <col min="11272" max="11521" width="11.42578125" style="139"/>
    <col min="11522" max="11522" width="77.7109375" style="139" customWidth="1"/>
    <col min="11523" max="11523" width="11.5703125" style="139" customWidth="1"/>
    <col min="11524" max="11524" width="12.42578125" style="139" customWidth="1"/>
    <col min="11525" max="11526" width="11.42578125" style="139"/>
    <col min="11527" max="11527" width="0" style="139" hidden="1" customWidth="1"/>
    <col min="11528" max="11777" width="11.42578125" style="139"/>
    <col min="11778" max="11778" width="77.7109375" style="139" customWidth="1"/>
    <col min="11779" max="11779" width="11.5703125" style="139" customWidth="1"/>
    <col min="11780" max="11780" width="12.42578125" style="139" customWidth="1"/>
    <col min="11781" max="11782" width="11.42578125" style="139"/>
    <col min="11783" max="11783" width="0" style="139" hidden="1" customWidth="1"/>
    <col min="11784" max="12033" width="11.42578125" style="139"/>
    <col min="12034" max="12034" width="77.7109375" style="139" customWidth="1"/>
    <col min="12035" max="12035" width="11.5703125" style="139" customWidth="1"/>
    <col min="12036" max="12036" width="12.42578125" style="139" customWidth="1"/>
    <col min="12037" max="12038" width="11.42578125" style="139"/>
    <col min="12039" max="12039" width="0" style="139" hidden="1" customWidth="1"/>
    <col min="12040" max="12289" width="11.42578125" style="139"/>
    <col min="12290" max="12290" width="77.7109375" style="139" customWidth="1"/>
    <col min="12291" max="12291" width="11.5703125" style="139" customWidth="1"/>
    <col min="12292" max="12292" width="12.42578125" style="139" customWidth="1"/>
    <col min="12293" max="12294" width="11.42578125" style="139"/>
    <col min="12295" max="12295" width="0" style="139" hidden="1" customWidth="1"/>
    <col min="12296" max="12545" width="11.42578125" style="139"/>
    <col min="12546" max="12546" width="77.7109375" style="139" customWidth="1"/>
    <col min="12547" max="12547" width="11.5703125" style="139" customWidth="1"/>
    <col min="12548" max="12548" width="12.42578125" style="139" customWidth="1"/>
    <col min="12549" max="12550" width="11.42578125" style="139"/>
    <col min="12551" max="12551" width="0" style="139" hidden="1" customWidth="1"/>
    <col min="12552" max="12801" width="11.42578125" style="139"/>
    <col min="12802" max="12802" width="77.7109375" style="139" customWidth="1"/>
    <col min="12803" max="12803" width="11.5703125" style="139" customWidth="1"/>
    <col min="12804" max="12804" width="12.42578125" style="139" customWidth="1"/>
    <col min="12805" max="12806" width="11.42578125" style="139"/>
    <col min="12807" max="12807" width="0" style="139" hidden="1" customWidth="1"/>
    <col min="12808" max="13057" width="11.42578125" style="139"/>
    <col min="13058" max="13058" width="77.7109375" style="139" customWidth="1"/>
    <col min="13059" max="13059" width="11.5703125" style="139" customWidth="1"/>
    <col min="13060" max="13060" width="12.42578125" style="139" customWidth="1"/>
    <col min="13061" max="13062" width="11.42578125" style="139"/>
    <col min="13063" max="13063" width="0" style="139" hidden="1" customWidth="1"/>
    <col min="13064" max="13313" width="11.42578125" style="139"/>
    <col min="13314" max="13314" width="77.7109375" style="139" customWidth="1"/>
    <col min="13315" max="13315" width="11.5703125" style="139" customWidth="1"/>
    <col min="13316" max="13316" width="12.42578125" style="139" customWidth="1"/>
    <col min="13317" max="13318" width="11.42578125" style="139"/>
    <col min="13319" max="13319" width="0" style="139" hidden="1" customWidth="1"/>
    <col min="13320" max="13569" width="11.42578125" style="139"/>
    <col min="13570" max="13570" width="77.7109375" style="139" customWidth="1"/>
    <col min="13571" max="13571" width="11.5703125" style="139" customWidth="1"/>
    <col min="13572" max="13572" width="12.42578125" style="139" customWidth="1"/>
    <col min="13573" max="13574" width="11.42578125" style="139"/>
    <col min="13575" max="13575" width="0" style="139" hidden="1" customWidth="1"/>
    <col min="13576" max="13825" width="11.42578125" style="139"/>
    <col min="13826" max="13826" width="77.7109375" style="139" customWidth="1"/>
    <col min="13827" max="13827" width="11.5703125" style="139" customWidth="1"/>
    <col min="13828" max="13828" width="12.42578125" style="139" customWidth="1"/>
    <col min="13829" max="13830" width="11.42578125" style="139"/>
    <col min="13831" max="13831" width="0" style="139" hidden="1" customWidth="1"/>
    <col min="13832" max="14081" width="11.42578125" style="139"/>
    <col min="14082" max="14082" width="77.7109375" style="139" customWidth="1"/>
    <col min="14083" max="14083" width="11.5703125" style="139" customWidth="1"/>
    <col min="14084" max="14084" width="12.42578125" style="139" customWidth="1"/>
    <col min="14085" max="14086" width="11.42578125" style="139"/>
    <col min="14087" max="14087" width="0" style="139" hidden="1" customWidth="1"/>
    <col min="14088" max="14337" width="11.42578125" style="139"/>
    <col min="14338" max="14338" width="77.7109375" style="139" customWidth="1"/>
    <col min="14339" max="14339" width="11.5703125" style="139" customWidth="1"/>
    <col min="14340" max="14340" width="12.42578125" style="139" customWidth="1"/>
    <col min="14341" max="14342" width="11.42578125" style="139"/>
    <col min="14343" max="14343" width="0" style="139" hidden="1" customWidth="1"/>
    <col min="14344" max="14593" width="11.42578125" style="139"/>
    <col min="14594" max="14594" width="77.7109375" style="139" customWidth="1"/>
    <col min="14595" max="14595" width="11.5703125" style="139" customWidth="1"/>
    <col min="14596" max="14596" width="12.42578125" style="139" customWidth="1"/>
    <col min="14597" max="14598" width="11.42578125" style="139"/>
    <col min="14599" max="14599" width="0" style="139" hidden="1" customWidth="1"/>
    <col min="14600" max="14849" width="11.42578125" style="139"/>
    <col min="14850" max="14850" width="77.7109375" style="139" customWidth="1"/>
    <col min="14851" max="14851" width="11.5703125" style="139" customWidth="1"/>
    <col min="14852" max="14852" width="12.42578125" style="139" customWidth="1"/>
    <col min="14853" max="14854" width="11.42578125" style="139"/>
    <col min="14855" max="14855" width="0" style="139" hidden="1" customWidth="1"/>
    <col min="14856" max="15105" width="11.42578125" style="139"/>
    <col min="15106" max="15106" width="77.7109375" style="139" customWidth="1"/>
    <col min="15107" max="15107" width="11.5703125" style="139" customWidth="1"/>
    <col min="15108" max="15108" width="12.42578125" style="139" customWidth="1"/>
    <col min="15109" max="15110" width="11.42578125" style="139"/>
    <col min="15111" max="15111" width="0" style="139" hidden="1" customWidth="1"/>
    <col min="15112" max="15361" width="11.42578125" style="139"/>
    <col min="15362" max="15362" width="77.7109375" style="139" customWidth="1"/>
    <col min="15363" max="15363" width="11.5703125" style="139" customWidth="1"/>
    <col min="15364" max="15364" width="12.42578125" style="139" customWidth="1"/>
    <col min="15365" max="15366" width="11.42578125" style="139"/>
    <col min="15367" max="15367" width="0" style="139" hidden="1" customWidth="1"/>
    <col min="15368" max="15617" width="11.42578125" style="139"/>
    <col min="15618" max="15618" width="77.7109375" style="139" customWidth="1"/>
    <col min="15619" max="15619" width="11.5703125" style="139" customWidth="1"/>
    <col min="15620" max="15620" width="12.42578125" style="139" customWidth="1"/>
    <col min="15621" max="15622" width="11.42578125" style="139"/>
    <col min="15623" max="15623" width="0" style="139" hidden="1" customWidth="1"/>
    <col min="15624" max="15873" width="11.42578125" style="139"/>
    <col min="15874" max="15874" width="77.7109375" style="139" customWidth="1"/>
    <col min="15875" max="15875" width="11.5703125" style="139" customWidth="1"/>
    <col min="15876" max="15876" width="12.42578125" style="139" customWidth="1"/>
    <col min="15877" max="15878" width="11.42578125" style="139"/>
    <col min="15879" max="15879" width="0" style="139" hidden="1" customWidth="1"/>
    <col min="15880" max="16129" width="11.42578125" style="139"/>
    <col min="16130" max="16130" width="77.7109375" style="139" customWidth="1"/>
    <col min="16131" max="16131" width="11.5703125" style="139" customWidth="1"/>
    <col min="16132" max="16132" width="12.42578125" style="139" customWidth="1"/>
    <col min="16133" max="16134" width="11.42578125" style="139"/>
    <col min="16135" max="16135" width="0" style="139" hidden="1" customWidth="1"/>
    <col min="16136" max="16384" width="11.42578125" style="139"/>
  </cols>
  <sheetData>
    <row r="1" spans="1:16" ht="18.75" x14ac:dyDescent="0.2">
      <c r="A1" s="1176" t="s">
        <v>0</v>
      </c>
      <c r="B1" s="1176"/>
      <c r="C1" s="1176"/>
      <c r="D1" s="1176"/>
      <c r="E1" s="87"/>
      <c r="F1" s="87"/>
      <c r="G1" s="87"/>
      <c r="H1" s="87"/>
      <c r="I1" s="87"/>
      <c r="J1" s="87"/>
    </row>
    <row r="2" spans="1:16" ht="18.75" x14ac:dyDescent="0.2">
      <c r="A2" s="1176" t="s">
        <v>1</v>
      </c>
      <c r="B2" s="1176"/>
      <c r="C2" s="1176"/>
      <c r="D2" s="1176"/>
      <c r="E2" s="87"/>
      <c r="F2" s="87"/>
      <c r="G2" s="87"/>
      <c r="H2" s="87"/>
      <c r="I2" s="87"/>
      <c r="J2" s="87"/>
    </row>
    <row r="3" spans="1:16" ht="18.75" x14ac:dyDescent="0.2">
      <c r="A3" s="1176" t="str">
        <f>+Equipo!A3</f>
        <v>ALCALDÍA MUNICIPAL DE SAN LORENZO</v>
      </c>
      <c r="B3" s="1176"/>
      <c r="C3" s="1176"/>
      <c r="D3" s="1176"/>
      <c r="E3" s="87"/>
      <c r="F3" s="87"/>
      <c r="G3" s="87"/>
      <c r="H3" s="87"/>
      <c r="I3" s="87"/>
      <c r="J3" s="87"/>
    </row>
    <row r="4" spans="1:16" ht="5.25" customHeight="1" x14ac:dyDescent="0.2">
      <c r="A4" s="1176"/>
      <c r="B4" s="1176"/>
      <c r="C4" s="1176"/>
      <c r="D4" s="1176"/>
      <c r="E4" s="76"/>
      <c r="F4" s="76"/>
      <c r="G4" s="76"/>
      <c r="H4" s="76"/>
      <c r="I4" s="89"/>
      <c r="J4" s="89"/>
    </row>
    <row r="5" spans="1:16" ht="20.25" x14ac:dyDescent="0.2">
      <c r="A5" s="1292" t="str">
        <f>+'Presup '!B5</f>
        <v>MEJORAMIENTO VÍA LA LAGUNA, SALINAS, LOS OLIVOS</v>
      </c>
      <c r="B5" s="1292"/>
      <c r="C5" s="1292"/>
      <c r="D5" s="1292"/>
      <c r="E5" s="90" t="s">
        <v>1092</v>
      </c>
      <c r="F5" s="90"/>
      <c r="G5" s="90"/>
      <c r="H5" s="90"/>
      <c r="I5" s="90"/>
      <c r="J5" s="90"/>
      <c r="K5" s="90"/>
      <c r="L5" s="90"/>
      <c r="M5" s="90"/>
      <c r="N5" s="745"/>
      <c r="O5" s="745"/>
      <c r="P5" s="745"/>
    </row>
    <row r="6" spans="1:16" ht="6" customHeight="1" x14ac:dyDescent="0.2">
      <c r="A6" s="680"/>
      <c r="B6" s="680"/>
      <c r="C6" s="1130"/>
      <c r="D6" s="680"/>
      <c r="E6" s="90" t="s">
        <v>1093</v>
      </c>
      <c r="F6" s="90"/>
      <c r="G6" s="90"/>
      <c r="H6" s="90"/>
      <c r="I6" s="1013"/>
      <c r="J6" s="90"/>
      <c r="K6" s="90"/>
      <c r="L6" s="90"/>
      <c r="M6" s="90"/>
      <c r="N6" s="745"/>
      <c r="O6" s="745"/>
      <c r="P6" s="745"/>
    </row>
    <row r="7" spans="1:16" s="141" customFormat="1" ht="13.5" thickBot="1" x14ac:dyDescent="0.25">
      <c r="A7" s="140" t="s">
        <v>347</v>
      </c>
      <c r="B7" s="140" t="s">
        <v>252</v>
      </c>
      <c r="C7" s="140" t="s">
        <v>1217</v>
      </c>
      <c r="D7" s="140" t="s">
        <v>1109</v>
      </c>
      <c r="E7" s="993" t="s">
        <v>1094</v>
      </c>
      <c r="F7" s="993" t="s">
        <v>1095</v>
      </c>
      <c r="G7" s="993"/>
      <c r="H7" s="1014">
        <v>1.1000000000000001</v>
      </c>
      <c r="I7" s="140" t="s">
        <v>1096</v>
      </c>
      <c r="J7" s="1014"/>
      <c r="K7" s="993"/>
      <c r="L7" s="244"/>
      <c r="M7" s="993"/>
      <c r="N7" s="993"/>
      <c r="O7" s="993"/>
      <c r="P7" s="993"/>
    </row>
    <row r="8" spans="1:16" ht="16.5" thickTop="1" thickBot="1" x14ac:dyDescent="0.3">
      <c r="A8" s="690" t="s">
        <v>348</v>
      </c>
      <c r="B8" s="688" t="s">
        <v>338</v>
      </c>
      <c r="C8" s="1133">
        <f>+ROUNDUP((D8*0.034)+D8,0)+1200</f>
        <v>5071</v>
      </c>
      <c r="D8" s="691">
        <f>+ROUND(E8,0)</f>
        <v>3743</v>
      </c>
      <c r="E8" s="749">
        <f>2493+1250</f>
        <v>3743</v>
      </c>
      <c r="F8" s="1015">
        <v>2448.7440229964477</v>
      </c>
      <c r="G8" s="1016">
        <f>+F8/E8</f>
        <v>0.65421961608240653</v>
      </c>
      <c r="H8" s="1017">
        <f>MAX(E8:F8)*$H$7</f>
        <v>4117.3</v>
      </c>
      <c r="I8" s="145">
        <v>2700</v>
      </c>
      <c r="J8" s="1018">
        <f>+E8/I8</f>
        <v>1.3862962962962964</v>
      </c>
      <c r="K8" s="745"/>
      <c r="L8" s="754"/>
      <c r="M8" s="745"/>
      <c r="N8" s="745"/>
      <c r="O8" s="745"/>
      <c r="P8" s="745"/>
    </row>
    <row r="9" spans="1:16" s="745" customFormat="1" ht="16.5" thickTop="1" thickBot="1" x14ac:dyDescent="0.3">
      <c r="A9" s="760" t="s">
        <v>349</v>
      </c>
      <c r="B9" s="758" t="s">
        <v>338</v>
      </c>
      <c r="C9" s="1133">
        <f>+ROUNDUP((D9*0.034)+D9,0)+1200</f>
        <v>5416</v>
      </c>
      <c r="D9" s="762">
        <f t="shared" ref="D9:D72" si="0">+ROUND(E9,0)</f>
        <v>4077</v>
      </c>
      <c r="E9" s="749">
        <f>2827+1250</f>
        <v>4077</v>
      </c>
      <c r="F9" s="1015">
        <v>2448.7440229964477</v>
      </c>
      <c r="G9" s="1016">
        <f t="shared" ref="G9:G40" si="1">+F9/E9</f>
        <v>0.60062399386716891</v>
      </c>
      <c r="H9" s="1017">
        <f t="shared" ref="H9:H40" si="2">MAX(E9:F9)*$H$7</f>
        <v>4484.7000000000007</v>
      </c>
      <c r="I9" s="750">
        <v>2600</v>
      </c>
      <c r="J9" s="1018">
        <f t="shared" ref="J9:J40" si="3">+E9/I9</f>
        <v>1.5680769230769231</v>
      </c>
      <c r="L9" s="754"/>
    </row>
    <row r="10" spans="1:16" s="745" customFormat="1" ht="16.5" thickTop="1" thickBot="1" x14ac:dyDescent="0.3">
      <c r="A10" s="760" t="s">
        <v>350</v>
      </c>
      <c r="B10" s="758" t="s">
        <v>338</v>
      </c>
      <c r="C10" s="1133">
        <f>+ROUNDUP((D10*0.034)+D10,0)+1200</f>
        <v>4840</v>
      </c>
      <c r="D10" s="762">
        <f t="shared" si="0"/>
        <v>3520</v>
      </c>
      <c r="E10" s="749">
        <f>2270+1250</f>
        <v>3520</v>
      </c>
      <c r="F10" s="1015">
        <v>2229.3880212131371</v>
      </c>
      <c r="G10" s="1016">
        <f t="shared" si="1"/>
        <v>0.633348869662823</v>
      </c>
      <c r="H10" s="1017">
        <f t="shared" si="2"/>
        <v>3872.0000000000005</v>
      </c>
      <c r="I10" s="750">
        <v>2600</v>
      </c>
      <c r="J10" s="1018">
        <f t="shared" si="3"/>
        <v>1.3538461538461539</v>
      </c>
      <c r="L10" s="754"/>
    </row>
    <row r="11" spans="1:16" s="745" customFormat="1" ht="16.5" thickTop="1" thickBot="1" x14ac:dyDescent="0.3">
      <c r="A11" s="760" t="s">
        <v>351</v>
      </c>
      <c r="B11" s="758" t="s">
        <v>338</v>
      </c>
      <c r="C11" s="1133">
        <f>+ROUNDUP((D11*0.034)+D11,0)+1200</f>
        <v>5336</v>
      </c>
      <c r="D11" s="762">
        <f t="shared" si="0"/>
        <v>4000</v>
      </c>
      <c r="E11" s="749">
        <f>2750+1250</f>
        <v>4000</v>
      </c>
      <c r="F11" s="1015">
        <v>2887.9884000000002</v>
      </c>
      <c r="G11" s="1016">
        <f t="shared" si="1"/>
        <v>0.72199710000000006</v>
      </c>
      <c r="H11" s="1017">
        <f t="shared" si="2"/>
        <v>4400</v>
      </c>
      <c r="I11" s="1019">
        <f>2600*1.15</f>
        <v>2989.9999999999995</v>
      </c>
      <c r="J11" s="1018">
        <f t="shared" si="3"/>
        <v>1.3377926421404684</v>
      </c>
      <c r="K11" s="1015">
        <v>3230</v>
      </c>
      <c r="L11" s="754"/>
    </row>
    <row r="12" spans="1:16" s="745" customFormat="1" ht="16.5" thickTop="1" thickBot="1" x14ac:dyDescent="0.3">
      <c r="A12" s="760" t="s">
        <v>352</v>
      </c>
      <c r="B12" s="758" t="s">
        <v>353</v>
      </c>
      <c r="C12" s="1133">
        <f t="shared" ref="C12:C72" si="4">+ROUNDUP((D12*0.034)+D12,0)</f>
        <v>59063</v>
      </c>
      <c r="D12" s="762">
        <f t="shared" si="0"/>
        <v>57120</v>
      </c>
      <c r="E12" s="749">
        <v>57120</v>
      </c>
      <c r="F12" s="1015">
        <v>48000</v>
      </c>
      <c r="G12" s="1016">
        <f t="shared" si="1"/>
        <v>0.84033613445378152</v>
      </c>
      <c r="H12" s="1017">
        <f t="shared" si="2"/>
        <v>62832.000000000007</v>
      </c>
      <c r="I12" s="750">
        <v>54600</v>
      </c>
      <c r="J12" s="1018">
        <f t="shared" si="3"/>
        <v>1.0461538461538462</v>
      </c>
      <c r="L12" s="754"/>
    </row>
    <row r="13" spans="1:16" s="745" customFormat="1" ht="16.5" thickTop="1" thickBot="1" x14ac:dyDescent="0.3">
      <c r="A13" s="760" t="s">
        <v>354</v>
      </c>
      <c r="B13" s="758" t="s">
        <v>59</v>
      </c>
      <c r="C13" s="1133">
        <f t="shared" si="4"/>
        <v>749</v>
      </c>
      <c r="D13" s="762">
        <f t="shared" si="0"/>
        <v>724</v>
      </c>
      <c r="E13" s="749">
        <v>724</v>
      </c>
      <c r="F13" s="1015">
        <v>840</v>
      </c>
      <c r="G13" s="1016">
        <f t="shared" si="1"/>
        <v>1.160220994475138</v>
      </c>
      <c r="H13" s="1017">
        <f t="shared" si="2"/>
        <v>924.00000000000011</v>
      </c>
      <c r="I13" s="750">
        <v>1100</v>
      </c>
      <c r="J13" s="1018">
        <f t="shared" si="3"/>
        <v>0.6581818181818182</v>
      </c>
      <c r="L13" s="754"/>
    </row>
    <row r="14" spans="1:16" s="745" customFormat="1" ht="16.5" thickTop="1" thickBot="1" x14ac:dyDescent="0.3">
      <c r="A14" s="760" t="s">
        <v>355</v>
      </c>
      <c r="B14" s="758" t="s">
        <v>59</v>
      </c>
      <c r="C14" s="1133">
        <f t="shared" si="4"/>
        <v>874</v>
      </c>
      <c r="D14" s="762">
        <f t="shared" si="0"/>
        <v>845</v>
      </c>
      <c r="E14" s="749">
        <v>845</v>
      </c>
      <c r="F14" s="1015">
        <v>770</v>
      </c>
      <c r="G14" s="1016">
        <f t="shared" si="1"/>
        <v>0.91124260355029585</v>
      </c>
      <c r="H14" s="1017">
        <f t="shared" si="2"/>
        <v>929.50000000000011</v>
      </c>
      <c r="I14" s="750">
        <v>2300</v>
      </c>
      <c r="J14" s="1018">
        <f t="shared" si="3"/>
        <v>0.36739130434782608</v>
      </c>
      <c r="L14" s="754"/>
    </row>
    <row r="15" spans="1:16" s="745" customFormat="1" ht="16.5" thickTop="1" thickBot="1" x14ac:dyDescent="0.3">
      <c r="A15" s="760" t="s">
        <v>356</v>
      </c>
      <c r="B15" s="758" t="s">
        <v>357</v>
      </c>
      <c r="C15" s="1133">
        <f t="shared" si="4"/>
        <v>62040</v>
      </c>
      <c r="D15" s="762">
        <f t="shared" si="0"/>
        <v>60000</v>
      </c>
      <c r="E15" s="749">
        <v>60000</v>
      </c>
      <c r="F15" s="1015">
        <v>60000</v>
      </c>
      <c r="G15" s="1016">
        <f t="shared" si="1"/>
        <v>1</v>
      </c>
      <c r="H15" s="1017">
        <f t="shared" si="2"/>
        <v>66000</v>
      </c>
      <c r="I15" s="1020">
        <v>41000</v>
      </c>
      <c r="J15" s="1018">
        <f t="shared" si="3"/>
        <v>1.4634146341463414</v>
      </c>
      <c r="L15" s="754"/>
      <c r="N15" s="748"/>
    </row>
    <row r="16" spans="1:16" s="745" customFormat="1" ht="16.5" thickTop="1" thickBot="1" x14ac:dyDescent="0.3">
      <c r="A16" s="760" t="s">
        <v>358</v>
      </c>
      <c r="B16" s="758" t="s">
        <v>357</v>
      </c>
      <c r="C16" s="1133">
        <f t="shared" si="4"/>
        <v>77550</v>
      </c>
      <c r="D16" s="762">
        <f t="shared" si="0"/>
        <v>75000</v>
      </c>
      <c r="E16" s="749">
        <v>75000</v>
      </c>
      <c r="F16" s="1015">
        <v>75000</v>
      </c>
      <c r="G16" s="1016">
        <f t="shared" si="1"/>
        <v>1</v>
      </c>
      <c r="H16" s="1017">
        <f t="shared" si="2"/>
        <v>82500</v>
      </c>
      <c r="I16" s="750">
        <v>45000</v>
      </c>
      <c r="J16" s="1018">
        <f t="shared" si="3"/>
        <v>1.6666666666666667</v>
      </c>
      <c r="L16" s="754"/>
      <c r="P16" s="748"/>
    </row>
    <row r="17" spans="1:12" s="745" customFormat="1" ht="16.5" thickTop="1" thickBot="1" x14ac:dyDescent="0.3">
      <c r="A17" s="760" t="s">
        <v>359</v>
      </c>
      <c r="B17" s="758" t="s">
        <v>357</v>
      </c>
      <c r="C17" s="1133">
        <f t="shared" si="4"/>
        <v>77550</v>
      </c>
      <c r="D17" s="762">
        <f t="shared" si="0"/>
        <v>75000</v>
      </c>
      <c r="E17" s="749">
        <v>75000</v>
      </c>
      <c r="F17" s="1015">
        <v>75000</v>
      </c>
      <c r="G17" s="1016">
        <f t="shared" si="1"/>
        <v>1</v>
      </c>
      <c r="H17" s="1017">
        <f t="shared" si="2"/>
        <v>82500</v>
      </c>
      <c r="I17" s="750">
        <v>45000</v>
      </c>
      <c r="J17" s="1018">
        <f t="shared" si="3"/>
        <v>1.6666666666666667</v>
      </c>
      <c r="L17" s="754"/>
    </row>
    <row r="18" spans="1:12" s="745" customFormat="1" ht="16.5" thickTop="1" thickBot="1" x14ac:dyDescent="0.3">
      <c r="A18" s="760" t="s">
        <v>360</v>
      </c>
      <c r="B18" s="758" t="s">
        <v>357</v>
      </c>
      <c r="C18" s="1133">
        <f t="shared" si="4"/>
        <v>72380</v>
      </c>
      <c r="D18" s="762">
        <f t="shared" si="0"/>
        <v>70000</v>
      </c>
      <c r="E18" s="749">
        <v>70000</v>
      </c>
      <c r="F18" s="1015">
        <v>70000</v>
      </c>
      <c r="G18" s="1016">
        <f t="shared" si="1"/>
        <v>1</v>
      </c>
      <c r="H18" s="1017">
        <f t="shared" si="2"/>
        <v>77000</v>
      </c>
      <c r="I18" s="750">
        <v>45000</v>
      </c>
      <c r="J18" s="1018">
        <f t="shared" si="3"/>
        <v>1.5555555555555556</v>
      </c>
      <c r="L18" s="754"/>
    </row>
    <row r="19" spans="1:12" s="745" customFormat="1" ht="16.5" thickTop="1" thickBot="1" x14ac:dyDescent="0.3">
      <c r="A19" s="760" t="s">
        <v>361</v>
      </c>
      <c r="B19" s="758" t="s">
        <v>357</v>
      </c>
      <c r="C19" s="1133">
        <f t="shared" si="4"/>
        <v>25850</v>
      </c>
      <c r="D19" s="762">
        <f t="shared" si="0"/>
        <v>25000</v>
      </c>
      <c r="E19" s="749">
        <v>25000</v>
      </c>
      <c r="F19" s="1015">
        <v>25000</v>
      </c>
      <c r="G19" s="1016">
        <f t="shared" si="1"/>
        <v>1</v>
      </c>
      <c r="H19" s="1017">
        <f t="shared" si="2"/>
        <v>27500.000000000004</v>
      </c>
      <c r="I19" s="750">
        <v>16400</v>
      </c>
      <c r="J19" s="1018">
        <f t="shared" si="3"/>
        <v>1.524390243902439</v>
      </c>
      <c r="L19" s="754"/>
    </row>
    <row r="20" spans="1:12" s="745" customFormat="1" ht="16.5" thickTop="1" thickBot="1" x14ac:dyDescent="0.3">
      <c r="A20" s="760" t="s">
        <v>362</v>
      </c>
      <c r="B20" s="758" t="s">
        <v>357</v>
      </c>
      <c r="C20" s="1133">
        <f t="shared" si="4"/>
        <v>62040</v>
      </c>
      <c r="D20" s="762">
        <f t="shared" si="0"/>
        <v>60000</v>
      </c>
      <c r="E20" s="749">
        <v>60000</v>
      </c>
      <c r="F20" s="1015">
        <v>60000</v>
      </c>
      <c r="G20" s="1016">
        <f t="shared" si="1"/>
        <v>1</v>
      </c>
      <c r="H20" s="1017">
        <f t="shared" si="2"/>
        <v>66000</v>
      </c>
      <c r="I20" s="750">
        <v>40000</v>
      </c>
      <c r="J20" s="1018">
        <f t="shared" si="3"/>
        <v>1.5</v>
      </c>
      <c r="L20" s="754"/>
    </row>
    <row r="21" spans="1:12" s="745" customFormat="1" ht="16.5" thickTop="1" thickBot="1" x14ac:dyDescent="0.3">
      <c r="A21" s="760" t="s">
        <v>363</v>
      </c>
      <c r="B21" s="758" t="s">
        <v>357</v>
      </c>
      <c r="C21" s="1133">
        <f t="shared" si="4"/>
        <v>39300</v>
      </c>
      <c r="D21" s="762">
        <f t="shared" si="0"/>
        <v>38007</v>
      </c>
      <c r="E21" s="749">
        <v>38007</v>
      </c>
      <c r="F21" s="1015">
        <v>37334.617126861223</v>
      </c>
      <c r="G21" s="1016">
        <f t="shared" si="1"/>
        <v>0.98230897273821205</v>
      </c>
      <c r="H21" s="1017">
        <f t="shared" si="2"/>
        <v>41807.700000000004</v>
      </c>
      <c r="I21" s="750">
        <v>39900</v>
      </c>
      <c r="J21" s="1018">
        <f t="shared" si="3"/>
        <v>0.9525563909774436</v>
      </c>
      <c r="L21" s="754"/>
    </row>
    <row r="22" spans="1:12" s="745" customFormat="1" ht="16.5" thickTop="1" thickBot="1" x14ac:dyDescent="0.3">
      <c r="A22" s="760" t="s">
        <v>364</v>
      </c>
      <c r="B22" s="758" t="s">
        <v>357</v>
      </c>
      <c r="C22" s="1133">
        <f t="shared" si="4"/>
        <v>40830</v>
      </c>
      <c r="D22" s="762">
        <f t="shared" si="0"/>
        <v>39487</v>
      </c>
      <c r="E22" s="749">
        <v>39487</v>
      </c>
      <c r="F22" s="1015">
        <v>38787.568312815885</v>
      </c>
      <c r="G22" s="1016">
        <f t="shared" si="1"/>
        <v>0.98228703909681381</v>
      </c>
      <c r="H22" s="1017">
        <f t="shared" si="2"/>
        <v>43435.700000000004</v>
      </c>
      <c r="I22" s="750">
        <v>42000</v>
      </c>
      <c r="J22" s="1018">
        <f t="shared" si="3"/>
        <v>0.94016666666666671</v>
      </c>
      <c r="L22" s="754"/>
    </row>
    <row r="23" spans="1:12" s="745" customFormat="1" ht="16.5" thickTop="1" thickBot="1" x14ac:dyDescent="0.3">
      <c r="A23" s="760" t="s">
        <v>365</v>
      </c>
      <c r="B23" s="758" t="s">
        <v>357</v>
      </c>
      <c r="C23" s="1133">
        <f t="shared" si="4"/>
        <v>41287</v>
      </c>
      <c r="D23" s="762">
        <f t="shared" si="0"/>
        <v>39929</v>
      </c>
      <c r="E23" s="749">
        <v>39929</v>
      </c>
      <c r="F23" s="1015">
        <v>39221.851266345526</v>
      </c>
      <c r="G23" s="1016">
        <f t="shared" si="1"/>
        <v>0.98228984613552872</v>
      </c>
      <c r="H23" s="1017">
        <f t="shared" si="2"/>
        <v>43921.9</v>
      </c>
      <c r="I23" s="750">
        <v>44100</v>
      </c>
      <c r="J23" s="1018">
        <f t="shared" si="3"/>
        <v>0.90541950113378689</v>
      </c>
      <c r="L23" s="754"/>
    </row>
    <row r="24" spans="1:12" s="745" customFormat="1" ht="16.5" thickTop="1" thickBot="1" x14ac:dyDescent="0.3">
      <c r="A24" s="760" t="s">
        <v>366</v>
      </c>
      <c r="B24" s="758" t="s">
        <v>357</v>
      </c>
      <c r="C24" s="1133">
        <f t="shared" si="4"/>
        <v>42222</v>
      </c>
      <c r="D24" s="762">
        <f t="shared" si="0"/>
        <v>40833</v>
      </c>
      <c r="E24" s="749">
        <v>40833</v>
      </c>
      <c r="F24" s="1015">
        <v>40110.045480320056</v>
      </c>
      <c r="G24" s="1016">
        <f t="shared" si="1"/>
        <v>0.98229484682291424</v>
      </c>
      <c r="H24" s="1017">
        <f t="shared" si="2"/>
        <v>44916.3</v>
      </c>
      <c r="I24" s="750">
        <v>46200</v>
      </c>
      <c r="J24" s="1018">
        <f t="shared" si="3"/>
        <v>0.88383116883116886</v>
      </c>
      <c r="L24" s="754"/>
    </row>
    <row r="25" spans="1:12" s="745" customFormat="1" ht="16.5" thickTop="1" thickBot="1" x14ac:dyDescent="0.3">
      <c r="A25" s="760" t="s">
        <v>367</v>
      </c>
      <c r="B25" s="758" t="s">
        <v>368</v>
      </c>
      <c r="C25" s="1133">
        <f t="shared" si="4"/>
        <v>44</v>
      </c>
      <c r="D25" s="762">
        <f t="shared" si="0"/>
        <v>42</v>
      </c>
      <c r="E25" s="749">
        <v>42</v>
      </c>
      <c r="F25" s="1015">
        <v>42</v>
      </c>
      <c r="G25" s="1016">
        <f t="shared" si="1"/>
        <v>1</v>
      </c>
      <c r="H25" s="1017">
        <f t="shared" si="2"/>
        <v>46.2</v>
      </c>
      <c r="I25" s="1020">
        <v>34</v>
      </c>
      <c r="J25" s="1018">
        <f t="shared" si="3"/>
        <v>1.2352941176470589</v>
      </c>
      <c r="L25" s="754"/>
    </row>
    <row r="26" spans="1:12" s="745" customFormat="1" ht="16.5" thickTop="1" thickBot="1" x14ac:dyDescent="0.3">
      <c r="A26" s="760" t="s">
        <v>369</v>
      </c>
      <c r="B26" s="758" t="s">
        <v>15</v>
      </c>
      <c r="C26" s="1133">
        <f t="shared" si="4"/>
        <v>530</v>
      </c>
      <c r="D26" s="762">
        <f t="shared" si="0"/>
        <v>512</v>
      </c>
      <c r="E26" s="749">
        <v>512</v>
      </c>
      <c r="F26" s="1015">
        <v>512.37829999999997</v>
      </c>
      <c r="G26" s="1016">
        <f t="shared" si="1"/>
        <v>1.0007388671874999</v>
      </c>
      <c r="H26" s="1017">
        <f t="shared" si="2"/>
        <v>563.61613</v>
      </c>
      <c r="I26" s="1020">
        <v>500</v>
      </c>
      <c r="J26" s="1018">
        <f t="shared" si="3"/>
        <v>1.024</v>
      </c>
      <c r="L26" s="754"/>
    </row>
    <row r="27" spans="1:12" s="745" customFormat="1" ht="16.5" thickTop="1" thickBot="1" x14ac:dyDescent="0.3">
      <c r="A27" s="760" t="s">
        <v>370</v>
      </c>
      <c r="B27" s="758" t="s">
        <v>338</v>
      </c>
      <c r="C27" s="1133">
        <f t="shared" si="4"/>
        <v>5538</v>
      </c>
      <c r="D27" s="762">
        <f t="shared" si="0"/>
        <v>5355</v>
      </c>
      <c r="E27" s="749">
        <v>5355</v>
      </c>
      <c r="F27" s="1015">
        <v>5355</v>
      </c>
      <c r="G27" s="1016">
        <f t="shared" si="1"/>
        <v>1</v>
      </c>
      <c r="H27" s="1017">
        <f t="shared" si="2"/>
        <v>5890.5000000000009</v>
      </c>
      <c r="I27" s="1020">
        <v>4664</v>
      </c>
      <c r="J27" s="1018">
        <f t="shared" si="3"/>
        <v>1.1481560891938249</v>
      </c>
      <c r="L27" s="754"/>
    </row>
    <row r="28" spans="1:12" s="745" customFormat="1" ht="16.5" thickTop="1" thickBot="1" x14ac:dyDescent="0.3">
      <c r="A28" s="760" t="s">
        <v>371</v>
      </c>
      <c r="B28" s="758" t="s">
        <v>338</v>
      </c>
      <c r="C28" s="1133">
        <f t="shared" si="4"/>
        <v>4964</v>
      </c>
      <c r="D28" s="762">
        <f t="shared" si="0"/>
        <v>4800</v>
      </c>
      <c r="E28" s="749">
        <v>4800</v>
      </c>
      <c r="F28" s="1015">
        <v>4800</v>
      </c>
      <c r="G28" s="1016">
        <f t="shared" si="1"/>
        <v>1</v>
      </c>
      <c r="H28" s="1017">
        <f t="shared" si="2"/>
        <v>5280</v>
      </c>
      <c r="I28" s="1019">
        <v>3000</v>
      </c>
      <c r="J28" s="1018">
        <f t="shared" si="3"/>
        <v>1.6</v>
      </c>
      <c r="L28" s="754"/>
    </row>
    <row r="29" spans="1:12" s="745" customFormat="1" ht="16.5" thickTop="1" thickBot="1" x14ac:dyDescent="0.3">
      <c r="A29" s="760" t="s">
        <v>372</v>
      </c>
      <c r="B29" s="758" t="s">
        <v>59</v>
      </c>
      <c r="C29" s="1133">
        <f t="shared" si="4"/>
        <v>362986</v>
      </c>
      <c r="D29" s="762">
        <f t="shared" si="0"/>
        <v>351050</v>
      </c>
      <c r="E29" s="749">
        <v>351050</v>
      </c>
      <c r="F29" s="1015"/>
      <c r="G29" s="1016">
        <f t="shared" si="1"/>
        <v>0</v>
      </c>
      <c r="H29" s="1017">
        <f t="shared" si="2"/>
        <v>386155.00000000006</v>
      </c>
      <c r="I29" s="750">
        <v>386400</v>
      </c>
      <c r="J29" s="1018">
        <f t="shared" si="3"/>
        <v>0.90851449275362317</v>
      </c>
      <c r="L29" s="754"/>
    </row>
    <row r="30" spans="1:12" s="745" customFormat="1" ht="16.5" thickTop="1" thickBot="1" x14ac:dyDescent="0.3">
      <c r="A30" s="760" t="s">
        <v>373</v>
      </c>
      <c r="B30" s="758" t="s">
        <v>59</v>
      </c>
      <c r="C30" s="1133">
        <f t="shared" si="4"/>
        <v>32361</v>
      </c>
      <c r="D30" s="762">
        <f t="shared" si="0"/>
        <v>31296</v>
      </c>
      <c r="E30" s="749">
        <v>31296</v>
      </c>
      <c r="F30" s="1015"/>
      <c r="G30" s="1016">
        <f t="shared" si="1"/>
        <v>0</v>
      </c>
      <c r="H30" s="1017">
        <f t="shared" si="2"/>
        <v>34425.600000000006</v>
      </c>
      <c r="I30" s="750">
        <v>28700</v>
      </c>
      <c r="J30" s="1018">
        <f t="shared" si="3"/>
        <v>1.0904529616724739</v>
      </c>
      <c r="L30" s="754"/>
    </row>
    <row r="31" spans="1:12" s="745" customFormat="1" ht="16.5" thickTop="1" thickBot="1" x14ac:dyDescent="0.3">
      <c r="A31" s="760" t="s">
        <v>374</v>
      </c>
      <c r="B31" s="758" t="s">
        <v>338</v>
      </c>
      <c r="C31" s="1133">
        <f t="shared" si="4"/>
        <v>5796</v>
      </c>
      <c r="D31" s="762">
        <f t="shared" si="0"/>
        <v>5605</v>
      </c>
      <c r="E31" s="749">
        <v>5605</v>
      </c>
      <c r="F31" s="1015">
        <v>6232</v>
      </c>
      <c r="G31" s="1016">
        <f t="shared" si="1"/>
        <v>1.111864406779661</v>
      </c>
      <c r="H31" s="1017">
        <f t="shared" si="2"/>
        <v>6855.2000000000007</v>
      </c>
      <c r="I31" s="750">
        <v>10400</v>
      </c>
      <c r="J31" s="1018">
        <f t="shared" si="3"/>
        <v>0.53894230769230766</v>
      </c>
      <c r="L31" s="754"/>
    </row>
    <row r="32" spans="1:12" s="745" customFormat="1" ht="16.5" thickTop="1" thickBot="1" x14ac:dyDescent="0.3">
      <c r="A32" s="760" t="s">
        <v>375</v>
      </c>
      <c r="B32" s="758" t="s">
        <v>338</v>
      </c>
      <c r="C32" s="1133">
        <f t="shared" si="4"/>
        <v>5433</v>
      </c>
      <c r="D32" s="762">
        <f t="shared" si="0"/>
        <v>5254</v>
      </c>
      <c r="E32" s="749">
        <v>5254</v>
      </c>
      <c r="F32" s="1015">
        <v>5254</v>
      </c>
      <c r="G32" s="1016">
        <f t="shared" si="1"/>
        <v>1</v>
      </c>
      <c r="H32" s="1017">
        <f t="shared" si="2"/>
        <v>5779.4000000000005</v>
      </c>
      <c r="I32" s="1020">
        <v>7800</v>
      </c>
      <c r="J32" s="1018">
        <f t="shared" si="3"/>
        <v>0.67358974358974355</v>
      </c>
      <c r="L32" s="754"/>
    </row>
    <row r="33" spans="1:12" s="745" customFormat="1" ht="16.5" thickTop="1" thickBot="1" x14ac:dyDescent="0.3">
      <c r="A33" s="760" t="s">
        <v>376</v>
      </c>
      <c r="B33" s="758" t="s">
        <v>59</v>
      </c>
      <c r="C33" s="1133">
        <f t="shared" si="4"/>
        <v>20680</v>
      </c>
      <c r="D33" s="762">
        <f t="shared" si="0"/>
        <v>20000</v>
      </c>
      <c r="E33" s="749">
        <v>20000</v>
      </c>
      <c r="F33" s="1015">
        <v>2000</v>
      </c>
      <c r="G33" s="1016">
        <f t="shared" si="1"/>
        <v>0.1</v>
      </c>
      <c r="H33" s="1017">
        <f t="shared" si="2"/>
        <v>22000</v>
      </c>
      <c r="I33" s="750">
        <v>23100</v>
      </c>
      <c r="J33" s="1018">
        <f t="shared" si="3"/>
        <v>0.86580086580086579</v>
      </c>
      <c r="L33" s="754"/>
    </row>
    <row r="34" spans="1:12" s="745" customFormat="1" ht="16.5" thickTop="1" thickBot="1" x14ac:dyDescent="0.3">
      <c r="A34" s="760" t="s">
        <v>377</v>
      </c>
      <c r="B34" s="758" t="s">
        <v>59</v>
      </c>
      <c r="C34" s="1133">
        <f t="shared" si="4"/>
        <v>15510</v>
      </c>
      <c r="D34" s="762">
        <f t="shared" si="0"/>
        <v>15000</v>
      </c>
      <c r="E34" s="749">
        <v>15000</v>
      </c>
      <c r="F34" s="1015">
        <v>2000</v>
      </c>
      <c r="G34" s="1016">
        <f t="shared" si="1"/>
        <v>0.13333333333333333</v>
      </c>
      <c r="H34" s="1017">
        <f t="shared" si="2"/>
        <v>16500</v>
      </c>
      <c r="I34" s="750">
        <v>11600</v>
      </c>
      <c r="J34" s="1018">
        <f t="shared" si="3"/>
        <v>1.2931034482758621</v>
      </c>
      <c r="L34" s="754"/>
    </row>
    <row r="35" spans="1:12" s="745" customFormat="1" ht="16.5" thickTop="1" thickBot="1" x14ac:dyDescent="0.3">
      <c r="A35" s="760" t="s">
        <v>378</v>
      </c>
      <c r="B35" s="758" t="s">
        <v>357</v>
      </c>
      <c r="C35" s="1133">
        <f t="shared" si="4"/>
        <v>41360</v>
      </c>
      <c r="D35" s="762">
        <f t="shared" si="0"/>
        <v>40000</v>
      </c>
      <c r="E35" s="749">
        <v>40000</v>
      </c>
      <c r="F35" s="1015">
        <v>40000</v>
      </c>
      <c r="G35" s="1016">
        <f t="shared" si="1"/>
        <v>1</v>
      </c>
      <c r="H35" s="1017">
        <f t="shared" si="2"/>
        <v>44000</v>
      </c>
      <c r="I35" s="750">
        <v>36800</v>
      </c>
      <c r="J35" s="1018">
        <f t="shared" si="3"/>
        <v>1.0869565217391304</v>
      </c>
      <c r="L35" s="754"/>
    </row>
    <row r="36" spans="1:12" s="745" customFormat="1" ht="16.5" thickTop="1" thickBot="1" x14ac:dyDescent="0.3">
      <c r="A36" s="760" t="s">
        <v>379</v>
      </c>
      <c r="B36" s="758" t="s">
        <v>357</v>
      </c>
      <c r="C36" s="1133">
        <f t="shared" si="4"/>
        <v>51700</v>
      </c>
      <c r="D36" s="762">
        <f t="shared" si="0"/>
        <v>50000</v>
      </c>
      <c r="E36" s="749">
        <v>50000</v>
      </c>
      <c r="F36" s="1015">
        <v>50000</v>
      </c>
      <c r="G36" s="1016">
        <f t="shared" si="1"/>
        <v>1</v>
      </c>
      <c r="H36" s="1017">
        <f t="shared" si="2"/>
        <v>55000.000000000007</v>
      </c>
      <c r="I36" s="750">
        <v>36800</v>
      </c>
      <c r="J36" s="1018">
        <f t="shared" si="3"/>
        <v>1.3586956521739131</v>
      </c>
      <c r="L36" s="754"/>
    </row>
    <row r="37" spans="1:12" s="745" customFormat="1" ht="16.5" thickTop="1" thickBot="1" x14ac:dyDescent="0.3">
      <c r="A37" s="760" t="s">
        <v>380</v>
      </c>
      <c r="B37" s="758" t="s">
        <v>357</v>
      </c>
      <c r="C37" s="1133">
        <f t="shared" si="4"/>
        <v>46758</v>
      </c>
      <c r="D37" s="762">
        <f t="shared" si="0"/>
        <v>45220</v>
      </c>
      <c r="E37" s="749">
        <v>45220</v>
      </c>
      <c r="F37" s="1015">
        <v>45220</v>
      </c>
      <c r="G37" s="1016">
        <f t="shared" si="1"/>
        <v>1</v>
      </c>
      <c r="H37" s="1017">
        <f t="shared" si="2"/>
        <v>49742.000000000007</v>
      </c>
      <c r="I37" s="1020">
        <v>36800</v>
      </c>
      <c r="J37" s="1018">
        <f t="shared" si="3"/>
        <v>1.2288043478260871</v>
      </c>
      <c r="L37" s="754"/>
    </row>
    <row r="38" spans="1:12" s="745" customFormat="1" ht="16.5" thickTop="1" thickBot="1" x14ac:dyDescent="0.3">
      <c r="A38" s="760" t="s">
        <v>381</v>
      </c>
      <c r="B38" s="758" t="s">
        <v>338</v>
      </c>
      <c r="C38" s="1133">
        <f t="shared" si="4"/>
        <v>4609</v>
      </c>
      <c r="D38" s="762">
        <f t="shared" si="0"/>
        <v>4457</v>
      </c>
      <c r="E38" s="749">
        <v>4457</v>
      </c>
      <c r="F38" s="1015">
        <v>4457</v>
      </c>
      <c r="G38" s="1016">
        <f t="shared" si="1"/>
        <v>1</v>
      </c>
      <c r="H38" s="1017">
        <f t="shared" si="2"/>
        <v>4902.7000000000007</v>
      </c>
      <c r="I38" s="750">
        <v>2100</v>
      </c>
      <c r="J38" s="1018">
        <f t="shared" si="3"/>
        <v>2.1223809523809525</v>
      </c>
      <c r="L38" s="754"/>
    </row>
    <row r="39" spans="1:12" s="745" customFormat="1" ht="16.5" thickTop="1" thickBot="1" x14ac:dyDescent="0.3">
      <c r="A39" s="760" t="s">
        <v>382</v>
      </c>
      <c r="B39" s="758" t="s">
        <v>338</v>
      </c>
      <c r="C39" s="1133">
        <f t="shared" si="4"/>
        <v>3495</v>
      </c>
      <c r="D39" s="762">
        <f t="shared" si="0"/>
        <v>3380</v>
      </c>
      <c r="E39" s="749">
        <v>3380</v>
      </c>
      <c r="F39" s="1015"/>
      <c r="G39" s="1016">
        <f t="shared" si="1"/>
        <v>0</v>
      </c>
      <c r="H39" s="1017">
        <f t="shared" si="2"/>
        <v>3718.0000000000005</v>
      </c>
      <c r="I39" s="1020">
        <v>3800</v>
      </c>
      <c r="J39" s="1018">
        <f t="shared" si="3"/>
        <v>0.88947368421052631</v>
      </c>
      <c r="L39" s="754"/>
    </row>
    <row r="40" spans="1:12" s="745" customFormat="1" ht="16.5" thickTop="1" thickBot="1" x14ac:dyDescent="0.3">
      <c r="A40" s="760" t="s">
        <v>383</v>
      </c>
      <c r="B40" s="758" t="s">
        <v>338</v>
      </c>
      <c r="C40" s="1133">
        <f t="shared" si="4"/>
        <v>3340</v>
      </c>
      <c r="D40" s="762">
        <f t="shared" si="0"/>
        <v>3230</v>
      </c>
      <c r="E40" s="749">
        <v>3230</v>
      </c>
      <c r="F40" s="1015">
        <v>3230</v>
      </c>
      <c r="G40" s="1016">
        <f t="shared" si="1"/>
        <v>1</v>
      </c>
      <c r="H40" s="1017">
        <f t="shared" si="2"/>
        <v>3553.0000000000005</v>
      </c>
      <c r="I40" s="1020">
        <f>4000*1.15</f>
        <v>4600</v>
      </c>
      <c r="J40" s="1018">
        <f t="shared" si="3"/>
        <v>0.70217391304347831</v>
      </c>
      <c r="L40" s="754"/>
    </row>
    <row r="41" spans="1:12" s="745" customFormat="1" ht="14.25" thickTop="1" thickBot="1" x14ac:dyDescent="0.25">
      <c r="A41" s="760" t="s">
        <v>798</v>
      </c>
      <c r="B41" s="758" t="s">
        <v>15</v>
      </c>
      <c r="C41" s="1133">
        <f t="shared" si="4"/>
        <v>108994</v>
      </c>
      <c r="D41" s="762">
        <v>105410</v>
      </c>
    </row>
    <row r="42" spans="1:12" s="745" customFormat="1" ht="16.5" thickTop="1" thickBot="1" x14ac:dyDescent="0.3">
      <c r="A42" s="760" t="s">
        <v>384</v>
      </c>
      <c r="B42" s="758" t="s">
        <v>353</v>
      </c>
      <c r="C42" s="1133">
        <f t="shared" si="4"/>
        <v>5823</v>
      </c>
      <c r="D42" s="762">
        <f t="shared" si="0"/>
        <v>5631</v>
      </c>
      <c r="E42" s="749">
        <v>5631</v>
      </c>
      <c r="F42" s="1015">
        <v>5531.6249443784291</v>
      </c>
      <c r="G42" s="1016">
        <f t="shared" ref="G42:G73" si="5">+F42/E42</f>
        <v>0.98235214782071201</v>
      </c>
      <c r="H42" s="1017">
        <f t="shared" ref="H42:H73" si="6">MAX(E42:F42)*$H$7</f>
        <v>6194.1</v>
      </c>
      <c r="I42" s="750">
        <v>5800</v>
      </c>
      <c r="J42" s="1018">
        <f t="shared" ref="J42:J73" si="7">+E42/I42</f>
        <v>0.97086206896551719</v>
      </c>
      <c r="L42" s="754"/>
    </row>
    <row r="43" spans="1:12" s="745" customFormat="1" ht="16.5" thickTop="1" thickBot="1" x14ac:dyDescent="0.3">
      <c r="A43" s="760" t="s">
        <v>385</v>
      </c>
      <c r="B43" s="758" t="s">
        <v>59</v>
      </c>
      <c r="C43" s="1133">
        <f t="shared" si="4"/>
        <v>28633</v>
      </c>
      <c r="D43" s="762">
        <f t="shared" si="0"/>
        <v>27691</v>
      </c>
      <c r="E43" s="749">
        <v>27691</v>
      </c>
      <c r="F43" s="1015">
        <v>27691.3</v>
      </c>
      <c r="G43" s="1016">
        <f t="shared" si="5"/>
        <v>1.0000108338449316</v>
      </c>
      <c r="H43" s="1017">
        <f t="shared" si="6"/>
        <v>30460.43</v>
      </c>
      <c r="I43" s="750">
        <v>19700</v>
      </c>
      <c r="J43" s="1018">
        <f t="shared" si="7"/>
        <v>1.4056345177664975</v>
      </c>
      <c r="L43" s="754"/>
    </row>
    <row r="44" spans="1:12" s="745" customFormat="1" ht="16.5" thickTop="1" thickBot="1" x14ac:dyDescent="0.3">
      <c r="A44" s="760" t="s">
        <v>386</v>
      </c>
      <c r="B44" s="758" t="s">
        <v>338</v>
      </c>
      <c r="C44" s="1133">
        <f t="shared" si="4"/>
        <v>1342</v>
      </c>
      <c r="D44" s="762">
        <f t="shared" si="0"/>
        <v>1297</v>
      </c>
      <c r="E44" s="749">
        <v>1297</v>
      </c>
      <c r="F44" s="1015">
        <v>1297.0999999999999</v>
      </c>
      <c r="G44" s="1016">
        <f t="shared" si="5"/>
        <v>1.0000771010023131</v>
      </c>
      <c r="H44" s="1017">
        <f t="shared" si="6"/>
        <v>1426.81</v>
      </c>
      <c r="I44" s="750">
        <v>800</v>
      </c>
      <c r="J44" s="1018">
        <f t="shared" si="7"/>
        <v>1.6212500000000001</v>
      </c>
      <c r="L44" s="754"/>
    </row>
    <row r="45" spans="1:12" s="745" customFormat="1" ht="16.5" thickTop="1" thickBot="1" x14ac:dyDescent="0.3">
      <c r="A45" s="760" t="s">
        <v>387</v>
      </c>
      <c r="B45" s="758" t="s">
        <v>15</v>
      </c>
      <c r="C45" s="1133">
        <f t="shared" si="4"/>
        <v>32670</v>
      </c>
      <c r="D45" s="762">
        <f t="shared" si="0"/>
        <v>31595</v>
      </c>
      <c r="E45" s="749">
        <v>31595</v>
      </c>
      <c r="F45" s="1015">
        <v>31036.013663837955</v>
      </c>
      <c r="G45" s="1016">
        <f t="shared" si="5"/>
        <v>0.98230775957708361</v>
      </c>
      <c r="H45" s="1017">
        <f t="shared" si="6"/>
        <v>34754.5</v>
      </c>
      <c r="I45" s="750">
        <v>36800</v>
      </c>
      <c r="J45" s="1018">
        <f t="shared" si="7"/>
        <v>0.8585597826086957</v>
      </c>
      <c r="L45" s="754"/>
    </row>
    <row r="46" spans="1:12" s="745" customFormat="1" ht="16.5" thickTop="1" thickBot="1" x14ac:dyDescent="0.3">
      <c r="A46" s="760" t="s">
        <v>388</v>
      </c>
      <c r="B46" s="758" t="s">
        <v>59</v>
      </c>
      <c r="C46" s="1133">
        <f t="shared" si="4"/>
        <v>6153</v>
      </c>
      <c r="D46" s="762">
        <f t="shared" si="0"/>
        <v>5950</v>
      </c>
      <c r="E46" s="749">
        <v>5950</v>
      </c>
      <c r="F46" s="1015">
        <v>8200</v>
      </c>
      <c r="G46" s="1016">
        <f t="shared" si="5"/>
        <v>1.3781512605042017</v>
      </c>
      <c r="H46" s="1017">
        <f t="shared" si="6"/>
        <v>9020</v>
      </c>
      <c r="I46" s="1020">
        <v>11200</v>
      </c>
      <c r="J46" s="1018">
        <f t="shared" si="7"/>
        <v>0.53125</v>
      </c>
      <c r="L46" s="754"/>
    </row>
    <row r="47" spans="1:12" s="745" customFormat="1" ht="16.5" thickTop="1" thickBot="1" x14ac:dyDescent="0.3">
      <c r="A47" s="760" t="s">
        <v>389</v>
      </c>
      <c r="B47" s="758" t="s">
        <v>338</v>
      </c>
      <c r="C47" s="1133">
        <f t="shared" si="4"/>
        <v>1551</v>
      </c>
      <c r="D47" s="762">
        <f t="shared" si="0"/>
        <v>1500</v>
      </c>
      <c r="E47" s="749">
        <v>1500</v>
      </c>
      <c r="F47" s="1015">
        <v>1500</v>
      </c>
      <c r="G47" s="1016">
        <f t="shared" si="5"/>
        <v>1</v>
      </c>
      <c r="H47" s="1017">
        <f t="shared" si="6"/>
        <v>1650.0000000000002</v>
      </c>
      <c r="I47" s="750">
        <v>2300</v>
      </c>
      <c r="J47" s="1018">
        <f t="shared" si="7"/>
        <v>0.65217391304347827</v>
      </c>
      <c r="L47" s="754"/>
    </row>
    <row r="48" spans="1:12" s="745" customFormat="1" ht="16.5" thickTop="1" thickBot="1" x14ac:dyDescent="0.3">
      <c r="A48" s="760" t="s">
        <v>390</v>
      </c>
      <c r="B48" s="758" t="s">
        <v>338</v>
      </c>
      <c r="C48" s="1133">
        <f t="shared" si="4"/>
        <v>1132</v>
      </c>
      <c r="D48" s="762">
        <f t="shared" si="0"/>
        <v>1094</v>
      </c>
      <c r="E48" s="749">
        <v>1094</v>
      </c>
      <c r="F48" s="1015">
        <v>1074.2159999999999</v>
      </c>
      <c r="G48" s="1016">
        <f t="shared" si="5"/>
        <v>0.98191590493601455</v>
      </c>
      <c r="H48" s="1017">
        <f t="shared" si="6"/>
        <v>1203.4000000000001</v>
      </c>
      <c r="I48" s="750">
        <v>2300</v>
      </c>
      <c r="J48" s="1018">
        <f t="shared" si="7"/>
        <v>0.47565217391304349</v>
      </c>
      <c r="L48" s="754"/>
    </row>
    <row r="49" spans="1:16" s="745" customFormat="1" ht="16.5" thickTop="1" thickBot="1" x14ac:dyDescent="0.3">
      <c r="A49" s="760" t="s">
        <v>391</v>
      </c>
      <c r="B49" s="758" t="s">
        <v>338</v>
      </c>
      <c r="C49" s="1133">
        <f t="shared" si="4"/>
        <v>2749</v>
      </c>
      <c r="D49" s="762">
        <f t="shared" si="0"/>
        <v>2658</v>
      </c>
      <c r="E49" s="749">
        <v>2658</v>
      </c>
      <c r="F49" s="1015">
        <v>2611.3432277106872</v>
      </c>
      <c r="G49" s="1016">
        <f t="shared" si="5"/>
        <v>0.9824466620431479</v>
      </c>
      <c r="H49" s="1017">
        <f t="shared" si="6"/>
        <v>2923.8</v>
      </c>
      <c r="I49" s="750">
        <v>2700</v>
      </c>
      <c r="J49" s="1018">
        <f t="shared" si="7"/>
        <v>0.98444444444444446</v>
      </c>
      <c r="L49" s="754"/>
    </row>
    <row r="50" spans="1:16" s="745" customFormat="1" ht="16.5" thickTop="1" thickBot="1" x14ac:dyDescent="0.3">
      <c r="A50" s="760" t="s">
        <v>392</v>
      </c>
      <c r="B50" s="758" t="s">
        <v>338</v>
      </c>
      <c r="C50" s="1133">
        <f t="shared" si="4"/>
        <v>2749</v>
      </c>
      <c r="D50" s="762">
        <f t="shared" si="0"/>
        <v>2658</v>
      </c>
      <c r="E50" s="749">
        <v>2658</v>
      </c>
      <c r="F50" s="1015">
        <v>2611.3432277106872</v>
      </c>
      <c r="G50" s="1016">
        <f t="shared" si="5"/>
        <v>0.9824466620431479</v>
      </c>
      <c r="H50" s="1017">
        <f t="shared" si="6"/>
        <v>2923.8</v>
      </c>
      <c r="I50" s="750">
        <v>2900</v>
      </c>
      <c r="J50" s="1018">
        <f t="shared" si="7"/>
        <v>0.91655172413793107</v>
      </c>
      <c r="L50" s="754"/>
    </row>
    <row r="51" spans="1:16" s="745" customFormat="1" ht="16.5" thickTop="1" thickBot="1" x14ac:dyDescent="0.3">
      <c r="A51" s="760" t="s">
        <v>393</v>
      </c>
      <c r="B51" s="758" t="s">
        <v>338</v>
      </c>
      <c r="C51" s="1133">
        <f t="shared" si="4"/>
        <v>2774</v>
      </c>
      <c r="D51" s="762">
        <f t="shared" si="0"/>
        <v>2682</v>
      </c>
      <c r="E51" s="749">
        <v>2682</v>
      </c>
      <c r="F51" s="1015">
        <v>2634.1071163706806</v>
      </c>
      <c r="G51" s="1016">
        <f t="shared" si="5"/>
        <v>0.98214284726721868</v>
      </c>
      <c r="H51" s="1017">
        <f t="shared" si="6"/>
        <v>2950.2000000000003</v>
      </c>
      <c r="I51" s="750">
        <v>3100</v>
      </c>
      <c r="J51" s="1018">
        <f t="shared" si="7"/>
        <v>0.8651612903225806</v>
      </c>
      <c r="L51" s="754"/>
    </row>
    <row r="52" spans="1:16" s="745" customFormat="1" ht="16.5" thickTop="1" thickBot="1" x14ac:dyDescent="0.3">
      <c r="A52" s="760" t="s">
        <v>394</v>
      </c>
      <c r="B52" s="758" t="s">
        <v>338</v>
      </c>
      <c r="C52" s="1133">
        <f t="shared" si="4"/>
        <v>2774</v>
      </c>
      <c r="D52" s="762">
        <f t="shared" si="0"/>
        <v>2682</v>
      </c>
      <c r="E52" s="749">
        <v>2682</v>
      </c>
      <c r="F52" s="1015">
        <v>2634.1071163706806</v>
      </c>
      <c r="G52" s="1016">
        <f t="shared" si="5"/>
        <v>0.98214284726721868</v>
      </c>
      <c r="H52" s="1017">
        <f t="shared" si="6"/>
        <v>2950.2000000000003</v>
      </c>
      <c r="I52" s="750">
        <v>3100</v>
      </c>
      <c r="J52" s="1018">
        <f t="shared" si="7"/>
        <v>0.8651612903225806</v>
      </c>
      <c r="L52" s="754"/>
    </row>
    <row r="53" spans="1:16" s="745" customFormat="1" ht="16.5" thickTop="1" thickBot="1" x14ac:dyDescent="0.3">
      <c r="A53" s="760" t="s">
        <v>395</v>
      </c>
      <c r="B53" s="758" t="s">
        <v>338</v>
      </c>
      <c r="C53" s="1133">
        <f t="shared" si="4"/>
        <v>558</v>
      </c>
      <c r="D53" s="762">
        <f t="shared" si="0"/>
        <v>539</v>
      </c>
      <c r="E53" s="749">
        <v>539</v>
      </c>
      <c r="F53" s="1015">
        <v>470</v>
      </c>
      <c r="G53" s="1016">
        <f t="shared" si="5"/>
        <v>0.8719851576994434</v>
      </c>
      <c r="H53" s="1017">
        <f t="shared" si="6"/>
        <v>592.90000000000009</v>
      </c>
      <c r="I53" s="1020">
        <f>600*1.02</f>
        <v>612</v>
      </c>
      <c r="J53" s="1018">
        <f t="shared" si="7"/>
        <v>0.88071895424836599</v>
      </c>
      <c r="L53" s="754">
        <f>+D52*50</f>
        <v>134100</v>
      </c>
    </row>
    <row r="54" spans="1:16" s="745" customFormat="1" ht="16.5" thickTop="1" thickBot="1" x14ac:dyDescent="0.3">
      <c r="A54" s="760" t="s">
        <v>396</v>
      </c>
      <c r="B54" s="758" t="s">
        <v>353</v>
      </c>
      <c r="C54" s="1133">
        <f t="shared" si="4"/>
        <v>22748</v>
      </c>
      <c r="D54" s="762">
        <f t="shared" si="0"/>
        <v>22000</v>
      </c>
      <c r="E54" s="749">
        <v>22000</v>
      </c>
      <c r="F54" s="1015">
        <v>21420</v>
      </c>
      <c r="G54" s="1016">
        <f t="shared" si="5"/>
        <v>0.97363636363636363</v>
      </c>
      <c r="H54" s="1017">
        <f t="shared" si="6"/>
        <v>24200.000000000004</v>
      </c>
      <c r="I54" s="1020">
        <v>5300</v>
      </c>
      <c r="J54" s="1018">
        <f t="shared" si="7"/>
        <v>4.1509433962264151</v>
      </c>
      <c r="L54" s="754"/>
    </row>
    <row r="55" spans="1:16" s="745" customFormat="1" ht="16.5" thickTop="1" thickBot="1" x14ac:dyDescent="0.3">
      <c r="A55" s="760" t="s">
        <v>397</v>
      </c>
      <c r="B55" s="758" t="s">
        <v>338</v>
      </c>
      <c r="C55" s="1133">
        <f t="shared" si="4"/>
        <v>9856</v>
      </c>
      <c r="D55" s="762">
        <f t="shared" si="0"/>
        <v>9531</v>
      </c>
      <c r="E55" s="749">
        <v>9531</v>
      </c>
      <c r="F55" s="1015">
        <v>9361.9475186984455</v>
      </c>
      <c r="G55" s="1016">
        <f t="shared" si="5"/>
        <v>0.9822628809881907</v>
      </c>
      <c r="H55" s="1017">
        <f t="shared" si="6"/>
        <v>10484.1</v>
      </c>
      <c r="I55" s="750">
        <v>8800</v>
      </c>
      <c r="J55" s="1018">
        <f t="shared" si="7"/>
        <v>1.0830681818181818</v>
      </c>
      <c r="L55" s="754"/>
    </row>
    <row r="56" spans="1:16" s="745" customFormat="1" ht="16.5" thickTop="1" thickBot="1" x14ac:dyDescent="0.3">
      <c r="A56" s="760" t="s">
        <v>398</v>
      </c>
      <c r="B56" s="758" t="s">
        <v>15</v>
      </c>
      <c r="C56" s="1133">
        <f t="shared" si="4"/>
        <v>948</v>
      </c>
      <c r="D56" s="762">
        <f t="shared" si="0"/>
        <v>916</v>
      </c>
      <c r="E56" s="749">
        <v>916</v>
      </c>
      <c r="F56" s="1015">
        <v>916</v>
      </c>
      <c r="G56" s="1016">
        <f t="shared" si="5"/>
        <v>1</v>
      </c>
      <c r="H56" s="1017">
        <f t="shared" si="6"/>
        <v>1007.6000000000001</v>
      </c>
      <c r="I56" s="1020">
        <v>600</v>
      </c>
      <c r="J56" s="1018">
        <f t="shared" si="7"/>
        <v>1.5266666666666666</v>
      </c>
      <c r="L56" s="754"/>
    </row>
    <row r="57" spans="1:16" s="745" customFormat="1" ht="16.5" thickTop="1" thickBot="1" x14ac:dyDescent="0.3">
      <c r="A57" s="760" t="s">
        <v>399</v>
      </c>
      <c r="B57" s="758" t="s">
        <v>15</v>
      </c>
      <c r="C57" s="1133">
        <f t="shared" si="4"/>
        <v>35093</v>
      </c>
      <c r="D57" s="762">
        <f t="shared" si="0"/>
        <v>33939</v>
      </c>
      <c r="E57" s="749">
        <v>33939</v>
      </c>
      <c r="F57" s="1015">
        <v>33938.800000000003</v>
      </c>
      <c r="G57" s="1016">
        <f t="shared" si="5"/>
        <v>0.99999410707445724</v>
      </c>
      <c r="H57" s="1017">
        <f t="shared" si="6"/>
        <v>37332.9</v>
      </c>
      <c r="I57" s="750">
        <v>37000</v>
      </c>
      <c r="J57" s="1018">
        <f t="shared" si="7"/>
        <v>0.9172702702702703</v>
      </c>
      <c r="L57" s="754"/>
    </row>
    <row r="58" spans="1:16" s="745" customFormat="1" ht="16.5" thickTop="1" thickBot="1" x14ac:dyDescent="0.3">
      <c r="A58" s="760" t="s">
        <v>400</v>
      </c>
      <c r="B58" s="758" t="s">
        <v>357</v>
      </c>
      <c r="C58" s="1133">
        <f t="shared" si="4"/>
        <v>395529</v>
      </c>
      <c r="D58" s="762">
        <f t="shared" si="0"/>
        <v>382523</v>
      </c>
      <c r="E58" s="749">
        <v>382523</v>
      </c>
      <c r="F58" s="1015">
        <v>382523.12</v>
      </c>
      <c r="G58" s="1016">
        <f t="shared" si="5"/>
        <v>1.0000003137066267</v>
      </c>
      <c r="H58" s="1017">
        <f t="shared" si="6"/>
        <v>420775.43200000003</v>
      </c>
      <c r="I58" s="750">
        <v>399000</v>
      </c>
      <c r="J58" s="1018">
        <f t="shared" si="7"/>
        <v>0.95870426065162906</v>
      </c>
      <c r="K58" s="1038" t="s">
        <v>1097</v>
      </c>
      <c r="L58" s="1039"/>
      <c r="M58" s="1039"/>
      <c r="N58" s="1039"/>
      <c r="O58" s="1039"/>
      <c r="P58" s="1039"/>
    </row>
    <row r="59" spans="1:16" s="745" customFormat="1" ht="16.5" thickTop="1" thickBot="1" x14ac:dyDescent="0.3">
      <c r="A59" s="760" t="s">
        <v>401</v>
      </c>
      <c r="B59" s="758" t="s">
        <v>357</v>
      </c>
      <c r="C59" s="1133">
        <f t="shared" si="4"/>
        <v>382285</v>
      </c>
      <c r="D59" s="762">
        <f t="shared" si="0"/>
        <v>369714</v>
      </c>
      <c r="E59" s="749">
        <v>369714</v>
      </c>
      <c r="F59" s="1015">
        <v>369713.95999999996</v>
      </c>
      <c r="G59" s="1016">
        <f t="shared" si="5"/>
        <v>0.99999989180826254</v>
      </c>
      <c r="H59" s="1017">
        <f t="shared" si="6"/>
        <v>406685.4</v>
      </c>
      <c r="I59" s="750">
        <v>378000</v>
      </c>
      <c r="J59" s="1018">
        <f t="shared" si="7"/>
        <v>0.9780793650793651</v>
      </c>
      <c r="K59" s="1021"/>
      <c r="L59" s="1022" t="s">
        <v>121</v>
      </c>
      <c r="M59" s="1023"/>
      <c r="N59" s="1023"/>
      <c r="O59" s="1024"/>
      <c r="P59" s="1025"/>
    </row>
    <row r="60" spans="1:16" s="745" customFormat="1" ht="16.5" thickTop="1" thickBot="1" x14ac:dyDescent="0.3">
      <c r="A60" s="760" t="s">
        <v>402</v>
      </c>
      <c r="B60" s="758" t="s">
        <v>357</v>
      </c>
      <c r="C60" s="1133">
        <f t="shared" si="4"/>
        <v>369040</v>
      </c>
      <c r="D60" s="762">
        <f t="shared" si="0"/>
        <v>356905</v>
      </c>
      <c r="E60" s="749">
        <v>356905</v>
      </c>
      <c r="F60" s="1015">
        <v>356904.8</v>
      </c>
      <c r="G60" s="1016">
        <f t="shared" si="5"/>
        <v>0.99999943962679139</v>
      </c>
      <c r="H60" s="1017">
        <f t="shared" si="6"/>
        <v>392595.50000000006</v>
      </c>
      <c r="I60" s="750">
        <v>357000</v>
      </c>
      <c r="J60" s="1018">
        <f t="shared" si="7"/>
        <v>0.99973389355742293</v>
      </c>
      <c r="K60" s="1026"/>
      <c r="L60" s="1027" t="s">
        <v>1098</v>
      </c>
      <c r="M60" s="1028" t="s">
        <v>1099</v>
      </c>
      <c r="N60" s="1028" t="s">
        <v>1100</v>
      </c>
      <c r="O60" s="163" t="s">
        <v>1016</v>
      </c>
      <c r="P60" s="1029"/>
    </row>
    <row r="61" spans="1:16" s="745" customFormat="1" ht="16.5" thickTop="1" thickBot="1" x14ac:dyDescent="0.3">
      <c r="A61" s="760" t="s">
        <v>622</v>
      </c>
      <c r="B61" s="758" t="s">
        <v>357</v>
      </c>
      <c r="C61" s="1133">
        <f t="shared" si="4"/>
        <v>342438</v>
      </c>
      <c r="D61" s="762">
        <f t="shared" si="0"/>
        <v>331177</v>
      </c>
      <c r="E61" s="749">
        <v>331177</v>
      </c>
      <c r="F61" s="1015">
        <v>331177</v>
      </c>
      <c r="G61" s="1016">
        <f t="shared" si="5"/>
        <v>1</v>
      </c>
      <c r="H61" s="1017">
        <f t="shared" si="6"/>
        <v>364294.7</v>
      </c>
      <c r="I61" s="750">
        <v>336000</v>
      </c>
      <c r="J61" s="1018">
        <f t="shared" si="7"/>
        <v>0.98564583333333333</v>
      </c>
      <c r="K61" s="1026" t="s">
        <v>1101</v>
      </c>
      <c r="L61" s="1027">
        <f>50*9.1</f>
        <v>455</v>
      </c>
      <c r="M61" s="1028">
        <v>0.47</v>
      </c>
      <c r="N61" s="1028">
        <v>0.77200000000000002</v>
      </c>
      <c r="O61" s="163">
        <v>22</v>
      </c>
      <c r="P61" s="1029"/>
    </row>
    <row r="62" spans="1:16" s="745" customFormat="1" ht="16.5" thickTop="1" thickBot="1" x14ac:dyDescent="0.3">
      <c r="A62" s="760" t="s">
        <v>403</v>
      </c>
      <c r="B62" s="758" t="s">
        <v>357</v>
      </c>
      <c r="C62" s="1133">
        <f t="shared" si="4"/>
        <v>430066</v>
      </c>
      <c r="D62" s="762">
        <f t="shared" si="0"/>
        <v>415924</v>
      </c>
      <c r="E62" s="749">
        <v>415924</v>
      </c>
      <c r="F62" s="1015">
        <v>415914.51999999996</v>
      </c>
      <c r="G62" s="1016">
        <f t="shared" si="5"/>
        <v>0.99997720737442408</v>
      </c>
      <c r="H62" s="1017">
        <f t="shared" si="6"/>
        <v>457516.4</v>
      </c>
      <c r="I62" s="1020">
        <v>367500</v>
      </c>
      <c r="J62" s="1018">
        <f t="shared" si="7"/>
        <v>1.1317659863945577</v>
      </c>
      <c r="K62" s="1026" t="s">
        <v>1102</v>
      </c>
      <c r="L62" s="1027">
        <f>+D52</f>
        <v>2682</v>
      </c>
      <c r="M62" s="1030">
        <f>+D37</f>
        <v>45220</v>
      </c>
      <c r="N62" s="1030">
        <f>+D15</f>
        <v>60000</v>
      </c>
      <c r="O62" s="1031">
        <f>+D25</f>
        <v>42</v>
      </c>
      <c r="P62" s="1029"/>
    </row>
    <row r="63" spans="1:16" s="745" customFormat="1" ht="16.5" thickTop="1" thickBot="1" x14ac:dyDescent="0.3">
      <c r="A63" s="760" t="s">
        <v>404</v>
      </c>
      <c r="B63" s="758" t="s">
        <v>15</v>
      </c>
      <c r="C63" s="1133">
        <f t="shared" si="4"/>
        <v>1804</v>
      </c>
      <c r="D63" s="762">
        <f t="shared" si="0"/>
        <v>1744</v>
      </c>
      <c r="E63" s="749">
        <v>1744</v>
      </c>
      <c r="F63" s="1015">
        <v>1743.76</v>
      </c>
      <c r="G63" s="1016">
        <f t="shared" si="5"/>
        <v>0.99986238532110094</v>
      </c>
      <c r="H63" s="1017">
        <f t="shared" si="6"/>
        <v>1918.4</v>
      </c>
      <c r="I63" s="1020">
        <v>4700</v>
      </c>
      <c r="J63" s="1018">
        <f t="shared" si="7"/>
        <v>0.37106382978723407</v>
      </c>
      <c r="K63" s="1032" t="s">
        <v>1103</v>
      </c>
      <c r="L63" s="1033">
        <f>+L61*L62</f>
        <v>1220310</v>
      </c>
      <c r="M63" s="1033">
        <f t="shared" ref="M63:O63" si="8">+M61*M62</f>
        <v>21253.399999999998</v>
      </c>
      <c r="N63" s="1033">
        <f t="shared" si="8"/>
        <v>46320</v>
      </c>
      <c r="O63" s="1033">
        <f t="shared" si="8"/>
        <v>924</v>
      </c>
      <c r="P63" s="1034">
        <f>+L63+M63+N63+O63</f>
        <v>1288807.3999999999</v>
      </c>
    </row>
    <row r="64" spans="1:16" s="745" customFormat="1" ht="16.5" thickTop="1" thickBot="1" x14ac:dyDescent="0.3">
      <c r="A64" s="760" t="s">
        <v>405</v>
      </c>
      <c r="B64" s="758" t="s">
        <v>353</v>
      </c>
      <c r="C64" s="1133">
        <f t="shared" si="4"/>
        <v>3608</v>
      </c>
      <c r="D64" s="762">
        <f t="shared" si="0"/>
        <v>3489</v>
      </c>
      <c r="E64" s="749">
        <v>3489</v>
      </c>
      <c r="F64" s="1015">
        <v>3489.08</v>
      </c>
      <c r="G64" s="1016">
        <f t="shared" si="5"/>
        <v>1.0000229292060763</v>
      </c>
      <c r="H64" s="1017">
        <f t="shared" si="6"/>
        <v>3837.9880000000003</v>
      </c>
      <c r="I64" s="750">
        <v>900</v>
      </c>
      <c r="J64" s="1018">
        <f t="shared" si="7"/>
        <v>3.8766666666666665</v>
      </c>
      <c r="K64" s="1035"/>
      <c r="L64" s="1036"/>
      <c r="M64" s="1035"/>
      <c r="N64" s="1035"/>
    </row>
    <row r="65" spans="1:12" s="745" customFormat="1" ht="16.5" thickTop="1" thickBot="1" x14ac:dyDescent="0.3">
      <c r="A65" s="760" t="s">
        <v>406</v>
      </c>
      <c r="B65" s="758" t="s">
        <v>59</v>
      </c>
      <c r="C65" s="1133">
        <f t="shared" si="4"/>
        <v>11187</v>
      </c>
      <c r="D65" s="762">
        <f t="shared" si="0"/>
        <v>10819</v>
      </c>
      <c r="E65" s="749">
        <v>10819</v>
      </c>
      <c r="F65" s="1015">
        <v>10627.96100358388</v>
      </c>
      <c r="G65" s="1016">
        <f t="shared" si="5"/>
        <v>0.98234226856307238</v>
      </c>
      <c r="H65" s="1017">
        <f t="shared" si="6"/>
        <v>11900.900000000001</v>
      </c>
      <c r="I65" s="750">
        <v>14700</v>
      </c>
      <c r="J65" s="1018">
        <f t="shared" si="7"/>
        <v>0.73598639455782311</v>
      </c>
      <c r="L65" s="754"/>
    </row>
    <row r="66" spans="1:12" s="745" customFormat="1" ht="16.5" thickTop="1" thickBot="1" x14ac:dyDescent="0.3">
      <c r="A66" s="760" t="s">
        <v>611</v>
      </c>
      <c r="B66" s="758" t="s">
        <v>407</v>
      </c>
      <c r="C66" s="1133">
        <f t="shared" si="4"/>
        <v>36190</v>
      </c>
      <c r="D66" s="762">
        <f t="shared" si="0"/>
        <v>35000</v>
      </c>
      <c r="E66" s="749">
        <v>35000</v>
      </c>
      <c r="F66" s="1015">
        <v>35000</v>
      </c>
      <c r="G66" s="1016">
        <f t="shared" si="5"/>
        <v>1</v>
      </c>
      <c r="H66" s="1017">
        <f t="shared" si="6"/>
        <v>38500</v>
      </c>
      <c r="I66" s="1020">
        <v>25440</v>
      </c>
      <c r="J66" s="1018">
        <f t="shared" si="7"/>
        <v>1.3757861635220126</v>
      </c>
      <c r="L66" s="754"/>
    </row>
    <row r="67" spans="1:12" s="745" customFormat="1" ht="16.5" thickTop="1" thickBot="1" x14ac:dyDescent="0.3">
      <c r="A67" s="760" t="s">
        <v>408</v>
      </c>
      <c r="B67" s="758" t="s">
        <v>15</v>
      </c>
      <c r="C67" s="1133">
        <f t="shared" si="4"/>
        <v>11273</v>
      </c>
      <c r="D67" s="762">
        <f t="shared" si="0"/>
        <v>10902</v>
      </c>
      <c r="E67" s="749">
        <v>10902</v>
      </c>
      <c r="F67" s="1015">
        <v>10708.859228119512</v>
      </c>
      <c r="G67" s="1016">
        <f t="shared" si="5"/>
        <v>0.98228391378825097</v>
      </c>
      <c r="H67" s="1017">
        <f t="shared" si="6"/>
        <v>11992.2</v>
      </c>
      <c r="I67" s="750">
        <v>14600</v>
      </c>
      <c r="J67" s="1018">
        <f t="shared" si="7"/>
        <v>0.74671232876712323</v>
      </c>
      <c r="L67" s="754"/>
    </row>
    <row r="68" spans="1:12" s="745" customFormat="1" ht="16.5" thickTop="1" thickBot="1" x14ac:dyDescent="0.3">
      <c r="A68" s="760" t="s">
        <v>409</v>
      </c>
      <c r="B68" s="758" t="s">
        <v>368</v>
      </c>
      <c r="C68" s="1133">
        <f t="shared" si="4"/>
        <v>2034</v>
      </c>
      <c r="D68" s="762">
        <f t="shared" si="0"/>
        <v>1967</v>
      </c>
      <c r="E68" s="749">
        <v>1967</v>
      </c>
      <c r="F68" s="1015">
        <v>1101</v>
      </c>
      <c r="G68" s="1016">
        <f t="shared" si="5"/>
        <v>0.55973563802745296</v>
      </c>
      <c r="H68" s="1017">
        <f t="shared" si="6"/>
        <v>2163.7000000000003</v>
      </c>
      <c r="I68" s="750">
        <v>2500</v>
      </c>
      <c r="J68" s="1018">
        <f t="shared" si="7"/>
        <v>0.78680000000000005</v>
      </c>
      <c r="L68" s="754"/>
    </row>
    <row r="69" spans="1:12" s="745" customFormat="1" ht="16.5" thickTop="1" thickBot="1" x14ac:dyDescent="0.3">
      <c r="A69" s="760" t="s">
        <v>410</v>
      </c>
      <c r="B69" s="758" t="s">
        <v>368</v>
      </c>
      <c r="C69" s="1133">
        <f t="shared" si="4"/>
        <v>2034</v>
      </c>
      <c r="D69" s="762">
        <f t="shared" si="0"/>
        <v>1967</v>
      </c>
      <c r="E69" s="749">
        <v>1967</v>
      </c>
      <c r="F69" s="1015">
        <v>1435</v>
      </c>
      <c r="G69" s="1016">
        <f t="shared" si="5"/>
        <v>0.72953736654804269</v>
      </c>
      <c r="H69" s="1017">
        <f t="shared" si="6"/>
        <v>2163.7000000000003</v>
      </c>
      <c r="I69" s="750">
        <v>2800</v>
      </c>
      <c r="J69" s="1018">
        <f t="shared" si="7"/>
        <v>0.70250000000000001</v>
      </c>
      <c r="L69" s="754"/>
    </row>
    <row r="70" spans="1:12" s="745" customFormat="1" ht="16.5" thickTop="1" thickBot="1" x14ac:dyDescent="0.3">
      <c r="A70" s="760" t="s">
        <v>411</v>
      </c>
      <c r="B70" s="758" t="s">
        <v>368</v>
      </c>
      <c r="C70" s="1133">
        <f t="shared" si="4"/>
        <v>1527</v>
      </c>
      <c r="D70" s="762">
        <f t="shared" si="0"/>
        <v>1476</v>
      </c>
      <c r="E70" s="749">
        <v>1476</v>
      </c>
      <c r="F70" s="1015">
        <v>1183</v>
      </c>
      <c r="G70" s="1016">
        <f t="shared" si="5"/>
        <v>0.801490514905149</v>
      </c>
      <c r="H70" s="1017">
        <f t="shared" si="6"/>
        <v>1623.6000000000001</v>
      </c>
      <c r="I70" s="750">
        <v>2100</v>
      </c>
      <c r="J70" s="1018">
        <f t="shared" si="7"/>
        <v>0.70285714285714285</v>
      </c>
      <c r="L70" s="754"/>
    </row>
    <row r="71" spans="1:12" s="745" customFormat="1" ht="16.5" thickTop="1" thickBot="1" x14ac:dyDescent="0.3">
      <c r="A71" s="760" t="s">
        <v>412</v>
      </c>
      <c r="B71" s="758" t="s">
        <v>368</v>
      </c>
      <c r="C71" s="1133">
        <f t="shared" si="4"/>
        <v>1243</v>
      </c>
      <c r="D71" s="762">
        <f t="shared" si="0"/>
        <v>1202</v>
      </c>
      <c r="E71" s="749">
        <v>1202</v>
      </c>
      <c r="F71" s="1015">
        <v>961</v>
      </c>
      <c r="G71" s="1016">
        <f t="shared" si="5"/>
        <v>0.79950083194675536</v>
      </c>
      <c r="H71" s="1017">
        <f t="shared" si="6"/>
        <v>1322.2</v>
      </c>
      <c r="I71" s="750">
        <v>2100</v>
      </c>
      <c r="J71" s="1018">
        <f t="shared" si="7"/>
        <v>0.57238095238095243</v>
      </c>
      <c r="L71" s="754"/>
    </row>
    <row r="72" spans="1:12" s="745" customFormat="1" ht="16.5" thickTop="1" thickBot="1" x14ac:dyDescent="0.3">
      <c r="A72" s="760" t="s">
        <v>413</v>
      </c>
      <c r="B72" s="758" t="s">
        <v>368</v>
      </c>
      <c r="C72" s="1133">
        <f t="shared" si="4"/>
        <v>1391</v>
      </c>
      <c r="D72" s="762">
        <f t="shared" si="0"/>
        <v>1345</v>
      </c>
      <c r="E72" s="749">
        <v>1345</v>
      </c>
      <c r="F72" s="1015">
        <v>1115</v>
      </c>
      <c r="G72" s="1016">
        <f t="shared" si="5"/>
        <v>0.82899628252788105</v>
      </c>
      <c r="H72" s="1017">
        <f t="shared" si="6"/>
        <v>1479.5000000000002</v>
      </c>
      <c r="I72" s="750">
        <v>2100</v>
      </c>
      <c r="J72" s="1018">
        <f t="shared" si="7"/>
        <v>0.64047619047619042</v>
      </c>
      <c r="L72" s="754"/>
    </row>
    <row r="73" spans="1:12" s="745" customFormat="1" ht="16.5" thickTop="1" thickBot="1" x14ac:dyDescent="0.3">
      <c r="A73" s="760" t="s">
        <v>414</v>
      </c>
      <c r="B73" s="758" t="s">
        <v>368</v>
      </c>
      <c r="C73" s="1133">
        <f t="shared" ref="C73:C136" si="9">+ROUNDUP((D73*0.034)+D73,0)</f>
        <v>1793</v>
      </c>
      <c r="D73" s="762">
        <f t="shared" ref="D73:D138" si="10">+ROUND(E73,0)</f>
        <v>1734</v>
      </c>
      <c r="E73" s="749">
        <v>1734</v>
      </c>
      <c r="F73" s="1015">
        <v>1435</v>
      </c>
      <c r="G73" s="1016">
        <f t="shared" si="5"/>
        <v>0.82756632064590541</v>
      </c>
      <c r="H73" s="1017">
        <f t="shared" si="6"/>
        <v>1907.4</v>
      </c>
      <c r="I73" s="750">
        <v>2300</v>
      </c>
      <c r="J73" s="1018">
        <f t="shared" si="7"/>
        <v>0.75391304347826082</v>
      </c>
      <c r="L73" s="754"/>
    </row>
    <row r="74" spans="1:12" s="745" customFormat="1" ht="16.5" thickTop="1" thickBot="1" x14ac:dyDescent="0.3">
      <c r="A74" s="760" t="s">
        <v>415</v>
      </c>
      <c r="B74" s="758" t="s">
        <v>368</v>
      </c>
      <c r="C74" s="1133">
        <f t="shared" si="9"/>
        <v>1199</v>
      </c>
      <c r="D74" s="762">
        <f t="shared" si="10"/>
        <v>1159</v>
      </c>
      <c r="E74" s="749">
        <v>1159</v>
      </c>
      <c r="F74" s="1015">
        <v>921</v>
      </c>
      <c r="G74" s="1016">
        <f t="shared" ref="G74:G95" si="11">+F74/E74</f>
        <v>0.79465056082830021</v>
      </c>
      <c r="H74" s="1017">
        <f t="shared" ref="H74:H95" si="12">MAX(E74:F74)*$H$7</f>
        <v>1274.9000000000001</v>
      </c>
      <c r="I74" s="750">
        <v>2300</v>
      </c>
      <c r="J74" s="1018">
        <f t="shared" ref="J74:J95" si="13">+E74/I74</f>
        <v>0.50391304347826082</v>
      </c>
      <c r="L74" s="754"/>
    </row>
    <row r="75" spans="1:12" s="745" customFormat="1" ht="16.5" thickTop="1" thickBot="1" x14ac:dyDescent="0.3">
      <c r="A75" s="760" t="s">
        <v>416</v>
      </c>
      <c r="B75" s="758" t="s">
        <v>368</v>
      </c>
      <c r="C75" s="1133">
        <f t="shared" si="9"/>
        <v>1289</v>
      </c>
      <c r="D75" s="762">
        <f t="shared" si="10"/>
        <v>1246</v>
      </c>
      <c r="E75" s="749">
        <v>1246</v>
      </c>
      <c r="F75" s="1015">
        <v>990</v>
      </c>
      <c r="G75" s="1016">
        <f t="shared" si="11"/>
        <v>0.7945425361155698</v>
      </c>
      <c r="H75" s="1017">
        <f t="shared" si="12"/>
        <v>1370.6000000000001</v>
      </c>
      <c r="I75" s="750">
        <v>2300</v>
      </c>
      <c r="J75" s="1018">
        <f t="shared" si="13"/>
        <v>0.54173913043478261</v>
      </c>
      <c r="L75" s="754"/>
    </row>
    <row r="76" spans="1:12" s="745" customFormat="1" ht="16.5" thickTop="1" thickBot="1" x14ac:dyDescent="0.3">
      <c r="A76" s="760" t="s">
        <v>417</v>
      </c>
      <c r="B76" s="758" t="s">
        <v>368</v>
      </c>
      <c r="C76" s="1133">
        <f t="shared" si="9"/>
        <v>1547</v>
      </c>
      <c r="D76" s="762">
        <f t="shared" si="10"/>
        <v>1496</v>
      </c>
      <c r="E76" s="749">
        <v>1496</v>
      </c>
      <c r="F76" s="1015">
        <v>1197</v>
      </c>
      <c r="G76" s="1016">
        <f t="shared" si="11"/>
        <v>0.80013368983957223</v>
      </c>
      <c r="H76" s="1017">
        <f t="shared" si="12"/>
        <v>1645.6000000000001</v>
      </c>
      <c r="I76" s="750">
        <v>2300</v>
      </c>
      <c r="J76" s="1018">
        <f t="shared" si="13"/>
        <v>0.65043478260869569</v>
      </c>
      <c r="L76" s="754"/>
    </row>
    <row r="77" spans="1:12" s="745" customFormat="1" ht="16.5" thickTop="1" thickBot="1" x14ac:dyDescent="0.3">
      <c r="A77" s="760" t="s">
        <v>418</v>
      </c>
      <c r="B77" s="758" t="s">
        <v>368</v>
      </c>
      <c r="C77" s="1133">
        <f t="shared" si="9"/>
        <v>1606</v>
      </c>
      <c r="D77" s="762">
        <f t="shared" si="10"/>
        <v>1553</v>
      </c>
      <c r="E77" s="749">
        <v>1553</v>
      </c>
      <c r="F77" s="1015">
        <v>1246</v>
      </c>
      <c r="G77" s="1016">
        <f t="shared" si="11"/>
        <v>0.80231809401159049</v>
      </c>
      <c r="H77" s="1017">
        <f t="shared" si="12"/>
        <v>1708.3000000000002</v>
      </c>
      <c r="I77" s="750">
        <v>2600</v>
      </c>
      <c r="J77" s="1018">
        <f t="shared" si="13"/>
        <v>0.59730769230769232</v>
      </c>
      <c r="L77" s="754"/>
    </row>
    <row r="78" spans="1:12" s="745" customFormat="1" ht="16.5" thickTop="1" thickBot="1" x14ac:dyDescent="0.3">
      <c r="A78" s="760" t="s">
        <v>419</v>
      </c>
      <c r="B78" s="758" t="s">
        <v>338</v>
      </c>
      <c r="C78" s="1133">
        <f t="shared" si="9"/>
        <v>5170</v>
      </c>
      <c r="D78" s="762">
        <f t="shared" si="10"/>
        <v>5000</v>
      </c>
      <c r="E78" s="749">
        <v>5000</v>
      </c>
      <c r="F78" s="1015">
        <v>5000</v>
      </c>
      <c r="G78" s="1016">
        <f t="shared" si="11"/>
        <v>1</v>
      </c>
      <c r="H78" s="1017">
        <f t="shared" si="12"/>
        <v>5500</v>
      </c>
      <c r="I78" s="1020">
        <v>4876</v>
      </c>
      <c r="J78" s="1018">
        <f t="shared" si="13"/>
        <v>1.0254306808859721</v>
      </c>
      <c r="L78" s="754"/>
    </row>
    <row r="79" spans="1:12" s="745" customFormat="1" ht="16.5" thickTop="1" thickBot="1" x14ac:dyDescent="0.3">
      <c r="A79" s="760" t="s">
        <v>420</v>
      </c>
      <c r="B79" s="758" t="s">
        <v>421</v>
      </c>
      <c r="C79" s="1133">
        <f t="shared" si="9"/>
        <v>621</v>
      </c>
      <c r="D79" s="762">
        <f t="shared" si="10"/>
        <v>600</v>
      </c>
      <c r="E79" s="749">
        <v>600</v>
      </c>
      <c r="F79" s="1015"/>
      <c r="G79" s="1016">
        <f t="shared" si="11"/>
        <v>0</v>
      </c>
      <c r="H79" s="1017">
        <f t="shared" si="12"/>
        <v>660</v>
      </c>
      <c r="I79" s="1020">
        <v>377</v>
      </c>
      <c r="J79" s="1018">
        <f t="shared" si="13"/>
        <v>1.5915119363395225</v>
      </c>
      <c r="L79" s="754"/>
    </row>
    <row r="80" spans="1:12" s="745" customFormat="1" ht="16.5" thickTop="1" thickBot="1" x14ac:dyDescent="0.3">
      <c r="A80" s="760" t="s">
        <v>422</v>
      </c>
      <c r="B80" s="758" t="s">
        <v>423</v>
      </c>
      <c r="C80" s="1133">
        <f t="shared" si="9"/>
        <v>17527</v>
      </c>
      <c r="D80" s="762">
        <f t="shared" si="10"/>
        <v>16950</v>
      </c>
      <c r="E80" s="749">
        <v>16950</v>
      </c>
      <c r="F80" s="1015">
        <v>8348.89</v>
      </c>
      <c r="G80" s="1016">
        <f t="shared" si="11"/>
        <v>0.49255988200589967</v>
      </c>
      <c r="H80" s="1017">
        <f t="shared" si="12"/>
        <v>18645</v>
      </c>
      <c r="I80" s="1020">
        <v>24100</v>
      </c>
      <c r="J80" s="1018">
        <f t="shared" si="13"/>
        <v>0.70331950207468885</v>
      </c>
      <c r="L80" s="754"/>
    </row>
    <row r="81" spans="1:12" s="745" customFormat="1" ht="16.5" thickTop="1" thickBot="1" x14ac:dyDescent="0.3">
      <c r="A81" s="760" t="s">
        <v>424</v>
      </c>
      <c r="B81" s="758" t="s">
        <v>353</v>
      </c>
      <c r="C81" s="1133">
        <f t="shared" si="9"/>
        <v>4870</v>
      </c>
      <c r="D81" s="762">
        <f t="shared" si="10"/>
        <v>4709</v>
      </c>
      <c r="E81" s="749">
        <v>4709</v>
      </c>
      <c r="F81" s="1015">
        <v>4625.4224759850176</v>
      </c>
      <c r="G81" s="1016">
        <f t="shared" si="11"/>
        <v>0.98225153450520652</v>
      </c>
      <c r="H81" s="1017">
        <f t="shared" si="12"/>
        <v>5179.9000000000005</v>
      </c>
      <c r="I81" s="1020">
        <v>6300</v>
      </c>
      <c r="J81" s="1018">
        <f t="shared" si="13"/>
        <v>0.74746031746031749</v>
      </c>
      <c r="L81" s="754"/>
    </row>
    <row r="82" spans="1:12" s="745" customFormat="1" ht="16.5" thickTop="1" thickBot="1" x14ac:dyDescent="0.3">
      <c r="A82" s="760" t="s">
        <v>425</v>
      </c>
      <c r="B82" s="758" t="s">
        <v>353</v>
      </c>
      <c r="C82" s="1133">
        <f t="shared" si="9"/>
        <v>16855</v>
      </c>
      <c r="D82" s="762">
        <v>16300</v>
      </c>
      <c r="E82" s="749">
        <v>15552</v>
      </c>
      <c r="F82" s="747"/>
      <c r="G82" s="1016">
        <f t="shared" si="11"/>
        <v>0</v>
      </c>
      <c r="H82" s="1017">
        <f t="shared" si="12"/>
        <v>17107.2</v>
      </c>
      <c r="I82" s="1020">
        <v>16300</v>
      </c>
      <c r="J82" s="1018">
        <f t="shared" si="13"/>
        <v>0.95411042944785274</v>
      </c>
      <c r="L82" s="754"/>
    </row>
    <row r="83" spans="1:12" s="745" customFormat="1" ht="16.5" thickTop="1" thickBot="1" x14ac:dyDescent="0.3">
      <c r="A83" s="760" t="s">
        <v>426</v>
      </c>
      <c r="B83" s="758" t="s">
        <v>15</v>
      </c>
      <c r="C83" s="1133">
        <f t="shared" si="9"/>
        <v>19346</v>
      </c>
      <c r="D83" s="762">
        <f t="shared" si="10"/>
        <v>18709</v>
      </c>
      <c r="E83" s="749">
        <v>18709</v>
      </c>
      <c r="F83" s="1015">
        <v>18377.51351417441</v>
      </c>
      <c r="G83" s="1016">
        <f t="shared" si="11"/>
        <v>0.98228197734643274</v>
      </c>
      <c r="H83" s="1017">
        <f t="shared" si="12"/>
        <v>20579.900000000001</v>
      </c>
      <c r="I83" s="750">
        <v>23100</v>
      </c>
      <c r="J83" s="1018">
        <f t="shared" si="13"/>
        <v>0.80991341991341992</v>
      </c>
      <c r="L83" s="754"/>
    </row>
    <row r="84" spans="1:12" s="745" customFormat="1" ht="16.5" thickTop="1" thickBot="1" x14ac:dyDescent="0.3">
      <c r="A84" s="760" t="s">
        <v>427</v>
      </c>
      <c r="B84" s="758" t="s">
        <v>353</v>
      </c>
      <c r="C84" s="1133">
        <f t="shared" si="9"/>
        <v>5933</v>
      </c>
      <c r="D84" s="762">
        <f t="shared" si="10"/>
        <v>5737</v>
      </c>
      <c r="E84" s="749">
        <v>5737</v>
      </c>
      <c r="F84" s="1015">
        <v>5635.7778819887544</v>
      </c>
      <c r="G84" s="1016">
        <f t="shared" si="11"/>
        <v>0.9823562632018048</v>
      </c>
      <c r="H84" s="1017">
        <f t="shared" si="12"/>
        <v>6310.7000000000007</v>
      </c>
      <c r="I84" s="750">
        <v>12600</v>
      </c>
      <c r="J84" s="1018">
        <f t="shared" si="13"/>
        <v>0.45531746031746034</v>
      </c>
      <c r="L84" s="754"/>
    </row>
    <row r="85" spans="1:12" s="745" customFormat="1" ht="16.5" thickTop="1" thickBot="1" x14ac:dyDescent="0.3">
      <c r="A85" s="760" t="s">
        <v>428</v>
      </c>
      <c r="B85" s="758" t="s">
        <v>59</v>
      </c>
      <c r="C85" s="1133">
        <f t="shared" si="9"/>
        <v>1181</v>
      </c>
      <c r="D85" s="762">
        <f t="shared" si="10"/>
        <v>1142</v>
      </c>
      <c r="E85" s="749">
        <v>1142</v>
      </c>
      <c r="F85" s="1015">
        <v>1141.6799999999998</v>
      </c>
      <c r="G85" s="1016">
        <f t="shared" si="11"/>
        <v>0.99971978984238163</v>
      </c>
      <c r="H85" s="1017">
        <f t="shared" si="12"/>
        <v>1256.2</v>
      </c>
      <c r="I85" s="1020">
        <v>1000</v>
      </c>
      <c r="J85" s="1018">
        <f t="shared" si="13"/>
        <v>1.1419999999999999</v>
      </c>
      <c r="L85" s="754"/>
    </row>
    <row r="86" spans="1:12" s="745" customFormat="1" ht="16.5" thickTop="1" thickBot="1" x14ac:dyDescent="0.3">
      <c r="A86" s="760" t="s">
        <v>429</v>
      </c>
      <c r="B86" s="765" t="s">
        <v>338</v>
      </c>
      <c r="C86" s="1133">
        <f t="shared" si="9"/>
        <v>23460</v>
      </c>
      <c r="D86" s="762">
        <f t="shared" si="10"/>
        <v>22688</v>
      </c>
      <c r="E86" s="749">
        <v>22688</v>
      </c>
      <c r="F86" s="1015">
        <v>22286.106933263891</v>
      </c>
      <c r="G86" s="1016">
        <f t="shared" si="11"/>
        <v>0.98228609543652556</v>
      </c>
      <c r="H86" s="1017">
        <f t="shared" si="12"/>
        <v>24956.800000000003</v>
      </c>
      <c r="I86" s="750">
        <v>27300</v>
      </c>
      <c r="J86" s="1018">
        <f t="shared" si="13"/>
        <v>0.83106227106227104</v>
      </c>
      <c r="L86" s="754"/>
    </row>
    <row r="87" spans="1:12" s="745" customFormat="1" ht="16.5" thickTop="1" thickBot="1" x14ac:dyDescent="0.3">
      <c r="A87" s="760" t="s">
        <v>430</v>
      </c>
      <c r="B87" s="765" t="s">
        <v>338</v>
      </c>
      <c r="C87" s="1133">
        <f t="shared" si="9"/>
        <v>4205</v>
      </c>
      <c r="D87" s="762">
        <f t="shared" si="10"/>
        <v>4066</v>
      </c>
      <c r="E87" s="749">
        <v>4066</v>
      </c>
      <c r="F87" s="1015">
        <v>4007.77</v>
      </c>
      <c r="G87" s="1016">
        <f t="shared" si="11"/>
        <v>0.98567879980324646</v>
      </c>
      <c r="H87" s="1017">
        <f t="shared" si="12"/>
        <v>4472.6000000000004</v>
      </c>
      <c r="I87" s="750">
        <v>2500</v>
      </c>
      <c r="J87" s="1018">
        <f t="shared" si="13"/>
        <v>1.6264000000000001</v>
      </c>
      <c r="L87" s="754"/>
    </row>
    <row r="88" spans="1:12" s="745" customFormat="1" ht="16.5" thickTop="1" thickBot="1" x14ac:dyDescent="0.3">
      <c r="A88" s="760" t="s">
        <v>612</v>
      </c>
      <c r="B88" s="758" t="s">
        <v>353</v>
      </c>
      <c r="C88" s="1133">
        <f t="shared" si="9"/>
        <v>7343</v>
      </c>
      <c r="D88" s="762">
        <f t="shared" si="10"/>
        <v>7101</v>
      </c>
      <c r="E88" s="749">
        <v>7101</v>
      </c>
      <c r="F88" s="1015">
        <v>7100.73</v>
      </c>
      <c r="G88" s="1016">
        <f t="shared" si="11"/>
        <v>0.99996197718631175</v>
      </c>
      <c r="H88" s="1017">
        <f t="shared" si="12"/>
        <v>7811.1</v>
      </c>
      <c r="I88" s="1020">
        <v>5500</v>
      </c>
      <c r="J88" s="1018">
        <f t="shared" si="13"/>
        <v>1.2910909090909091</v>
      </c>
      <c r="L88" s="754"/>
    </row>
    <row r="89" spans="1:12" s="745" customFormat="1" ht="16.5" thickTop="1" thickBot="1" x14ac:dyDescent="0.3">
      <c r="A89" s="760" t="s">
        <v>431</v>
      </c>
      <c r="B89" s="758" t="s">
        <v>353</v>
      </c>
      <c r="C89" s="1133">
        <f t="shared" si="9"/>
        <v>5057</v>
      </c>
      <c r="D89" s="762">
        <f t="shared" si="10"/>
        <v>4890</v>
      </c>
      <c r="E89" s="749">
        <f>+E90</f>
        <v>4890</v>
      </c>
      <c r="F89" s="1015">
        <v>4109</v>
      </c>
      <c r="G89" s="1016">
        <f t="shared" si="11"/>
        <v>0.84028629856850712</v>
      </c>
      <c r="H89" s="1017">
        <f t="shared" si="12"/>
        <v>5379</v>
      </c>
      <c r="I89" s="750">
        <v>3400</v>
      </c>
      <c r="J89" s="1018">
        <f t="shared" si="13"/>
        <v>1.4382352941176471</v>
      </c>
      <c r="L89" s="754"/>
    </row>
    <row r="90" spans="1:12" s="745" customFormat="1" ht="16.5" thickTop="1" thickBot="1" x14ac:dyDescent="0.3">
      <c r="A90" s="760" t="s">
        <v>432</v>
      </c>
      <c r="B90" s="758" t="s">
        <v>353</v>
      </c>
      <c r="C90" s="1133">
        <f t="shared" si="9"/>
        <v>5057</v>
      </c>
      <c r="D90" s="762">
        <f t="shared" si="10"/>
        <v>4890</v>
      </c>
      <c r="E90" s="749">
        <v>4890</v>
      </c>
      <c r="F90" s="1015">
        <v>4109</v>
      </c>
      <c r="G90" s="1016">
        <f t="shared" si="11"/>
        <v>0.84028629856850712</v>
      </c>
      <c r="H90" s="1017">
        <f t="shared" si="12"/>
        <v>5379</v>
      </c>
      <c r="I90" s="750">
        <v>3600</v>
      </c>
      <c r="J90" s="1018">
        <f t="shared" si="13"/>
        <v>1.3583333333333334</v>
      </c>
      <c r="L90" s="754"/>
    </row>
    <row r="91" spans="1:12" s="745" customFormat="1" ht="16.5" thickTop="1" thickBot="1" x14ac:dyDescent="0.3">
      <c r="A91" s="760" t="s">
        <v>433</v>
      </c>
      <c r="B91" s="758" t="s">
        <v>353</v>
      </c>
      <c r="C91" s="1133">
        <f t="shared" si="9"/>
        <v>6319</v>
      </c>
      <c r="D91" s="762">
        <f t="shared" si="10"/>
        <v>6111</v>
      </c>
      <c r="E91" s="749">
        <v>6111</v>
      </c>
      <c r="F91" s="1015">
        <v>6110.65</v>
      </c>
      <c r="G91" s="1016">
        <f t="shared" si="11"/>
        <v>0.99994272623138591</v>
      </c>
      <c r="H91" s="1017">
        <f t="shared" si="12"/>
        <v>6722.1</v>
      </c>
      <c r="I91" s="750">
        <v>4600</v>
      </c>
      <c r="J91" s="1018">
        <f t="shared" si="13"/>
        <v>1.3284782608695651</v>
      </c>
      <c r="L91" s="754"/>
    </row>
    <row r="92" spans="1:12" s="745" customFormat="1" ht="16.5" thickTop="1" thickBot="1" x14ac:dyDescent="0.3">
      <c r="A92" s="760" t="s">
        <v>434</v>
      </c>
      <c r="B92" s="758" t="s">
        <v>353</v>
      </c>
      <c r="C92" s="1133">
        <f t="shared" si="9"/>
        <v>6607</v>
      </c>
      <c r="D92" s="762">
        <f t="shared" si="10"/>
        <v>6389</v>
      </c>
      <c r="E92" s="749">
        <v>6389</v>
      </c>
      <c r="F92" s="1015">
        <v>6389.11</v>
      </c>
      <c r="G92" s="1016">
        <f t="shared" si="11"/>
        <v>1.0000172170918766</v>
      </c>
      <c r="H92" s="1017">
        <f t="shared" si="12"/>
        <v>7028.0210000000006</v>
      </c>
      <c r="I92" s="750">
        <v>4600</v>
      </c>
      <c r="J92" s="1018">
        <f t="shared" si="13"/>
        <v>1.3889130434782608</v>
      </c>
      <c r="L92" s="754"/>
    </row>
    <row r="93" spans="1:12" s="745" customFormat="1" ht="16.5" thickTop="1" thickBot="1" x14ac:dyDescent="0.3">
      <c r="A93" s="760" t="s">
        <v>435</v>
      </c>
      <c r="B93" s="758" t="s">
        <v>338</v>
      </c>
      <c r="C93" s="1133">
        <f t="shared" si="9"/>
        <v>7383</v>
      </c>
      <c r="D93" s="762">
        <f t="shared" si="10"/>
        <v>7140</v>
      </c>
      <c r="E93" s="749">
        <v>7140</v>
      </c>
      <c r="F93" s="1015">
        <v>7735</v>
      </c>
      <c r="G93" s="1016">
        <f t="shared" si="11"/>
        <v>1.0833333333333333</v>
      </c>
      <c r="H93" s="1017">
        <f t="shared" si="12"/>
        <v>8508.5</v>
      </c>
      <c r="I93" s="1020">
        <v>5088</v>
      </c>
      <c r="J93" s="1018">
        <f t="shared" si="13"/>
        <v>1.4033018867924529</v>
      </c>
      <c r="L93" s="754"/>
    </row>
    <row r="94" spans="1:12" s="745" customFormat="1" ht="16.5" thickTop="1" thickBot="1" x14ac:dyDescent="0.3">
      <c r="A94" s="760" t="s">
        <v>436</v>
      </c>
      <c r="B94" s="758" t="s">
        <v>338</v>
      </c>
      <c r="C94" s="1133">
        <f t="shared" si="9"/>
        <v>13011</v>
      </c>
      <c r="D94" s="762">
        <f t="shared" si="10"/>
        <v>12583</v>
      </c>
      <c r="E94" s="749">
        <v>12583</v>
      </c>
      <c r="F94" s="1015">
        <v>8728</v>
      </c>
      <c r="G94" s="1016">
        <f t="shared" si="11"/>
        <v>0.69363426845744258</v>
      </c>
      <c r="H94" s="1017">
        <f t="shared" si="12"/>
        <v>13841.300000000001</v>
      </c>
      <c r="I94" s="750">
        <v>65600</v>
      </c>
      <c r="J94" s="1018">
        <f t="shared" si="13"/>
        <v>0.19181402439024389</v>
      </c>
      <c r="L94" s="754"/>
    </row>
    <row r="95" spans="1:12" s="745" customFormat="1" ht="16.5" thickTop="1" thickBot="1" x14ac:dyDescent="0.3">
      <c r="A95" s="760" t="s">
        <v>437</v>
      </c>
      <c r="B95" s="758" t="s">
        <v>368</v>
      </c>
      <c r="C95" s="1133">
        <f t="shared" si="9"/>
        <v>804</v>
      </c>
      <c r="D95" s="762">
        <f t="shared" si="10"/>
        <v>777</v>
      </c>
      <c r="E95" s="749">
        <v>777</v>
      </c>
      <c r="F95" s="1015">
        <v>745.89794564330941</v>
      </c>
      <c r="G95" s="1016">
        <f t="shared" si="11"/>
        <v>0.95997161601455527</v>
      </c>
      <c r="H95" s="1017">
        <f t="shared" si="12"/>
        <v>854.7</v>
      </c>
      <c r="I95" s="750">
        <v>1600</v>
      </c>
      <c r="J95" s="1018">
        <f t="shared" si="13"/>
        <v>0.48562499999999997</v>
      </c>
      <c r="L95" s="754"/>
    </row>
    <row r="96" spans="1:12" s="745" customFormat="1" ht="14.25" thickTop="1" thickBot="1" x14ac:dyDescent="0.25">
      <c r="A96" s="760" t="s">
        <v>799</v>
      </c>
      <c r="B96" s="758" t="s">
        <v>15</v>
      </c>
      <c r="C96" s="1133">
        <f t="shared" si="9"/>
        <v>36133</v>
      </c>
      <c r="D96" s="762">
        <v>34944</v>
      </c>
      <c r="L96" s="754"/>
    </row>
    <row r="97" spans="1:12" s="745" customFormat="1" ht="16.5" thickTop="1" thickBot="1" x14ac:dyDescent="0.3">
      <c r="A97" s="760" t="s">
        <v>438</v>
      </c>
      <c r="B97" s="758" t="s">
        <v>15</v>
      </c>
      <c r="C97" s="1133">
        <f t="shared" si="9"/>
        <v>931</v>
      </c>
      <c r="D97" s="762">
        <f t="shared" si="10"/>
        <v>900</v>
      </c>
      <c r="E97" s="749">
        <v>900</v>
      </c>
      <c r="F97" s="1015">
        <v>375</v>
      </c>
      <c r="G97" s="1016">
        <f t="shared" ref="G97:G135" si="14">+F97/E97</f>
        <v>0.41666666666666669</v>
      </c>
      <c r="H97" s="1017">
        <f t="shared" ref="H97:H135" si="15">MAX(E97:F97)*$H$7</f>
        <v>990.00000000000011</v>
      </c>
      <c r="I97" s="750">
        <v>1900</v>
      </c>
      <c r="J97" s="1018">
        <f t="shared" ref="J97:J135" si="16">+E97/I97</f>
        <v>0.47368421052631576</v>
      </c>
      <c r="L97" s="754"/>
    </row>
    <row r="98" spans="1:12" s="745" customFormat="1" ht="16.5" thickTop="1" thickBot="1" x14ac:dyDescent="0.3">
      <c r="A98" s="760" t="s">
        <v>439</v>
      </c>
      <c r="B98" s="758" t="s">
        <v>59</v>
      </c>
      <c r="C98" s="1133">
        <f t="shared" si="9"/>
        <v>82573</v>
      </c>
      <c r="D98" s="762">
        <f t="shared" si="10"/>
        <v>79857</v>
      </c>
      <c r="E98" s="1037">
        <v>79857.116297595363</v>
      </c>
      <c r="F98" s="1015">
        <v>78443.590500000006</v>
      </c>
      <c r="G98" s="1016">
        <f t="shared" si="14"/>
        <v>0.98229931328439513</v>
      </c>
      <c r="H98" s="1017">
        <f t="shared" si="15"/>
        <v>87842.827927354912</v>
      </c>
      <c r="I98" s="1020">
        <v>50400</v>
      </c>
      <c r="J98" s="1018">
        <f t="shared" si="16"/>
        <v>1.5844665932062572</v>
      </c>
      <c r="L98" s="754"/>
    </row>
    <row r="99" spans="1:12" s="745" customFormat="1" ht="16.5" thickTop="1" thickBot="1" x14ac:dyDescent="0.3">
      <c r="A99" s="760" t="s">
        <v>440</v>
      </c>
      <c r="B99" s="758" t="s">
        <v>357</v>
      </c>
      <c r="C99" s="1133">
        <f t="shared" si="9"/>
        <v>31020</v>
      </c>
      <c r="D99" s="762">
        <f t="shared" si="10"/>
        <v>30000</v>
      </c>
      <c r="E99" s="749">
        <v>30000</v>
      </c>
      <c r="F99" s="1015">
        <v>30000</v>
      </c>
      <c r="G99" s="1016">
        <f t="shared" si="14"/>
        <v>1</v>
      </c>
      <c r="H99" s="1017">
        <f t="shared" si="15"/>
        <v>33000</v>
      </c>
      <c r="I99" s="1020">
        <v>30000</v>
      </c>
      <c r="J99" s="1018">
        <f t="shared" si="16"/>
        <v>1</v>
      </c>
      <c r="L99" s="754"/>
    </row>
    <row r="100" spans="1:12" s="745" customFormat="1" ht="16.5" thickTop="1" thickBot="1" x14ac:dyDescent="0.3">
      <c r="A100" s="760" t="s">
        <v>441</v>
      </c>
      <c r="B100" s="758" t="s">
        <v>357</v>
      </c>
      <c r="C100" s="1133">
        <f t="shared" si="9"/>
        <v>31020</v>
      </c>
      <c r="D100" s="762">
        <f t="shared" si="10"/>
        <v>30000</v>
      </c>
      <c r="E100" s="749">
        <v>30000</v>
      </c>
      <c r="F100" s="1015">
        <v>30000</v>
      </c>
      <c r="G100" s="1016">
        <f t="shared" si="14"/>
        <v>1</v>
      </c>
      <c r="H100" s="1017">
        <f t="shared" si="15"/>
        <v>33000</v>
      </c>
      <c r="I100" s="750">
        <v>11600</v>
      </c>
      <c r="J100" s="1018">
        <f t="shared" si="16"/>
        <v>2.5862068965517242</v>
      </c>
      <c r="L100" s="754"/>
    </row>
    <row r="101" spans="1:12" s="745" customFormat="1" ht="16.5" thickTop="1" thickBot="1" x14ac:dyDescent="0.3">
      <c r="A101" s="760" t="s">
        <v>442</v>
      </c>
      <c r="B101" s="758" t="s">
        <v>357</v>
      </c>
      <c r="C101" s="1133">
        <f t="shared" si="9"/>
        <v>41360</v>
      </c>
      <c r="D101" s="762">
        <f t="shared" si="10"/>
        <v>40000</v>
      </c>
      <c r="E101" s="749">
        <v>40000</v>
      </c>
      <c r="F101" s="1015">
        <v>47600</v>
      </c>
      <c r="G101" s="1016">
        <f t="shared" si="14"/>
        <v>1.19</v>
      </c>
      <c r="H101" s="1017">
        <f t="shared" si="15"/>
        <v>52360.000000000007</v>
      </c>
      <c r="I101" s="1020">
        <v>33000</v>
      </c>
      <c r="J101" s="1018">
        <f t="shared" si="16"/>
        <v>1.2121212121212122</v>
      </c>
      <c r="L101" s="754"/>
    </row>
    <row r="102" spans="1:12" s="745" customFormat="1" ht="16.5" thickTop="1" thickBot="1" x14ac:dyDescent="0.3">
      <c r="A102" s="760" t="s">
        <v>443</v>
      </c>
      <c r="B102" s="758" t="s">
        <v>357</v>
      </c>
      <c r="C102" s="1133">
        <f t="shared" si="9"/>
        <v>41360</v>
      </c>
      <c r="D102" s="762">
        <f t="shared" si="10"/>
        <v>40000</v>
      </c>
      <c r="E102" s="749">
        <v>40000</v>
      </c>
      <c r="F102" s="1015">
        <v>47600</v>
      </c>
      <c r="G102" s="1016">
        <f t="shared" si="14"/>
        <v>1.19</v>
      </c>
      <c r="H102" s="1017">
        <f t="shared" si="15"/>
        <v>52360.000000000007</v>
      </c>
      <c r="I102" s="750">
        <v>35000</v>
      </c>
      <c r="J102" s="1018">
        <f t="shared" si="16"/>
        <v>1.1428571428571428</v>
      </c>
      <c r="L102" s="754"/>
    </row>
    <row r="103" spans="1:12" s="745" customFormat="1" ht="16.5" thickTop="1" thickBot="1" x14ac:dyDescent="0.3">
      <c r="A103" s="760" t="s">
        <v>444</v>
      </c>
      <c r="B103" s="758" t="s">
        <v>357</v>
      </c>
      <c r="C103" s="1133">
        <f t="shared" si="9"/>
        <v>41360</v>
      </c>
      <c r="D103" s="762">
        <f t="shared" si="10"/>
        <v>40000</v>
      </c>
      <c r="E103" s="749">
        <v>40000</v>
      </c>
      <c r="F103" s="1015">
        <v>47600</v>
      </c>
      <c r="G103" s="1016">
        <f t="shared" si="14"/>
        <v>1.19</v>
      </c>
      <c r="H103" s="1017">
        <f t="shared" si="15"/>
        <v>52360.000000000007</v>
      </c>
      <c r="I103" s="750">
        <v>35000</v>
      </c>
      <c r="J103" s="1018">
        <f t="shared" si="16"/>
        <v>1.1428571428571428</v>
      </c>
      <c r="L103" s="754"/>
    </row>
    <row r="104" spans="1:12" s="745" customFormat="1" ht="16.5" thickTop="1" thickBot="1" x14ac:dyDescent="0.3">
      <c r="A104" s="760" t="s">
        <v>445</v>
      </c>
      <c r="B104" s="758" t="s">
        <v>357</v>
      </c>
      <c r="C104" s="1133">
        <f t="shared" si="9"/>
        <v>41360</v>
      </c>
      <c r="D104" s="762">
        <f t="shared" si="10"/>
        <v>40000</v>
      </c>
      <c r="E104" s="749">
        <v>40000</v>
      </c>
      <c r="F104" s="1015">
        <v>47600</v>
      </c>
      <c r="G104" s="1016">
        <f t="shared" si="14"/>
        <v>1.19</v>
      </c>
      <c r="H104" s="1017">
        <f t="shared" si="15"/>
        <v>52360.000000000007</v>
      </c>
      <c r="I104" s="750">
        <v>35000</v>
      </c>
      <c r="J104" s="1018">
        <f t="shared" si="16"/>
        <v>1.1428571428571428</v>
      </c>
      <c r="L104" s="754"/>
    </row>
    <row r="105" spans="1:12" s="745" customFormat="1" ht="16.5" thickTop="1" thickBot="1" x14ac:dyDescent="0.3">
      <c r="A105" s="760" t="s">
        <v>446</v>
      </c>
      <c r="B105" s="758" t="s">
        <v>357</v>
      </c>
      <c r="C105" s="1133">
        <f t="shared" si="9"/>
        <v>25850</v>
      </c>
      <c r="D105" s="762">
        <f t="shared" si="10"/>
        <v>25000</v>
      </c>
      <c r="E105" s="749">
        <v>25000</v>
      </c>
      <c r="F105" s="1015">
        <v>40000</v>
      </c>
      <c r="G105" s="1016">
        <f t="shared" si="14"/>
        <v>1.6</v>
      </c>
      <c r="H105" s="1017">
        <f t="shared" si="15"/>
        <v>44000</v>
      </c>
      <c r="I105" s="750">
        <v>28000</v>
      </c>
      <c r="J105" s="1018">
        <f t="shared" si="16"/>
        <v>0.8928571428571429</v>
      </c>
      <c r="L105" s="754"/>
    </row>
    <row r="106" spans="1:12" s="745" customFormat="1" ht="16.5" thickTop="1" thickBot="1" x14ac:dyDescent="0.3">
      <c r="A106" s="760" t="s">
        <v>447</v>
      </c>
      <c r="B106" s="758" t="s">
        <v>357</v>
      </c>
      <c r="C106" s="1133">
        <f t="shared" si="9"/>
        <v>39292</v>
      </c>
      <c r="D106" s="762">
        <f t="shared" si="10"/>
        <v>38000</v>
      </c>
      <c r="E106" s="749">
        <v>38000</v>
      </c>
      <c r="F106" s="1015">
        <v>38000</v>
      </c>
      <c r="G106" s="1016">
        <f t="shared" si="14"/>
        <v>1</v>
      </c>
      <c r="H106" s="1017">
        <f t="shared" si="15"/>
        <v>41800</v>
      </c>
      <c r="I106" s="750">
        <v>25000</v>
      </c>
      <c r="J106" s="1018">
        <f t="shared" si="16"/>
        <v>1.52</v>
      </c>
      <c r="L106" s="754"/>
    </row>
    <row r="107" spans="1:12" s="745" customFormat="1" ht="16.5" thickTop="1" thickBot="1" x14ac:dyDescent="0.3">
      <c r="A107" s="760" t="s">
        <v>448</v>
      </c>
      <c r="B107" s="758" t="s">
        <v>357</v>
      </c>
      <c r="C107" s="1133">
        <f t="shared" si="9"/>
        <v>40326</v>
      </c>
      <c r="D107" s="762">
        <f t="shared" si="10"/>
        <v>39000</v>
      </c>
      <c r="E107" s="749">
        <v>39000</v>
      </c>
      <c r="F107" s="1015">
        <v>39000</v>
      </c>
      <c r="G107" s="1016">
        <f t="shared" si="14"/>
        <v>1</v>
      </c>
      <c r="H107" s="1017">
        <f t="shared" si="15"/>
        <v>42900</v>
      </c>
      <c r="I107" s="750">
        <v>25000</v>
      </c>
      <c r="J107" s="1018">
        <f t="shared" si="16"/>
        <v>1.56</v>
      </c>
      <c r="L107" s="754"/>
    </row>
    <row r="108" spans="1:12" s="745" customFormat="1" ht="16.5" thickTop="1" thickBot="1" x14ac:dyDescent="0.3">
      <c r="A108" s="760" t="s">
        <v>449</v>
      </c>
      <c r="B108" s="758" t="s">
        <v>357</v>
      </c>
      <c r="C108" s="1133">
        <f t="shared" si="9"/>
        <v>41360</v>
      </c>
      <c r="D108" s="762">
        <f t="shared" si="10"/>
        <v>40000</v>
      </c>
      <c r="E108" s="749">
        <v>40000</v>
      </c>
      <c r="F108" s="1015">
        <v>40000</v>
      </c>
      <c r="G108" s="1016">
        <f t="shared" si="14"/>
        <v>1</v>
      </c>
      <c r="H108" s="1017">
        <f t="shared" si="15"/>
        <v>44000</v>
      </c>
      <c r="I108" s="1020">
        <v>31000</v>
      </c>
      <c r="J108" s="1018">
        <f t="shared" si="16"/>
        <v>1.2903225806451613</v>
      </c>
      <c r="L108" s="754"/>
    </row>
    <row r="109" spans="1:12" s="745" customFormat="1" ht="16.5" thickTop="1" thickBot="1" x14ac:dyDescent="0.3">
      <c r="A109" s="760" t="s">
        <v>450</v>
      </c>
      <c r="B109" s="758" t="s">
        <v>357</v>
      </c>
      <c r="C109" s="1133">
        <f t="shared" si="9"/>
        <v>25850</v>
      </c>
      <c r="D109" s="762">
        <f t="shared" si="10"/>
        <v>25000</v>
      </c>
      <c r="E109" s="749">
        <v>25000</v>
      </c>
      <c r="F109" s="1015">
        <v>25000</v>
      </c>
      <c r="G109" s="1016">
        <f t="shared" si="14"/>
        <v>1</v>
      </c>
      <c r="H109" s="1017">
        <f t="shared" si="15"/>
        <v>27500.000000000004</v>
      </c>
      <c r="I109" s="750">
        <v>10500</v>
      </c>
      <c r="J109" s="1018">
        <f t="shared" si="16"/>
        <v>2.3809523809523809</v>
      </c>
      <c r="L109" s="754"/>
    </row>
    <row r="110" spans="1:12" s="745" customFormat="1" ht="16.5" thickTop="1" thickBot="1" x14ac:dyDescent="0.3">
      <c r="A110" s="760" t="s">
        <v>613</v>
      </c>
      <c r="B110" s="758"/>
      <c r="C110" s="1133">
        <f t="shared" si="9"/>
        <v>25850</v>
      </c>
      <c r="D110" s="762">
        <f t="shared" si="10"/>
        <v>25000</v>
      </c>
      <c r="E110" s="749">
        <v>25000</v>
      </c>
      <c r="F110" s="1015">
        <v>25000</v>
      </c>
      <c r="G110" s="1016">
        <f t="shared" si="14"/>
        <v>1</v>
      </c>
      <c r="H110" s="1017">
        <f t="shared" si="15"/>
        <v>27500.000000000004</v>
      </c>
      <c r="I110" s="1020">
        <v>12720</v>
      </c>
      <c r="J110" s="1018">
        <f t="shared" si="16"/>
        <v>1.9654088050314464</v>
      </c>
      <c r="L110" s="754"/>
    </row>
    <row r="111" spans="1:12" s="745" customFormat="1" ht="16.5" thickTop="1" thickBot="1" x14ac:dyDescent="0.3">
      <c r="A111" s="760" t="s">
        <v>451</v>
      </c>
      <c r="B111" s="758" t="s">
        <v>357</v>
      </c>
      <c r="C111" s="1133">
        <f t="shared" si="9"/>
        <v>51700</v>
      </c>
      <c r="D111" s="762">
        <f t="shared" si="10"/>
        <v>50000</v>
      </c>
      <c r="E111" s="749">
        <v>50000</v>
      </c>
      <c r="F111" s="1015">
        <v>50000</v>
      </c>
      <c r="G111" s="1016">
        <f t="shared" si="14"/>
        <v>1</v>
      </c>
      <c r="H111" s="1017">
        <f t="shared" si="15"/>
        <v>55000.000000000007</v>
      </c>
      <c r="I111" s="1020">
        <v>42000</v>
      </c>
      <c r="J111" s="1018">
        <f t="shared" si="16"/>
        <v>1.1904761904761905</v>
      </c>
      <c r="L111" s="754"/>
    </row>
    <row r="112" spans="1:12" s="745" customFormat="1" ht="16.5" thickTop="1" thickBot="1" x14ac:dyDescent="0.3">
      <c r="A112" s="760" t="s">
        <v>452</v>
      </c>
      <c r="B112" s="758" t="s">
        <v>357</v>
      </c>
      <c r="C112" s="1133">
        <f t="shared" si="9"/>
        <v>46530</v>
      </c>
      <c r="D112" s="762">
        <f t="shared" si="10"/>
        <v>45000</v>
      </c>
      <c r="E112" s="749">
        <v>45000</v>
      </c>
      <c r="F112" s="1015">
        <v>45000</v>
      </c>
      <c r="G112" s="1016">
        <f t="shared" si="14"/>
        <v>1</v>
      </c>
      <c r="H112" s="1017">
        <f t="shared" si="15"/>
        <v>49500.000000000007</v>
      </c>
      <c r="I112" s="750">
        <v>38900</v>
      </c>
      <c r="J112" s="1018">
        <f t="shared" si="16"/>
        <v>1.1568123393316196</v>
      </c>
      <c r="L112" s="754"/>
    </row>
    <row r="113" spans="1:12" s="745" customFormat="1" ht="16.5" thickTop="1" thickBot="1" x14ac:dyDescent="0.3">
      <c r="A113" s="760" t="s">
        <v>453</v>
      </c>
      <c r="B113" s="758" t="s">
        <v>15</v>
      </c>
      <c r="C113" s="1133">
        <f t="shared" si="9"/>
        <v>1270</v>
      </c>
      <c r="D113" s="762">
        <f t="shared" si="10"/>
        <v>1228</v>
      </c>
      <c r="E113" s="749">
        <v>1228</v>
      </c>
      <c r="F113" s="1015">
        <v>1039.44</v>
      </c>
      <c r="G113" s="1016">
        <f t="shared" si="14"/>
        <v>0.8464495114006515</v>
      </c>
      <c r="H113" s="1017">
        <f t="shared" si="15"/>
        <v>1350.8000000000002</v>
      </c>
      <c r="I113" s="1020">
        <v>3700</v>
      </c>
      <c r="J113" s="1018">
        <f t="shared" si="16"/>
        <v>0.33189189189189189</v>
      </c>
      <c r="L113" s="754"/>
    </row>
    <row r="114" spans="1:12" s="745" customFormat="1" ht="16.5" thickTop="1" thickBot="1" x14ac:dyDescent="0.3">
      <c r="A114" s="760" t="s">
        <v>454</v>
      </c>
      <c r="B114" s="758" t="s">
        <v>357</v>
      </c>
      <c r="C114" s="1133">
        <f t="shared" si="9"/>
        <v>269813</v>
      </c>
      <c r="D114" s="762">
        <f t="shared" si="10"/>
        <v>260941</v>
      </c>
      <c r="E114" s="749">
        <v>260941</v>
      </c>
      <c r="F114" s="1015">
        <v>256322.649840795</v>
      </c>
      <c r="G114" s="1016">
        <f t="shared" si="14"/>
        <v>0.98230117091907754</v>
      </c>
      <c r="H114" s="1017">
        <f t="shared" si="15"/>
        <v>287035.10000000003</v>
      </c>
      <c r="I114" s="750">
        <v>298200</v>
      </c>
      <c r="J114" s="1018">
        <f t="shared" si="16"/>
        <v>0.87505365526492285</v>
      </c>
      <c r="L114" s="754"/>
    </row>
    <row r="115" spans="1:12" s="745" customFormat="1" ht="16.5" thickTop="1" thickBot="1" x14ac:dyDescent="0.3">
      <c r="A115" s="760" t="s">
        <v>455</v>
      </c>
      <c r="B115" s="758" t="s">
        <v>357</v>
      </c>
      <c r="C115" s="1133">
        <f t="shared" si="9"/>
        <v>274422</v>
      </c>
      <c r="D115" s="762">
        <f t="shared" si="10"/>
        <v>265398</v>
      </c>
      <c r="E115" s="749">
        <v>265398</v>
      </c>
      <c r="F115" s="1015">
        <v>260699.84840554502</v>
      </c>
      <c r="G115" s="1016">
        <f t="shared" si="14"/>
        <v>0.98229771288986734</v>
      </c>
      <c r="H115" s="1017">
        <f t="shared" si="15"/>
        <v>291937.80000000005</v>
      </c>
      <c r="I115" s="750">
        <v>298200</v>
      </c>
      <c r="J115" s="1018">
        <f t="shared" si="16"/>
        <v>0.89</v>
      </c>
      <c r="L115" s="754"/>
    </row>
    <row r="116" spans="1:12" s="745" customFormat="1" ht="16.5" thickTop="1" thickBot="1" x14ac:dyDescent="0.3">
      <c r="A116" s="760" t="s">
        <v>456</v>
      </c>
      <c r="B116" s="758" t="s">
        <v>357</v>
      </c>
      <c r="C116" s="1133">
        <f t="shared" si="9"/>
        <v>284084</v>
      </c>
      <c r="D116" s="762">
        <f t="shared" si="10"/>
        <v>274742</v>
      </c>
      <c r="E116" s="749">
        <v>274742</v>
      </c>
      <c r="F116" s="1015">
        <v>269878.74423865956</v>
      </c>
      <c r="G116" s="1016">
        <f t="shared" si="14"/>
        <v>0.98229882667615276</v>
      </c>
      <c r="H116" s="1017">
        <f t="shared" si="15"/>
        <v>302216.2</v>
      </c>
      <c r="I116" s="750">
        <v>298200</v>
      </c>
      <c r="J116" s="1018">
        <f t="shared" si="16"/>
        <v>0.92133467471495645</v>
      </c>
      <c r="L116" s="754"/>
    </row>
    <row r="117" spans="1:12" s="745" customFormat="1" ht="16.5" thickTop="1" thickBot="1" x14ac:dyDescent="0.3">
      <c r="A117" s="760" t="s">
        <v>457</v>
      </c>
      <c r="B117" s="758" t="s">
        <v>357</v>
      </c>
      <c r="C117" s="1133">
        <f t="shared" si="9"/>
        <v>265502</v>
      </c>
      <c r="D117" s="762">
        <f t="shared" si="10"/>
        <v>256771</v>
      </c>
      <c r="E117" s="749">
        <v>256771</v>
      </c>
      <c r="F117" s="1015">
        <v>252225.90007897184</v>
      </c>
      <c r="G117" s="1016">
        <f t="shared" si="14"/>
        <v>0.98229901382543916</v>
      </c>
      <c r="H117" s="1017">
        <f t="shared" si="15"/>
        <v>282448.10000000003</v>
      </c>
      <c r="I117" s="750">
        <v>330800</v>
      </c>
      <c r="J117" s="1018">
        <f t="shared" si="16"/>
        <v>0.77621221281741237</v>
      </c>
      <c r="L117" s="754"/>
    </row>
    <row r="118" spans="1:12" s="745" customFormat="1" ht="16.5" thickTop="1" thickBot="1" x14ac:dyDescent="0.3">
      <c r="A118" s="760" t="s">
        <v>458</v>
      </c>
      <c r="B118" s="758" t="s">
        <v>357</v>
      </c>
      <c r="C118" s="1133">
        <f t="shared" si="9"/>
        <v>382580</v>
      </c>
      <c r="D118" s="762">
        <f t="shared" si="10"/>
        <v>370000</v>
      </c>
      <c r="E118" s="749">
        <v>370000</v>
      </c>
      <c r="F118" s="1015">
        <v>370000</v>
      </c>
      <c r="G118" s="1016">
        <f t="shared" si="14"/>
        <v>1</v>
      </c>
      <c r="H118" s="1017">
        <f t="shared" si="15"/>
        <v>407000.00000000006</v>
      </c>
      <c r="I118" s="750">
        <v>330800</v>
      </c>
      <c r="J118" s="1018">
        <f t="shared" si="16"/>
        <v>1.1185006045949215</v>
      </c>
      <c r="L118" s="754"/>
    </row>
    <row r="119" spans="1:12" s="745" customFormat="1" ht="16.5" thickTop="1" thickBot="1" x14ac:dyDescent="0.3">
      <c r="A119" s="760" t="s">
        <v>459</v>
      </c>
      <c r="B119" s="758" t="s">
        <v>357</v>
      </c>
      <c r="C119" s="1133">
        <f t="shared" si="9"/>
        <v>361900</v>
      </c>
      <c r="D119" s="762">
        <f t="shared" si="10"/>
        <v>350000</v>
      </c>
      <c r="E119" s="749">
        <v>350000</v>
      </c>
      <c r="F119" s="1015">
        <v>350000</v>
      </c>
      <c r="G119" s="1016">
        <f t="shared" si="14"/>
        <v>1</v>
      </c>
      <c r="H119" s="1017">
        <f t="shared" si="15"/>
        <v>385000.00000000006</v>
      </c>
      <c r="I119" s="750">
        <v>330800</v>
      </c>
      <c r="J119" s="1018">
        <f t="shared" si="16"/>
        <v>1.0580411124546554</v>
      </c>
      <c r="L119" s="754"/>
    </row>
    <row r="120" spans="1:12" s="745" customFormat="1" ht="16.5" thickTop="1" thickBot="1" x14ac:dyDescent="0.3">
      <c r="A120" s="760" t="s">
        <v>460</v>
      </c>
      <c r="B120" s="758" t="s">
        <v>357</v>
      </c>
      <c r="C120" s="1133">
        <f t="shared" si="9"/>
        <v>351560</v>
      </c>
      <c r="D120" s="762">
        <f t="shared" si="10"/>
        <v>340000</v>
      </c>
      <c r="E120" s="749">
        <v>340000</v>
      </c>
      <c r="F120" s="1015">
        <v>333000</v>
      </c>
      <c r="G120" s="1016">
        <f t="shared" si="14"/>
        <v>0.97941176470588232</v>
      </c>
      <c r="H120" s="1017">
        <f t="shared" si="15"/>
        <v>374000.00000000006</v>
      </c>
      <c r="I120" s="750">
        <v>346500</v>
      </c>
      <c r="J120" s="1018">
        <f t="shared" si="16"/>
        <v>0.98124098124098125</v>
      </c>
      <c r="L120" s="754"/>
    </row>
    <row r="121" spans="1:12" s="745" customFormat="1" ht="16.5" thickTop="1" thickBot="1" x14ac:dyDescent="0.3">
      <c r="A121" s="760" t="s">
        <v>614</v>
      </c>
      <c r="B121" s="758" t="s">
        <v>357</v>
      </c>
      <c r="C121" s="1133">
        <f t="shared" si="9"/>
        <v>406421</v>
      </c>
      <c r="D121" s="762">
        <f t="shared" si="10"/>
        <v>393057</v>
      </c>
      <c r="E121" s="749">
        <v>393057</v>
      </c>
      <c r="F121" s="1015">
        <v>393057</v>
      </c>
      <c r="G121" s="1016">
        <f t="shared" si="14"/>
        <v>1</v>
      </c>
      <c r="H121" s="1017">
        <f t="shared" si="15"/>
        <v>432362.7</v>
      </c>
      <c r="I121" s="1020">
        <v>420358.6714285714</v>
      </c>
      <c r="J121" s="1018">
        <f t="shared" si="16"/>
        <v>0.93505148511439573</v>
      </c>
      <c r="L121" s="754"/>
    </row>
    <row r="122" spans="1:12" s="745" customFormat="1" ht="16.5" thickTop="1" thickBot="1" x14ac:dyDescent="0.3">
      <c r="A122" s="760" t="s">
        <v>461</v>
      </c>
      <c r="B122" s="758" t="s">
        <v>338</v>
      </c>
      <c r="C122" s="1133">
        <f t="shared" si="9"/>
        <v>2413</v>
      </c>
      <c r="D122" s="762">
        <f t="shared" si="10"/>
        <v>2333</v>
      </c>
      <c r="E122" s="749">
        <v>2333</v>
      </c>
      <c r="F122" s="1015">
        <v>2291.4766604911147</v>
      </c>
      <c r="G122" s="1016">
        <f t="shared" si="14"/>
        <v>0.98220174045911468</v>
      </c>
      <c r="H122" s="1017">
        <f t="shared" si="15"/>
        <v>2566.3000000000002</v>
      </c>
      <c r="I122" s="750">
        <v>1800</v>
      </c>
      <c r="J122" s="1018">
        <f t="shared" si="16"/>
        <v>1.2961111111111112</v>
      </c>
      <c r="L122" s="754"/>
    </row>
    <row r="123" spans="1:12" s="745" customFormat="1" ht="16.5" thickTop="1" thickBot="1" x14ac:dyDescent="0.3">
      <c r="A123" s="760" t="s">
        <v>462</v>
      </c>
      <c r="B123" s="758" t="s">
        <v>353</v>
      </c>
      <c r="C123" s="1133">
        <f t="shared" si="9"/>
        <v>35500</v>
      </c>
      <c r="D123" s="762">
        <f t="shared" si="10"/>
        <v>34332</v>
      </c>
      <c r="E123" s="749">
        <v>34332</v>
      </c>
      <c r="F123" s="1015">
        <v>33724.328292637205</v>
      </c>
      <c r="G123" s="1016">
        <f t="shared" si="14"/>
        <v>0.98230013668406169</v>
      </c>
      <c r="H123" s="1017">
        <f t="shared" si="15"/>
        <v>37765.200000000004</v>
      </c>
      <c r="I123" s="750">
        <v>23100</v>
      </c>
      <c r="J123" s="1018">
        <f t="shared" si="16"/>
        <v>1.4862337662337661</v>
      </c>
      <c r="L123" s="754"/>
    </row>
    <row r="124" spans="1:12" s="745" customFormat="1" ht="16.5" thickTop="1" thickBot="1" x14ac:dyDescent="0.3">
      <c r="A124" s="760" t="s">
        <v>463</v>
      </c>
      <c r="B124" s="765" t="s">
        <v>338</v>
      </c>
      <c r="C124" s="1133">
        <f t="shared" si="9"/>
        <v>10442</v>
      </c>
      <c r="D124" s="762">
        <f t="shared" si="10"/>
        <v>10098</v>
      </c>
      <c r="E124" s="749">
        <v>10098</v>
      </c>
      <c r="F124" s="1015">
        <v>9919.1577534195912</v>
      </c>
      <c r="G124" s="1016">
        <f t="shared" si="14"/>
        <v>0.98228933981180344</v>
      </c>
      <c r="H124" s="1017">
        <f t="shared" si="15"/>
        <v>11107.800000000001</v>
      </c>
      <c r="I124" s="750">
        <v>12600</v>
      </c>
      <c r="J124" s="1018">
        <f t="shared" si="16"/>
        <v>0.80142857142857138</v>
      </c>
      <c r="L124" s="754"/>
    </row>
    <row r="125" spans="1:12" s="745" customFormat="1" ht="16.5" thickTop="1" thickBot="1" x14ac:dyDescent="0.3">
      <c r="A125" s="760" t="s">
        <v>464</v>
      </c>
      <c r="B125" s="758" t="s">
        <v>15</v>
      </c>
      <c r="C125" s="1133">
        <f t="shared" si="9"/>
        <v>4922</v>
      </c>
      <c r="D125" s="762">
        <f t="shared" si="10"/>
        <v>4760</v>
      </c>
      <c r="E125" s="749">
        <v>4760</v>
      </c>
      <c r="F125" s="1015">
        <v>4760</v>
      </c>
      <c r="G125" s="1016">
        <f t="shared" si="14"/>
        <v>1</v>
      </c>
      <c r="H125" s="1017">
        <f t="shared" si="15"/>
        <v>5236</v>
      </c>
      <c r="I125" s="750">
        <v>3800</v>
      </c>
      <c r="J125" s="1018">
        <f t="shared" si="16"/>
        <v>1.2526315789473683</v>
      </c>
      <c r="L125" s="754"/>
    </row>
    <row r="126" spans="1:12" s="745" customFormat="1" ht="16.5" thickTop="1" thickBot="1" x14ac:dyDescent="0.3">
      <c r="A126" s="760" t="s">
        <v>465</v>
      </c>
      <c r="B126" s="758" t="s">
        <v>59</v>
      </c>
      <c r="C126" s="1133">
        <f t="shared" si="9"/>
        <v>30455</v>
      </c>
      <c r="D126" s="762">
        <f t="shared" si="10"/>
        <v>29453</v>
      </c>
      <c r="E126" s="749">
        <v>29453</v>
      </c>
      <c r="F126" s="1015">
        <v>29453</v>
      </c>
      <c r="G126" s="1016">
        <f t="shared" si="14"/>
        <v>1</v>
      </c>
      <c r="H126" s="1017">
        <f t="shared" si="15"/>
        <v>32398.300000000003</v>
      </c>
      <c r="I126" s="750">
        <v>105000</v>
      </c>
      <c r="J126" s="1018">
        <f t="shared" si="16"/>
        <v>0.28050476190476192</v>
      </c>
      <c r="L126" s="754"/>
    </row>
    <row r="127" spans="1:12" s="745" customFormat="1" ht="16.5" thickTop="1" thickBot="1" x14ac:dyDescent="0.3">
      <c r="A127" s="760" t="s">
        <v>466</v>
      </c>
      <c r="B127" s="758" t="s">
        <v>59</v>
      </c>
      <c r="C127" s="1133">
        <f t="shared" si="9"/>
        <v>27182</v>
      </c>
      <c r="D127" s="762">
        <f t="shared" si="10"/>
        <v>26288</v>
      </c>
      <c r="E127" s="749">
        <v>26288</v>
      </c>
      <c r="F127" s="1015">
        <v>25822.5</v>
      </c>
      <c r="G127" s="1016">
        <f t="shared" si="14"/>
        <v>0.98229230066950701</v>
      </c>
      <c r="H127" s="1017">
        <f t="shared" si="15"/>
        <v>28916.800000000003</v>
      </c>
      <c r="I127" s="750">
        <v>89300</v>
      </c>
      <c r="J127" s="1018">
        <f t="shared" si="16"/>
        <v>0.29437849944008959</v>
      </c>
      <c r="L127" s="754"/>
    </row>
    <row r="128" spans="1:12" s="745" customFormat="1" ht="16.5" thickTop="1" thickBot="1" x14ac:dyDescent="0.3">
      <c r="A128" s="760" t="s">
        <v>467</v>
      </c>
      <c r="B128" s="758" t="s">
        <v>59</v>
      </c>
      <c r="C128" s="1133">
        <f t="shared" si="9"/>
        <v>45642</v>
      </c>
      <c r="D128" s="762">
        <f t="shared" si="10"/>
        <v>44141</v>
      </c>
      <c r="E128" s="749">
        <v>44141</v>
      </c>
      <c r="F128" s="1015">
        <v>43359.787923797208</v>
      </c>
      <c r="G128" s="1016">
        <f t="shared" si="14"/>
        <v>0.98230189446993066</v>
      </c>
      <c r="H128" s="1017">
        <f t="shared" si="15"/>
        <v>48555.100000000006</v>
      </c>
      <c r="I128" s="750">
        <v>120800</v>
      </c>
      <c r="J128" s="1018">
        <f t="shared" si="16"/>
        <v>0.36540562913907287</v>
      </c>
      <c r="L128" s="754"/>
    </row>
    <row r="129" spans="1:12" s="745" customFormat="1" ht="16.5" thickTop="1" thickBot="1" x14ac:dyDescent="0.3">
      <c r="A129" s="760" t="s">
        <v>468</v>
      </c>
      <c r="B129" s="758" t="s">
        <v>338</v>
      </c>
      <c r="C129" s="1133">
        <f t="shared" si="9"/>
        <v>35671</v>
      </c>
      <c r="D129" s="762">
        <f t="shared" si="10"/>
        <v>34498</v>
      </c>
      <c r="E129" s="749">
        <v>34498</v>
      </c>
      <c r="F129" s="1015">
        <v>33887.291727631309</v>
      </c>
      <c r="G129" s="1016">
        <f t="shared" si="14"/>
        <v>0.98229728470146993</v>
      </c>
      <c r="H129" s="1017">
        <f t="shared" si="15"/>
        <v>37947.800000000003</v>
      </c>
      <c r="I129" s="750">
        <v>57800</v>
      </c>
      <c r="J129" s="1018">
        <f t="shared" si="16"/>
        <v>0.59685121107266437</v>
      </c>
      <c r="L129" s="754"/>
    </row>
    <row r="130" spans="1:12" s="745" customFormat="1" ht="16.5" thickTop="1" thickBot="1" x14ac:dyDescent="0.3">
      <c r="A130" s="760" t="s">
        <v>469</v>
      </c>
      <c r="B130" s="758" t="s">
        <v>357</v>
      </c>
      <c r="C130" s="1133">
        <f t="shared" si="9"/>
        <v>31020</v>
      </c>
      <c r="D130" s="762">
        <f t="shared" si="10"/>
        <v>30000</v>
      </c>
      <c r="E130" s="749">
        <v>30000</v>
      </c>
      <c r="F130" s="1015">
        <v>30000</v>
      </c>
      <c r="G130" s="1016">
        <f t="shared" si="14"/>
        <v>1</v>
      </c>
      <c r="H130" s="1017">
        <f t="shared" si="15"/>
        <v>33000</v>
      </c>
      <c r="I130" s="1020">
        <v>33390</v>
      </c>
      <c r="J130" s="1018">
        <f t="shared" si="16"/>
        <v>0.89847259658580414</v>
      </c>
      <c r="L130" s="754"/>
    </row>
    <row r="131" spans="1:12" s="745" customFormat="1" ht="16.5" thickTop="1" thickBot="1" x14ac:dyDescent="0.3">
      <c r="A131" s="760" t="s">
        <v>470</v>
      </c>
      <c r="B131" s="758" t="s">
        <v>357</v>
      </c>
      <c r="C131" s="1133">
        <f t="shared" si="9"/>
        <v>36190</v>
      </c>
      <c r="D131" s="762">
        <f t="shared" si="10"/>
        <v>35000</v>
      </c>
      <c r="E131" s="749">
        <v>35000</v>
      </c>
      <c r="F131" s="1015">
        <v>35000</v>
      </c>
      <c r="G131" s="1016">
        <f t="shared" si="14"/>
        <v>1</v>
      </c>
      <c r="H131" s="1017">
        <f t="shared" si="15"/>
        <v>38500</v>
      </c>
      <c r="I131" s="1020">
        <v>32600</v>
      </c>
      <c r="J131" s="1018">
        <f t="shared" si="16"/>
        <v>1.0736196319018405</v>
      </c>
      <c r="L131" s="754"/>
    </row>
    <row r="132" spans="1:12" s="745" customFormat="1" ht="16.5" thickTop="1" thickBot="1" x14ac:dyDescent="0.3">
      <c r="A132" s="760" t="s">
        <v>471</v>
      </c>
      <c r="B132" s="758" t="s">
        <v>407</v>
      </c>
      <c r="C132" s="1133">
        <f t="shared" si="9"/>
        <v>64625</v>
      </c>
      <c r="D132" s="762">
        <f t="shared" si="10"/>
        <v>62500</v>
      </c>
      <c r="E132" s="749">
        <v>62500</v>
      </c>
      <c r="F132" s="1015">
        <v>62500</v>
      </c>
      <c r="G132" s="1016">
        <f t="shared" si="14"/>
        <v>1</v>
      </c>
      <c r="H132" s="1017">
        <f t="shared" si="15"/>
        <v>68750</v>
      </c>
      <c r="I132" s="1020">
        <v>81620</v>
      </c>
      <c r="J132" s="1018">
        <f t="shared" si="16"/>
        <v>0.76574369027199218</v>
      </c>
      <c r="L132" s="754"/>
    </row>
    <row r="133" spans="1:12" s="745" customFormat="1" ht="16.5" thickTop="1" thickBot="1" x14ac:dyDescent="0.3">
      <c r="A133" s="760" t="s">
        <v>472</v>
      </c>
      <c r="B133" s="758" t="s">
        <v>407</v>
      </c>
      <c r="C133" s="1133">
        <f t="shared" si="9"/>
        <v>36087</v>
      </c>
      <c r="D133" s="762">
        <f t="shared" si="10"/>
        <v>34900</v>
      </c>
      <c r="E133" s="749">
        <v>34900</v>
      </c>
      <c r="F133" s="1015">
        <v>34900</v>
      </c>
      <c r="G133" s="1016">
        <f t="shared" si="14"/>
        <v>1</v>
      </c>
      <c r="H133" s="1017">
        <f t="shared" si="15"/>
        <v>38390</v>
      </c>
      <c r="I133" s="750">
        <v>60900</v>
      </c>
      <c r="J133" s="1018">
        <f t="shared" si="16"/>
        <v>0.57307060755336614</v>
      </c>
      <c r="L133" s="754"/>
    </row>
    <row r="134" spans="1:12" s="745" customFormat="1" ht="16.5" thickTop="1" thickBot="1" x14ac:dyDescent="0.3">
      <c r="A134" s="760" t="s">
        <v>473</v>
      </c>
      <c r="B134" s="758" t="s">
        <v>407</v>
      </c>
      <c r="C134" s="1133">
        <f t="shared" si="9"/>
        <v>64625</v>
      </c>
      <c r="D134" s="762">
        <f t="shared" si="10"/>
        <v>62500</v>
      </c>
      <c r="E134" s="749">
        <v>62500</v>
      </c>
      <c r="F134" s="1015">
        <v>62500</v>
      </c>
      <c r="G134" s="1016">
        <f t="shared" si="14"/>
        <v>1</v>
      </c>
      <c r="H134" s="1017">
        <f t="shared" si="15"/>
        <v>68750</v>
      </c>
      <c r="I134" s="750">
        <v>60900</v>
      </c>
      <c r="J134" s="1018">
        <f t="shared" si="16"/>
        <v>1.0262725779967159</v>
      </c>
      <c r="L134" s="754"/>
    </row>
    <row r="135" spans="1:12" s="745" customFormat="1" ht="16.5" thickTop="1" thickBot="1" x14ac:dyDescent="0.3">
      <c r="A135" s="760" t="s">
        <v>474</v>
      </c>
      <c r="B135" s="758" t="s">
        <v>407</v>
      </c>
      <c r="C135" s="1133">
        <f t="shared" si="9"/>
        <v>87890</v>
      </c>
      <c r="D135" s="762">
        <f t="shared" si="10"/>
        <v>85000</v>
      </c>
      <c r="E135" s="749">
        <v>85000</v>
      </c>
      <c r="F135" s="1015">
        <v>85000</v>
      </c>
      <c r="G135" s="1016">
        <f t="shared" si="14"/>
        <v>1</v>
      </c>
      <c r="H135" s="1017">
        <f t="shared" si="15"/>
        <v>93500.000000000015</v>
      </c>
      <c r="I135" s="750">
        <v>60900</v>
      </c>
      <c r="J135" s="1018">
        <f t="shared" si="16"/>
        <v>1.3957307060755337</v>
      </c>
      <c r="L135" s="754"/>
    </row>
    <row r="136" spans="1:12" s="745" customFormat="1" ht="13.5" thickTop="1" x14ac:dyDescent="0.2">
      <c r="A136" s="760" t="s">
        <v>800</v>
      </c>
      <c r="B136" s="758" t="s">
        <v>59</v>
      </c>
      <c r="C136" s="1133">
        <f t="shared" si="9"/>
        <v>179508</v>
      </c>
      <c r="D136" s="762">
        <v>173605</v>
      </c>
      <c r="L136" s="754"/>
    </row>
    <row r="137" spans="1:12" s="745" customFormat="1" ht="15.75" thickBot="1" x14ac:dyDescent="0.3">
      <c r="A137" s="760" t="s">
        <v>615</v>
      </c>
      <c r="B137" s="758" t="s">
        <v>15</v>
      </c>
      <c r="C137" s="1133">
        <f t="shared" ref="C137:C186" si="17">+ROUNDUP((D137*0.034)+D137,0)</f>
        <v>2275</v>
      </c>
      <c r="D137" s="762">
        <f t="shared" si="10"/>
        <v>2200</v>
      </c>
      <c r="E137" s="749">
        <v>2200</v>
      </c>
      <c r="F137" s="747"/>
      <c r="G137" s="1016">
        <f>+F137/E137</f>
        <v>0</v>
      </c>
      <c r="H137" s="1017">
        <f>MAX(E137:F137)*$H$7</f>
        <v>2420</v>
      </c>
      <c r="I137" s="1020">
        <v>3175</v>
      </c>
      <c r="J137" s="1018">
        <f>+E137/I137</f>
        <v>0.69291338582677164</v>
      </c>
      <c r="L137" s="754"/>
    </row>
    <row r="138" spans="1:12" s="745" customFormat="1" ht="16.5" thickTop="1" thickBot="1" x14ac:dyDescent="0.3">
      <c r="A138" s="760" t="s">
        <v>616</v>
      </c>
      <c r="B138" s="758" t="s">
        <v>59</v>
      </c>
      <c r="C138" s="1133">
        <f t="shared" si="17"/>
        <v>10873</v>
      </c>
      <c r="D138" s="762">
        <f t="shared" si="10"/>
        <v>10515</v>
      </c>
      <c r="E138" s="749">
        <v>10515</v>
      </c>
      <c r="F138" s="1015">
        <v>10329</v>
      </c>
      <c r="G138" s="1016">
        <f>+F138/E138</f>
        <v>0.98231098430813124</v>
      </c>
      <c r="H138" s="1017">
        <f>MAX(E138:F138)*$H$7</f>
        <v>11566.500000000002</v>
      </c>
      <c r="I138" s="1020">
        <v>10600</v>
      </c>
      <c r="J138" s="1018">
        <f>+E138/I138</f>
        <v>0.99198113207547167</v>
      </c>
      <c r="L138" s="754"/>
    </row>
    <row r="139" spans="1:12" s="745" customFormat="1" ht="16.5" thickTop="1" thickBot="1" x14ac:dyDescent="0.3">
      <c r="A139" s="760" t="s">
        <v>475</v>
      </c>
      <c r="B139" s="758" t="s">
        <v>59</v>
      </c>
      <c r="C139" s="1133">
        <f t="shared" si="17"/>
        <v>79776</v>
      </c>
      <c r="D139" s="762">
        <f t="shared" ref="D139:D187" si="18">+ROUND(E139,0)</f>
        <v>77152</v>
      </c>
      <c r="E139" s="749">
        <v>77152</v>
      </c>
      <c r="F139" s="747"/>
      <c r="G139" s="1016">
        <f>+F139/E139</f>
        <v>0</v>
      </c>
      <c r="H139" s="1017">
        <f>MAX(E139:F139)*$H$7</f>
        <v>84867.200000000012</v>
      </c>
      <c r="I139" s="750">
        <v>86100</v>
      </c>
      <c r="J139" s="1018">
        <f>+E139/I139</f>
        <v>0.89607433217189314</v>
      </c>
      <c r="L139" s="754"/>
    </row>
    <row r="140" spans="1:12" s="745" customFormat="1" ht="16.5" thickTop="1" thickBot="1" x14ac:dyDescent="0.3">
      <c r="A140" s="760" t="s">
        <v>476</v>
      </c>
      <c r="B140" s="758" t="s">
        <v>59</v>
      </c>
      <c r="C140" s="1133">
        <f t="shared" si="17"/>
        <v>191290</v>
      </c>
      <c r="D140" s="762">
        <f t="shared" si="18"/>
        <v>185000</v>
      </c>
      <c r="E140" s="749">
        <v>185000</v>
      </c>
      <c r="F140" s="1015">
        <v>185000</v>
      </c>
      <c r="G140" s="1016">
        <f t="shared" ref="G140:G143" si="19">+F140/E140</f>
        <v>1</v>
      </c>
      <c r="H140" s="1017">
        <f t="shared" ref="H140:H143" si="20">MAX(E140:F140)*$H$7</f>
        <v>203500.00000000003</v>
      </c>
      <c r="I140" s="1020">
        <v>113102</v>
      </c>
      <c r="J140" s="1018">
        <f t="shared" ref="J140:J143" si="21">+E140/I140</f>
        <v>1.6356916765397607</v>
      </c>
      <c r="L140" s="754"/>
    </row>
    <row r="141" spans="1:12" s="745" customFormat="1" ht="16.5" thickTop="1" thickBot="1" x14ac:dyDescent="0.3">
      <c r="A141" s="760" t="s">
        <v>477</v>
      </c>
      <c r="B141" s="758" t="s">
        <v>59</v>
      </c>
      <c r="C141" s="1133">
        <f t="shared" si="17"/>
        <v>28952</v>
      </c>
      <c r="D141" s="762">
        <f t="shared" si="18"/>
        <v>28000</v>
      </c>
      <c r="E141" s="749">
        <v>28000</v>
      </c>
      <c r="F141" s="1015">
        <v>28000</v>
      </c>
      <c r="G141" s="1016">
        <f t="shared" si="19"/>
        <v>1</v>
      </c>
      <c r="H141" s="1017">
        <f t="shared" si="20"/>
        <v>30800.000000000004</v>
      </c>
      <c r="I141" s="750">
        <v>27300</v>
      </c>
      <c r="J141" s="1018">
        <f t="shared" si="21"/>
        <v>1.0256410256410255</v>
      </c>
      <c r="L141" s="754"/>
    </row>
    <row r="142" spans="1:12" s="745" customFormat="1" ht="16.5" thickTop="1" thickBot="1" x14ac:dyDescent="0.3">
      <c r="A142" s="760" t="s">
        <v>478</v>
      </c>
      <c r="B142" s="758" t="s">
        <v>59</v>
      </c>
      <c r="C142" s="1133">
        <f t="shared" si="17"/>
        <v>133298</v>
      </c>
      <c r="D142" s="762">
        <f t="shared" si="18"/>
        <v>128914</v>
      </c>
      <c r="E142" s="749">
        <v>128914</v>
      </c>
      <c r="F142" s="1015">
        <v>128912.7</v>
      </c>
      <c r="G142" s="1016">
        <f t="shared" si="19"/>
        <v>0.99998991575779195</v>
      </c>
      <c r="H142" s="1017">
        <f t="shared" si="20"/>
        <v>141805.40000000002</v>
      </c>
      <c r="I142" s="1020">
        <v>120800</v>
      </c>
      <c r="J142" s="1018">
        <f t="shared" si="21"/>
        <v>1.0671688741721854</v>
      </c>
      <c r="L142" s="754"/>
    </row>
    <row r="143" spans="1:12" s="745" customFormat="1" ht="16.5" thickTop="1" thickBot="1" x14ac:dyDescent="0.3">
      <c r="A143" s="760" t="s">
        <v>479</v>
      </c>
      <c r="B143" s="758" t="s">
        <v>338</v>
      </c>
      <c r="C143" s="1133">
        <f t="shared" si="17"/>
        <v>20680</v>
      </c>
      <c r="D143" s="762">
        <f t="shared" si="18"/>
        <v>20000</v>
      </c>
      <c r="E143" s="749">
        <v>20000</v>
      </c>
      <c r="F143" s="1015">
        <v>20000</v>
      </c>
      <c r="G143" s="1016">
        <f t="shared" si="19"/>
        <v>1</v>
      </c>
      <c r="H143" s="1017">
        <f t="shared" si="20"/>
        <v>22000</v>
      </c>
      <c r="I143" s="1020">
        <v>10000</v>
      </c>
      <c r="J143" s="1018">
        <f t="shared" si="21"/>
        <v>2</v>
      </c>
      <c r="L143" s="754"/>
    </row>
    <row r="144" spans="1:12" s="745" customFormat="1" ht="14.25" thickTop="1" thickBot="1" x14ac:dyDescent="0.25">
      <c r="A144" s="760" t="s">
        <v>801</v>
      </c>
      <c r="B144" s="758" t="s">
        <v>59</v>
      </c>
      <c r="C144" s="1133">
        <f t="shared" si="17"/>
        <v>9886</v>
      </c>
      <c r="D144" s="762">
        <v>9560</v>
      </c>
      <c r="L144" s="754"/>
    </row>
    <row r="145" spans="1:12" s="745" customFormat="1" ht="16.5" thickTop="1" thickBot="1" x14ac:dyDescent="0.3">
      <c r="A145" s="760" t="s">
        <v>480</v>
      </c>
      <c r="B145" s="758" t="s">
        <v>59</v>
      </c>
      <c r="C145" s="1133">
        <f t="shared" si="17"/>
        <v>1958</v>
      </c>
      <c r="D145" s="762">
        <f t="shared" si="18"/>
        <v>1893</v>
      </c>
      <c r="E145" s="749">
        <v>1893</v>
      </c>
      <c r="F145" s="1015">
        <v>1859.22</v>
      </c>
      <c r="G145" s="1016">
        <f t="shared" ref="G145:G150" si="22">+F145/E145</f>
        <v>0.98215530903328052</v>
      </c>
      <c r="H145" s="1017">
        <f t="shared" ref="H145:H150" si="23">MAX(E145:F145)*$H$7</f>
        <v>2082.3000000000002</v>
      </c>
      <c r="I145" s="1020">
        <v>1400</v>
      </c>
      <c r="J145" s="1018">
        <f t="shared" ref="J145:J150" si="24">+E145/I145</f>
        <v>1.3521428571428571</v>
      </c>
      <c r="L145" s="754"/>
    </row>
    <row r="146" spans="1:12" s="745" customFormat="1" ht="16.5" thickTop="1" thickBot="1" x14ac:dyDescent="0.3">
      <c r="A146" s="760" t="s">
        <v>481</v>
      </c>
      <c r="B146" s="758" t="s">
        <v>59</v>
      </c>
      <c r="C146" s="1133">
        <f t="shared" si="17"/>
        <v>56870</v>
      </c>
      <c r="D146" s="762">
        <f t="shared" si="18"/>
        <v>55000</v>
      </c>
      <c r="E146" s="749">
        <v>55000</v>
      </c>
      <c r="F146" s="1015">
        <v>65450</v>
      </c>
      <c r="G146" s="1016">
        <f t="shared" si="22"/>
        <v>1.19</v>
      </c>
      <c r="H146" s="1017">
        <f t="shared" si="23"/>
        <v>71995</v>
      </c>
      <c r="I146" s="1020">
        <v>55000</v>
      </c>
      <c r="J146" s="1018">
        <f t="shared" si="24"/>
        <v>1</v>
      </c>
      <c r="L146" s="754"/>
    </row>
    <row r="147" spans="1:12" s="745" customFormat="1" ht="16.5" thickTop="1" thickBot="1" x14ac:dyDescent="0.3">
      <c r="A147" s="760" t="s">
        <v>482</v>
      </c>
      <c r="B147" s="758" t="s">
        <v>338</v>
      </c>
      <c r="C147" s="1133">
        <f t="shared" si="17"/>
        <v>3206</v>
      </c>
      <c r="D147" s="762">
        <f t="shared" si="18"/>
        <v>3100</v>
      </c>
      <c r="E147" s="749">
        <v>3100</v>
      </c>
      <c r="F147" s="747"/>
      <c r="G147" s="1016">
        <f t="shared" si="22"/>
        <v>0</v>
      </c>
      <c r="H147" s="1017">
        <f t="shared" si="23"/>
        <v>3410.0000000000005</v>
      </c>
      <c r="I147" s="1020">
        <v>2500</v>
      </c>
      <c r="J147" s="1018">
        <f t="shared" si="24"/>
        <v>1.24</v>
      </c>
      <c r="L147" s="754"/>
    </row>
    <row r="148" spans="1:12" s="745" customFormat="1" ht="16.5" thickTop="1" thickBot="1" x14ac:dyDescent="0.3">
      <c r="A148" s="760" t="s">
        <v>483</v>
      </c>
      <c r="B148" s="758" t="s">
        <v>15</v>
      </c>
      <c r="C148" s="1133">
        <f t="shared" si="17"/>
        <v>5609</v>
      </c>
      <c r="D148" s="762">
        <f t="shared" si="18"/>
        <v>5424</v>
      </c>
      <c r="E148" s="749">
        <v>5424</v>
      </c>
      <c r="F148" s="1015">
        <v>5327.8339411365832</v>
      </c>
      <c r="G148" s="1016">
        <f t="shared" si="22"/>
        <v>0.9822702693835883</v>
      </c>
      <c r="H148" s="1017">
        <f t="shared" si="23"/>
        <v>5966.4000000000005</v>
      </c>
      <c r="I148" s="1020">
        <v>13100</v>
      </c>
      <c r="J148" s="1018">
        <f t="shared" si="24"/>
        <v>0.41404580152671755</v>
      </c>
      <c r="L148" s="754"/>
    </row>
    <row r="149" spans="1:12" s="745" customFormat="1" ht="16.5" thickTop="1" thickBot="1" x14ac:dyDescent="0.3">
      <c r="A149" s="760" t="s">
        <v>484</v>
      </c>
      <c r="B149" s="758" t="s">
        <v>338</v>
      </c>
      <c r="C149" s="1133">
        <f t="shared" si="17"/>
        <v>31020</v>
      </c>
      <c r="D149" s="762">
        <f t="shared" si="18"/>
        <v>30000</v>
      </c>
      <c r="E149" s="749">
        <v>30000</v>
      </c>
      <c r="F149" s="1015">
        <v>30000</v>
      </c>
      <c r="G149" s="1016">
        <f t="shared" si="22"/>
        <v>1</v>
      </c>
      <c r="H149" s="1017">
        <f t="shared" si="23"/>
        <v>33000</v>
      </c>
      <c r="I149" s="750">
        <v>50000</v>
      </c>
      <c r="J149" s="1018">
        <f t="shared" si="24"/>
        <v>0.6</v>
      </c>
      <c r="L149" s="754"/>
    </row>
    <row r="150" spans="1:12" s="745" customFormat="1" ht="16.5" thickTop="1" thickBot="1" x14ac:dyDescent="0.3">
      <c r="A150" s="760" t="s">
        <v>485</v>
      </c>
      <c r="B150" s="758" t="s">
        <v>59</v>
      </c>
      <c r="C150" s="1133">
        <f t="shared" si="17"/>
        <v>307123</v>
      </c>
      <c r="D150" s="762">
        <f t="shared" si="18"/>
        <v>297024</v>
      </c>
      <c r="E150" s="749">
        <v>297024</v>
      </c>
      <c r="F150" s="1015"/>
      <c r="G150" s="1016">
        <f t="shared" si="22"/>
        <v>0</v>
      </c>
      <c r="H150" s="1017">
        <f t="shared" si="23"/>
        <v>326726.40000000002</v>
      </c>
      <c r="I150" s="750">
        <v>240000</v>
      </c>
      <c r="J150" s="1018">
        <f t="shared" si="24"/>
        <v>1.2376</v>
      </c>
      <c r="L150" s="754"/>
    </row>
    <row r="151" spans="1:12" s="745" customFormat="1" ht="14.25" thickTop="1" thickBot="1" x14ac:dyDescent="0.25">
      <c r="A151" s="760" t="s">
        <v>802</v>
      </c>
      <c r="B151" s="758" t="s">
        <v>59</v>
      </c>
      <c r="C151" s="1133">
        <f t="shared" si="17"/>
        <v>10140</v>
      </c>
      <c r="D151" s="762">
        <v>9806</v>
      </c>
      <c r="L151" s="754"/>
    </row>
    <row r="152" spans="1:12" s="745" customFormat="1" ht="16.5" thickTop="1" thickBot="1" x14ac:dyDescent="0.3">
      <c r="A152" s="760" t="s">
        <v>486</v>
      </c>
      <c r="B152" s="758" t="s">
        <v>59</v>
      </c>
      <c r="C152" s="1133">
        <f t="shared" si="17"/>
        <v>188499</v>
      </c>
      <c r="D152" s="762">
        <f t="shared" si="18"/>
        <v>182300</v>
      </c>
      <c r="E152" s="749">
        <f>367300-185000</f>
        <v>182300</v>
      </c>
      <c r="F152" s="1015"/>
      <c r="G152" s="1016">
        <f t="shared" ref="G152:G180" si="25">+F152/E152</f>
        <v>0</v>
      </c>
      <c r="H152" s="1017">
        <f t="shared" ref="H152:H180" si="26">MAX(E152:F152)*$H$7</f>
        <v>200530.00000000003</v>
      </c>
      <c r="I152" s="750">
        <v>185000</v>
      </c>
      <c r="J152" s="1018">
        <f t="shared" ref="J152:J180" si="27">+E152/I152</f>
        <v>0.98540540540540544</v>
      </c>
      <c r="L152" s="754"/>
    </row>
    <row r="153" spans="1:12" s="745" customFormat="1" ht="16.5" thickTop="1" thickBot="1" x14ac:dyDescent="0.3">
      <c r="A153" s="760" t="s">
        <v>617</v>
      </c>
      <c r="B153" s="758" t="s">
        <v>59</v>
      </c>
      <c r="C153" s="1133">
        <f t="shared" si="17"/>
        <v>167508</v>
      </c>
      <c r="D153" s="762">
        <f t="shared" si="18"/>
        <v>162000</v>
      </c>
      <c r="E153" s="749">
        <v>162000</v>
      </c>
      <c r="F153" s="747"/>
      <c r="G153" s="1016">
        <f t="shared" si="25"/>
        <v>0</v>
      </c>
      <c r="H153" s="1017">
        <f t="shared" si="26"/>
        <v>178200</v>
      </c>
      <c r="I153" s="1020">
        <v>195000</v>
      </c>
      <c r="J153" s="1018">
        <f t="shared" si="27"/>
        <v>0.83076923076923082</v>
      </c>
      <c r="L153" s="754"/>
    </row>
    <row r="154" spans="1:12" s="745" customFormat="1" ht="16.5" thickTop="1" thickBot="1" x14ac:dyDescent="0.3">
      <c r="A154" s="760" t="s">
        <v>487</v>
      </c>
      <c r="B154" s="758" t="s">
        <v>353</v>
      </c>
      <c r="C154" s="1133">
        <f t="shared" si="17"/>
        <v>650717</v>
      </c>
      <c r="D154" s="762">
        <f t="shared" si="18"/>
        <v>629320</v>
      </c>
      <c r="E154" s="749">
        <v>629320</v>
      </c>
      <c r="F154" s="1015"/>
      <c r="G154" s="1016">
        <f t="shared" si="25"/>
        <v>0</v>
      </c>
      <c r="H154" s="1017">
        <f t="shared" si="26"/>
        <v>692252</v>
      </c>
      <c r="I154" s="750">
        <v>304500</v>
      </c>
      <c r="J154" s="1018">
        <f t="shared" si="27"/>
        <v>2.0667323481116586</v>
      </c>
      <c r="L154" s="754"/>
    </row>
    <row r="155" spans="1:12" s="745" customFormat="1" ht="16.5" thickTop="1" thickBot="1" x14ac:dyDescent="0.3">
      <c r="A155" s="760" t="s">
        <v>488</v>
      </c>
      <c r="B155" s="758" t="s">
        <v>59</v>
      </c>
      <c r="C155" s="1133">
        <f t="shared" si="17"/>
        <v>177848</v>
      </c>
      <c r="D155" s="762">
        <f t="shared" si="18"/>
        <v>172000</v>
      </c>
      <c r="E155" s="749">
        <v>172000</v>
      </c>
      <c r="F155" s="1015"/>
      <c r="G155" s="1016">
        <f t="shared" si="25"/>
        <v>0</v>
      </c>
      <c r="H155" s="1017">
        <f t="shared" si="26"/>
        <v>189200.00000000003</v>
      </c>
      <c r="I155" s="1020">
        <v>185000</v>
      </c>
      <c r="J155" s="1018">
        <f t="shared" si="27"/>
        <v>0.92972972972972978</v>
      </c>
      <c r="L155" s="754"/>
    </row>
    <row r="156" spans="1:12" s="745" customFormat="1" ht="16.5" thickTop="1" thickBot="1" x14ac:dyDescent="0.3">
      <c r="A156" s="760" t="s">
        <v>489</v>
      </c>
      <c r="B156" s="758" t="s">
        <v>59</v>
      </c>
      <c r="C156" s="1133">
        <f t="shared" si="17"/>
        <v>460685</v>
      </c>
      <c r="D156" s="762">
        <f t="shared" si="18"/>
        <v>445536</v>
      </c>
      <c r="E156" s="749">
        <v>445536</v>
      </c>
      <c r="F156" s="1015"/>
      <c r="G156" s="1016">
        <f t="shared" si="25"/>
        <v>0</v>
      </c>
      <c r="H156" s="1017">
        <f t="shared" si="26"/>
        <v>490089.60000000003</v>
      </c>
      <c r="I156" s="750">
        <v>228900</v>
      </c>
      <c r="J156" s="1018">
        <f t="shared" si="27"/>
        <v>1.9464220183486238</v>
      </c>
      <c r="L156" s="754"/>
    </row>
    <row r="157" spans="1:12" s="745" customFormat="1" ht="16.5" thickTop="1" thickBot="1" x14ac:dyDescent="0.3">
      <c r="A157" s="760" t="s">
        <v>490</v>
      </c>
      <c r="B157" s="758" t="s">
        <v>421</v>
      </c>
      <c r="C157" s="1133">
        <f t="shared" si="17"/>
        <v>294690</v>
      </c>
      <c r="D157" s="762">
        <f t="shared" si="18"/>
        <v>285000</v>
      </c>
      <c r="E157" s="749">
        <v>285000</v>
      </c>
      <c r="F157" s="1015"/>
      <c r="G157" s="1016">
        <f t="shared" si="25"/>
        <v>0</v>
      </c>
      <c r="H157" s="1017">
        <f t="shared" si="26"/>
        <v>313500</v>
      </c>
      <c r="I157" s="750">
        <v>210000</v>
      </c>
      <c r="J157" s="1018">
        <f t="shared" si="27"/>
        <v>1.3571428571428572</v>
      </c>
      <c r="L157" s="754"/>
    </row>
    <row r="158" spans="1:12" s="745" customFormat="1" ht="16.5" thickTop="1" thickBot="1" x14ac:dyDescent="0.3">
      <c r="A158" s="760" t="s">
        <v>491</v>
      </c>
      <c r="B158" s="758" t="s">
        <v>338</v>
      </c>
      <c r="C158" s="1133">
        <f t="shared" si="17"/>
        <v>7285</v>
      </c>
      <c r="D158" s="762">
        <f t="shared" si="18"/>
        <v>7045</v>
      </c>
      <c r="E158" s="749">
        <v>7045</v>
      </c>
      <c r="F158" s="1015">
        <v>6920.43</v>
      </c>
      <c r="G158" s="1016">
        <f t="shared" si="25"/>
        <v>0.9823179559971611</v>
      </c>
      <c r="H158" s="1017">
        <f t="shared" si="26"/>
        <v>7749.5000000000009</v>
      </c>
      <c r="I158" s="750">
        <v>8800</v>
      </c>
      <c r="J158" s="1018">
        <f t="shared" si="27"/>
        <v>0.80056818181818179</v>
      </c>
      <c r="L158" s="754"/>
    </row>
    <row r="159" spans="1:12" s="745" customFormat="1" ht="16.5" thickTop="1" thickBot="1" x14ac:dyDescent="0.3">
      <c r="A159" s="760" t="s">
        <v>492</v>
      </c>
      <c r="B159" s="765" t="s">
        <v>338</v>
      </c>
      <c r="C159" s="1133">
        <f t="shared" si="17"/>
        <v>8155</v>
      </c>
      <c r="D159" s="762">
        <f t="shared" si="18"/>
        <v>7886</v>
      </c>
      <c r="E159" s="749">
        <v>7886</v>
      </c>
      <c r="F159" s="1015">
        <v>7746.75</v>
      </c>
      <c r="G159" s="1016">
        <f t="shared" si="25"/>
        <v>0.98234212528531573</v>
      </c>
      <c r="H159" s="1017">
        <f t="shared" si="26"/>
        <v>8674.6</v>
      </c>
      <c r="I159" s="750">
        <v>9000</v>
      </c>
      <c r="J159" s="1018">
        <f t="shared" si="27"/>
        <v>0.87622222222222224</v>
      </c>
      <c r="L159" s="754"/>
    </row>
    <row r="160" spans="1:12" s="745" customFormat="1" ht="16.5" thickTop="1" thickBot="1" x14ac:dyDescent="0.3">
      <c r="A160" s="760" t="s">
        <v>493</v>
      </c>
      <c r="B160" s="765" t="s">
        <v>338</v>
      </c>
      <c r="C160" s="1133">
        <f t="shared" si="17"/>
        <v>15355</v>
      </c>
      <c r="D160" s="762">
        <f t="shared" si="18"/>
        <v>14850</v>
      </c>
      <c r="E160" s="749">
        <v>14850</v>
      </c>
      <c r="F160" s="747"/>
      <c r="G160" s="1016">
        <f t="shared" si="25"/>
        <v>0</v>
      </c>
      <c r="H160" s="1017">
        <f t="shared" si="26"/>
        <v>16335.000000000002</v>
      </c>
      <c r="I160" s="750">
        <v>16400</v>
      </c>
      <c r="J160" s="1018">
        <f t="shared" si="27"/>
        <v>0.90548780487804881</v>
      </c>
      <c r="L160" s="754"/>
    </row>
    <row r="161" spans="1:12" s="745" customFormat="1" ht="16.5" thickTop="1" thickBot="1" x14ac:dyDescent="0.3">
      <c r="A161" s="760" t="s">
        <v>494</v>
      </c>
      <c r="B161" s="758" t="s">
        <v>407</v>
      </c>
      <c r="C161" s="1133">
        <f t="shared" si="17"/>
        <v>12484</v>
      </c>
      <c r="D161" s="762">
        <f t="shared" si="18"/>
        <v>12073</v>
      </c>
      <c r="E161" s="749">
        <v>12073</v>
      </c>
      <c r="F161" s="1015">
        <v>5856</v>
      </c>
      <c r="G161" s="1016">
        <f t="shared" si="25"/>
        <v>0.48504928352522159</v>
      </c>
      <c r="H161" s="1017">
        <f t="shared" si="26"/>
        <v>13280.300000000001</v>
      </c>
      <c r="I161" s="750">
        <v>52500</v>
      </c>
      <c r="J161" s="1018">
        <f t="shared" si="27"/>
        <v>0.22996190476190476</v>
      </c>
      <c r="L161" s="754"/>
    </row>
    <row r="162" spans="1:12" s="745" customFormat="1" ht="16.5" thickTop="1" thickBot="1" x14ac:dyDescent="0.3">
      <c r="A162" s="760" t="s">
        <v>495</v>
      </c>
      <c r="B162" s="758" t="s">
        <v>59</v>
      </c>
      <c r="C162" s="1133">
        <f t="shared" si="17"/>
        <v>8789</v>
      </c>
      <c r="D162" s="762">
        <f t="shared" si="18"/>
        <v>8500</v>
      </c>
      <c r="E162" s="749">
        <v>8500</v>
      </c>
      <c r="F162" s="1015">
        <v>8263.2000000000007</v>
      </c>
      <c r="G162" s="1016">
        <f t="shared" si="25"/>
        <v>0.97214117647058829</v>
      </c>
      <c r="H162" s="1017">
        <f t="shared" si="26"/>
        <v>9350</v>
      </c>
      <c r="I162" s="750">
        <v>16400</v>
      </c>
      <c r="J162" s="1018">
        <f t="shared" si="27"/>
        <v>0.51829268292682928</v>
      </c>
      <c r="L162" s="754"/>
    </row>
    <row r="163" spans="1:12" s="745" customFormat="1" ht="16.5" thickTop="1" thickBot="1" x14ac:dyDescent="0.3">
      <c r="A163" s="760" t="s">
        <v>496</v>
      </c>
      <c r="B163" s="758" t="s">
        <v>59</v>
      </c>
      <c r="C163" s="1133">
        <f t="shared" si="17"/>
        <v>8789</v>
      </c>
      <c r="D163" s="762">
        <f t="shared" si="18"/>
        <v>8500</v>
      </c>
      <c r="E163" s="749">
        <v>8500</v>
      </c>
      <c r="F163" s="1015">
        <v>8263.2000000000007</v>
      </c>
      <c r="G163" s="1016">
        <f t="shared" si="25"/>
        <v>0.97214117647058829</v>
      </c>
      <c r="H163" s="1017">
        <f t="shared" si="26"/>
        <v>9350</v>
      </c>
      <c r="I163" s="750">
        <v>16400</v>
      </c>
      <c r="J163" s="1018">
        <f t="shared" si="27"/>
        <v>0.51829268292682928</v>
      </c>
      <c r="L163" s="754"/>
    </row>
    <row r="164" spans="1:12" s="745" customFormat="1" ht="16.5" thickTop="1" thickBot="1" x14ac:dyDescent="0.3">
      <c r="A164" s="760" t="s">
        <v>497</v>
      </c>
      <c r="B164" s="758" t="s">
        <v>59</v>
      </c>
      <c r="C164" s="1133">
        <f t="shared" si="17"/>
        <v>65220</v>
      </c>
      <c r="D164" s="762">
        <f t="shared" si="18"/>
        <v>63075</v>
      </c>
      <c r="E164" s="749">
        <v>63075</v>
      </c>
      <c r="F164" s="747"/>
      <c r="G164" s="1016">
        <f t="shared" si="25"/>
        <v>0</v>
      </c>
      <c r="H164" s="1017">
        <f t="shared" si="26"/>
        <v>69382.5</v>
      </c>
      <c r="I164" s="750">
        <v>0</v>
      </c>
      <c r="J164" s="1018" t="e">
        <f t="shared" si="27"/>
        <v>#DIV/0!</v>
      </c>
      <c r="L164" s="754"/>
    </row>
    <row r="165" spans="1:12" s="745" customFormat="1" ht="16.5" thickTop="1" thickBot="1" x14ac:dyDescent="0.3">
      <c r="A165" s="760" t="s">
        <v>151</v>
      </c>
      <c r="B165" s="758" t="s">
        <v>59</v>
      </c>
      <c r="C165" s="1133">
        <f t="shared" si="17"/>
        <v>4307</v>
      </c>
      <c r="D165" s="762">
        <f t="shared" si="18"/>
        <v>4165</v>
      </c>
      <c r="E165" s="749">
        <v>4165</v>
      </c>
      <c r="F165" s="1015">
        <v>8500</v>
      </c>
      <c r="G165" s="1016">
        <f t="shared" si="25"/>
        <v>2.0408163265306123</v>
      </c>
      <c r="H165" s="1017">
        <f t="shared" si="26"/>
        <v>9350</v>
      </c>
      <c r="I165" s="1020">
        <v>7700</v>
      </c>
      <c r="J165" s="1018">
        <f t="shared" si="27"/>
        <v>0.54090909090909089</v>
      </c>
      <c r="L165" s="754"/>
    </row>
    <row r="166" spans="1:12" s="745" customFormat="1" ht="16.5" thickTop="1" thickBot="1" x14ac:dyDescent="0.3">
      <c r="A166" s="760" t="s">
        <v>498</v>
      </c>
      <c r="B166" s="758" t="s">
        <v>357</v>
      </c>
      <c r="C166" s="1133">
        <f t="shared" si="17"/>
        <v>33088</v>
      </c>
      <c r="D166" s="762">
        <f t="shared" si="18"/>
        <v>32000</v>
      </c>
      <c r="E166" s="749">
        <v>32000</v>
      </c>
      <c r="F166" s="1015">
        <v>32000</v>
      </c>
      <c r="G166" s="1016">
        <f t="shared" si="25"/>
        <v>1</v>
      </c>
      <c r="H166" s="1017">
        <f t="shared" si="26"/>
        <v>35200</v>
      </c>
      <c r="I166" s="1020">
        <v>41712</v>
      </c>
      <c r="J166" s="1018">
        <f t="shared" si="27"/>
        <v>0.76716532412734939</v>
      </c>
      <c r="L166" s="754"/>
    </row>
    <row r="167" spans="1:12" s="745" customFormat="1" ht="16.5" thickTop="1" thickBot="1" x14ac:dyDescent="0.3">
      <c r="A167" s="760" t="s">
        <v>499</v>
      </c>
      <c r="B167" s="758" t="s">
        <v>59</v>
      </c>
      <c r="C167" s="1133">
        <f t="shared" si="17"/>
        <v>4161</v>
      </c>
      <c r="D167" s="762">
        <f t="shared" si="18"/>
        <v>4024</v>
      </c>
      <c r="E167" s="749">
        <v>4024</v>
      </c>
      <c r="F167" s="1015">
        <v>3952.9496159999999</v>
      </c>
      <c r="G167" s="1016">
        <f t="shared" si="25"/>
        <v>0.98234334393638167</v>
      </c>
      <c r="H167" s="1017">
        <f t="shared" si="26"/>
        <v>4426.4000000000005</v>
      </c>
      <c r="I167" s="750">
        <v>3400</v>
      </c>
      <c r="J167" s="1018">
        <f t="shared" si="27"/>
        <v>1.1835294117647059</v>
      </c>
      <c r="L167" s="754"/>
    </row>
    <row r="168" spans="1:12" s="745" customFormat="1" ht="16.5" thickTop="1" thickBot="1" x14ac:dyDescent="0.3">
      <c r="A168" s="760" t="s">
        <v>500</v>
      </c>
      <c r="B168" s="758" t="s">
        <v>338</v>
      </c>
      <c r="C168" s="1133">
        <f t="shared" si="17"/>
        <v>4368</v>
      </c>
      <c r="D168" s="762">
        <f t="shared" si="18"/>
        <v>4224</v>
      </c>
      <c r="E168" s="749">
        <v>4224</v>
      </c>
      <c r="F168" s="1015">
        <v>4148.9798206369014</v>
      </c>
      <c r="G168" s="1016">
        <f t="shared" si="25"/>
        <v>0.9822395408704786</v>
      </c>
      <c r="H168" s="1017">
        <f t="shared" si="26"/>
        <v>4646.4000000000005</v>
      </c>
      <c r="I168" s="750">
        <v>7700</v>
      </c>
      <c r="J168" s="1018">
        <f t="shared" si="27"/>
        <v>0.5485714285714286</v>
      </c>
      <c r="L168" s="754"/>
    </row>
    <row r="169" spans="1:12" s="745" customFormat="1" ht="16.5" thickTop="1" thickBot="1" x14ac:dyDescent="0.3">
      <c r="A169" s="760" t="s">
        <v>501</v>
      </c>
      <c r="B169" s="758" t="s">
        <v>15</v>
      </c>
      <c r="C169" s="1133">
        <f t="shared" si="17"/>
        <v>404088</v>
      </c>
      <c r="D169" s="762">
        <f t="shared" si="18"/>
        <v>390800</v>
      </c>
      <c r="E169" s="749">
        <v>390800</v>
      </c>
      <c r="F169" s="1015">
        <v>390800</v>
      </c>
      <c r="G169" s="1016">
        <f t="shared" si="25"/>
        <v>1</v>
      </c>
      <c r="H169" s="1017">
        <f t="shared" si="26"/>
        <v>429880.00000000006</v>
      </c>
      <c r="I169" s="1020">
        <v>73878.070400672048</v>
      </c>
      <c r="J169" s="1018">
        <f t="shared" si="27"/>
        <v>5.2897970653608866</v>
      </c>
      <c r="L169" s="754"/>
    </row>
    <row r="170" spans="1:12" s="745" customFormat="1" ht="16.5" thickTop="1" thickBot="1" x14ac:dyDescent="0.3">
      <c r="A170" s="760" t="s">
        <v>502</v>
      </c>
      <c r="B170" s="758" t="s">
        <v>338</v>
      </c>
      <c r="C170" s="1133">
        <f t="shared" si="17"/>
        <v>50083</v>
      </c>
      <c r="D170" s="762">
        <f t="shared" si="18"/>
        <v>48436</v>
      </c>
      <c r="E170" s="749">
        <v>48436</v>
      </c>
      <c r="F170" s="1015">
        <v>47578.176368393375</v>
      </c>
      <c r="G170" s="1016">
        <f t="shared" si="25"/>
        <v>0.98228954431400972</v>
      </c>
      <c r="H170" s="1017">
        <f t="shared" si="26"/>
        <v>53279.600000000006</v>
      </c>
      <c r="I170" s="750">
        <v>57800</v>
      </c>
      <c r="J170" s="1018">
        <f t="shared" si="27"/>
        <v>0.83799307958477509</v>
      </c>
      <c r="L170" s="754"/>
    </row>
    <row r="171" spans="1:12" s="745" customFormat="1" ht="16.5" thickTop="1" thickBot="1" x14ac:dyDescent="0.3">
      <c r="A171" s="760" t="s">
        <v>503</v>
      </c>
      <c r="B171" s="758" t="s">
        <v>15</v>
      </c>
      <c r="C171" s="1133">
        <f t="shared" si="17"/>
        <v>33814</v>
      </c>
      <c r="D171" s="762">
        <f t="shared" si="18"/>
        <v>32702</v>
      </c>
      <c r="E171" s="749">
        <v>32702</v>
      </c>
      <c r="F171" s="1015">
        <v>32123.556132227313</v>
      </c>
      <c r="G171" s="1016">
        <f t="shared" si="25"/>
        <v>0.98231166693863714</v>
      </c>
      <c r="H171" s="1017">
        <f t="shared" si="26"/>
        <v>35972.200000000004</v>
      </c>
      <c r="I171" s="750">
        <v>47300</v>
      </c>
      <c r="J171" s="1018">
        <f t="shared" si="27"/>
        <v>0.69137420718816067</v>
      </c>
      <c r="L171" s="754"/>
    </row>
    <row r="172" spans="1:12" s="745" customFormat="1" ht="16.5" thickTop="1" thickBot="1" x14ac:dyDescent="0.3">
      <c r="A172" s="760" t="s">
        <v>504</v>
      </c>
      <c r="B172" s="758" t="s">
        <v>15</v>
      </c>
      <c r="C172" s="1133">
        <f t="shared" si="17"/>
        <v>41095</v>
      </c>
      <c r="D172" s="762">
        <f t="shared" si="18"/>
        <v>39743</v>
      </c>
      <c r="E172" s="749">
        <v>39743</v>
      </c>
      <c r="F172" s="1015">
        <v>39039.312622423211</v>
      </c>
      <c r="G172" s="1016">
        <f t="shared" si="25"/>
        <v>0.98229405486307553</v>
      </c>
      <c r="H172" s="1017">
        <f t="shared" si="26"/>
        <v>43717.3</v>
      </c>
      <c r="I172" s="750">
        <v>60000</v>
      </c>
      <c r="J172" s="1018">
        <f t="shared" si="27"/>
        <v>0.66238333333333332</v>
      </c>
      <c r="L172" s="754"/>
    </row>
    <row r="173" spans="1:12" s="745" customFormat="1" ht="16.5" thickTop="1" thickBot="1" x14ac:dyDescent="0.3">
      <c r="A173" s="760" t="s">
        <v>505</v>
      </c>
      <c r="B173" s="758" t="s">
        <v>15</v>
      </c>
      <c r="C173" s="1133">
        <f t="shared" si="17"/>
        <v>8101</v>
      </c>
      <c r="D173" s="762">
        <f t="shared" si="18"/>
        <v>7834</v>
      </c>
      <c r="E173" s="749">
        <v>7834</v>
      </c>
      <c r="F173" s="1015">
        <v>7695.1049999999996</v>
      </c>
      <c r="G173" s="1016">
        <f t="shared" si="25"/>
        <v>0.98227023232065347</v>
      </c>
      <c r="H173" s="1017">
        <f t="shared" si="26"/>
        <v>8617.4000000000015</v>
      </c>
      <c r="I173" s="1020">
        <v>13200</v>
      </c>
      <c r="J173" s="1018">
        <f t="shared" si="27"/>
        <v>0.5934848484848485</v>
      </c>
      <c r="L173" s="754"/>
    </row>
    <row r="174" spans="1:12" s="745" customFormat="1" ht="16.5" thickTop="1" thickBot="1" x14ac:dyDescent="0.3">
      <c r="A174" s="760" t="s">
        <v>506</v>
      </c>
      <c r="B174" s="758" t="s">
        <v>59</v>
      </c>
      <c r="C174" s="1133">
        <f t="shared" si="17"/>
        <v>4224</v>
      </c>
      <c r="D174" s="762">
        <f t="shared" si="18"/>
        <v>4085</v>
      </c>
      <c r="E174" s="749">
        <v>4085</v>
      </c>
      <c r="F174" s="1015">
        <v>4084.8333333333335</v>
      </c>
      <c r="G174" s="1016">
        <f t="shared" si="25"/>
        <v>0.9999592003263974</v>
      </c>
      <c r="H174" s="1017">
        <f t="shared" si="26"/>
        <v>4493.5</v>
      </c>
      <c r="I174" s="750">
        <v>17700</v>
      </c>
      <c r="J174" s="1018">
        <f t="shared" si="27"/>
        <v>0.23079096045197739</v>
      </c>
      <c r="L174" s="754"/>
    </row>
    <row r="175" spans="1:12" s="745" customFormat="1" ht="16.5" thickTop="1" thickBot="1" x14ac:dyDescent="0.3">
      <c r="A175" s="760" t="s">
        <v>507</v>
      </c>
      <c r="B175" s="758" t="s">
        <v>59</v>
      </c>
      <c r="C175" s="1133">
        <f t="shared" si="17"/>
        <v>58076</v>
      </c>
      <c r="D175" s="762">
        <f t="shared" si="18"/>
        <v>56166</v>
      </c>
      <c r="E175" s="749">
        <v>56166</v>
      </c>
      <c r="F175" s="1015">
        <v>55171.342448359748</v>
      </c>
      <c r="G175" s="1016">
        <f t="shared" si="25"/>
        <v>0.98229075327350623</v>
      </c>
      <c r="H175" s="1017">
        <f t="shared" si="26"/>
        <v>61782.600000000006</v>
      </c>
      <c r="I175" s="750">
        <v>108000</v>
      </c>
      <c r="J175" s="1018">
        <f t="shared" si="27"/>
        <v>0.5200555555555556</v>
      </c>
      <c r="L175" s="754"/>
    </row>
    <row r="176" spans="1:12" s="745" customFormat="1" ht="16.5" thickTop="1" thickBot="1" x14ac:dyDescent="0.3">
      <c r="A176" s="760" t="s">
        <v>508</v>
      </c>
      <c r="B176" s="758" t="s">
        <v>15</v>
      </c>
      <c r="C176" s="1133">
        <f t="shared" si="17"/>
        <v>356834</v>
      </c>
      <c r="D176" s="762">
        <f t="shared" si="18"/>
        <v>345100</v>
      </c>
      <c r="E176" s="749">
        <v>345100</v>
      </c>
      <c r="F176" s="1015">
        <v>345100</v>
      </c>
      <c r="G176" s="1016">
        <f t="shared" si="25"/>
        <v>1</v>
      </c>
      <c r="H176" s="1017">
        <f t="shared" si="26"/>
        <v>379610.00000000006</v>
      </c>
      <c r="I176" s="1020">
        <v>290000</v>
      </c>
      <c r="J176" s="1018">
        <f t="shared" si="27"/>
        <v>1.19</v>
      </c>
      <c r="L176" s="754"/>
    </row>
    <row r="177" spans="1:12" s="745" customFormat="1" ht="16.5" thickTop="1" thickBot="1" x14ac:dyDescent="0.3">
      <c r="A177" s="760" t="s">
        <v>509</v>
      </c>
      <c r="B177" s="758" t="s">
        <v>15</v>
      </c>
      <c r="C177" s="1133">
        <f t="shared" si="17"/>
        <v>344529</v>
      </c>
      <c r="D177" s="762">
        <f t="shared" si="18"/>
        <v>333200</v>
      </c>
      <c r="E177" s="749">
        <v>333200</v>
      </c>
      <c r="F177" s="1015">
        <v>414120</v>
      </c>
      <c r="G177" s="1016">
        <f t="shared" si="25"/>
        <v>1.2428571428571429</v>
      </c>
      <c r="H177" s="1017">
        <f t="shared" si="26"/>
        <v>455532.00000000006</v>
      </c>
      <c r="I177" s="750">
        <v>290000</v>
      </c>
      <c r="J177" s="1018">
        <f t="shared" si="27"/>
        <v>1.1489655172413793</v>
      </c>
      <c r="L177" s="754"/>
    </row>
    <row r="178" spans="1:12" s="745" customFormat="1" ht="16.5" thickTop="1" thickBot="1" x14ac:dyDescent="0.3">
      <c r="A178" s="760" t="s">
        <v>510</v>
      </c>
      <c r="B178" s="758" t="s">
        <v>15</v>
      </c>
      <c r="C178" s="1133">
        <f t="shared" si="17"/>
        <v>102129</v>
      </c>
      <c r="D178" s="762">
        <f t="shared" si="18"/>
        <v>98770</v>
      </c>
      <c r="E178" s="749">
        <v>98770</v>
      </c>
      <c r="F178" s="1015">
        <v>103709</v>
      </c>
      <c r="G178" s="1016">
        <f t="shared" si="25"/>
        <v>1.0500050622658701</v>
      </c>
      <c r="H178" s="1017">
        <f t="shared" si="26"/>
        <v>114079.90000000001</v>
      </c>
      <c r="I178" s="750">
        <v>83000</v>
      </c>
      <c r="J178" s="1018">
        <f t="shared" si="27"/>
        <v>1.19</v>
      </c>
      <c r="L178" s="754"/>
    </row>
    <row r="179" spans="1:12" s="745" customFormat="1" ht="16.5" thickTop="1" thickBot="1" x14ac:dyDescent="0.3">
      <c r="A179" s="760" t="s">
        <v>511</v>
      </c>
      <c r="B179" s="758" t="s">
        <v>15</v>
      </c>
      <c r="C179" s="1133">
        <f t="shared" si="17"/>
        <v>159960</v>
      </c>
      <c r="D179" s="762">
        <f t="shared" si="18"/>
        <v>154700</v>
      </c>
      <c r="E179" s="749">
        <v>154700</v>
      </c>
      <c r="F179" s="1015">
        <v>173264</v>
      </c>
      <c r="G179" s="1016">
        <f t="shared" si="25"/>
        <v>1.1200000000000001</v>
      </c>
      <c r="H179" s="1017">
        <f t="shared" si="26"/>
        <v>190590.40000000002</v>
      </c>
      <c r="I179" s="750">
        <v>120000</v>
      </c>
      <c r="J179" s="1018">
        <f t="shared" si="27"/>
        <v>1.2891666666666666</v>
      </c>
      <c r="L179" s="754"/>
    </row>
    <row r="180" spans="1:12" s="745" customFormat="1" ht="16.5" thickTop="1" thickBot="1" x14ac:dyDescent="0.3">
      <c r="A180" s="760" t="s">
        <v>512</v>
      </c>
      <c r="B180" s="758" t="s">
        <v>15</v>
      </c>
      <c r="C180" s="1133">
        <f t="shared" si="17"/>
        <v>227636</v>
      </c>
      <c r="D180" s="762">
        <f t="shared" si="18"/>
        <v>220150</v>
      </c>
      <c r="E180" s="749">
        <v>220150</v>
      </c>
      <c r="F180" s="1015">
        <v>220150</v>
      </c>
      <c r="G180" s="1016">
        <f t="shared" si="25"/>
        <v>1</v>
      </c>
      <c r="H180" s="1017">
        <f t="shared" si="26"/>
        <v>242165.00000000003</v>
      </c>
      <c r="I180" s="750">
        <v>210000</v>
      </c>
      <c r="J180" s="1018">
        <f t="shared" si="27"/>
        <v>1.0483333333333333</v>
      </c>
      <c r="L180" s="754"/>
    </row>
    <row r="181" spans="1:12" s="745" customFormat="1" ht="14.25" thickTop="1" thickBot="1" x14ac:dyDescent="0.25">
      <c r="A181" s="760" t="s">
        <v>803</v>
      </c>
      <c r="B181" s="758" t="s">
        <v>59</v>
      </c>
      <c r="C181" s="1133">
        <f t="shared" si="17"/>
        <v>59111</v>
      </c>
      <c r="D181" s="762">
        <v>57167</v>
      </c>
      <c r="L181" s="754"/>
    </row>
    <row r="182" spans="1:12" s="745" customFormat="1" ht="16.5" thickTop="1" thickBot="1" x14ac:dyDescent="0.3">
      <c r="A182" s="760" t="s">
        <v>513</v>
      </c>
      <c r="B182" s="758" t="s">
        <v>59</v>
      </c>
      <c r="C182" s="1133">
        <f t="shared" si="17"/>
        <v>3749</v>
      </c>
      <c r="D182" s="762">
        <f t="shared" si="18"/>
        <v>3625</v>
      </c>
      <c r="E182" s="749">
        <v>3625</v>
      </c>
      <c r="F182" s="1015">
        <v>3624</v>
      </c>
      <c r="G182" s="1016">
        <f t="shared" ref="G182:G187" si="28">+F182/E182</f>
        <v>0.99972413793103443</v>
      </c>
      <c r="H182" s="1017">
        <f t="shared" ref="H182:H187" si="29">MAX(E182:F182)*$H$7</f>
        <v>3987.5000000000005</v>
      </c>
      <c r="I182" s="750">
        <v>1700</v>
      </c>
      <c r="J182" s="1018">
        <f t="shared" ref="J182:J187" si="30">+E182/I182</f>
        <v>2.1323529411764706</v>
      </c>
      <c r="L182" s="754"/>
    </row>
    <row r="183" spans="1:12" s="745" customFormat="1" ht="16.5" thickTop="1" thickBot="1" x14ac:dyDescent="0.3">
      <c r="A183" s="760" t="s">
        <v>514</v>
      </c>
      <c r="B183" s="758" t="s">
        <v>338</v>
      </c>
      <c r="C183" s="1133">
        <f t="shared" si="17"/>
        <v>17694</v>
      </c>
      <c r="D183" s="762">
        <f t="shared" si="18"/>
        <v>17112</v>
      </c>
      <c r="E183" s="749">
        <v>17112</v>
      </c>
      <c r="F183" s="1015">
        <v>17112</v>
      </c>
      <c r="G183" s="1016">
        <f t="shared" si="28"/>
        <v>1</v>
      </c>
      <c r="H183" s="1017">
        <f t="shared" si="29"/>
        <v>18823.2</v>
      </c>
      <c r="I183" s="750">
        <v>10100</v>
      </c>
      <c r="J183" s="1018">
        <f t="shared" si="30"/>
        <v>1.6942574257425742</v>
      </c>
    </row>
    <row r="184" spans="1:12" s="745" customFormat="1" ht="16.5" thickTop="1" thickBot="1" x14ac:dyDescent="0.3">
      <c r="A184" s="760" t="s">
        <v>515</v>
      </c>
      <c r="B184" s="758" t="s">
        <v>338</v>
      </c>
      <c r="C184" s="1133">
        <f t="shared" si="17"/>
        <v>6881</v>
      </c>
      <c r="D184" s="762">
        <f t="shared" si="18"/>
        <v>6654</v>
      </c>
      <c r="E184" s="749">
        <v>6654</v>
      </c>
      <c r="F184" s="1015">
        <v>6654</v>
      </c>
      <c r="G184" s="1016">
        <f t="shared" si="28"/>
        <v>1</v>
      </c>
      <c r="H184" s="1017">
        <f t="shared" si="29"/>
        <v>7319.4000000000005</v>
      </c>
      <c r="I184" s="750">
        <v>4200</v>
      </c>
      <c r="J184" s="1018">
        <f t="shared" si="30"/>
        <v>1.5842857142857143</v>
      </c>
    </row>
    <row r="185" spans="1:12" s="745" customFormat="1" ht="16.5" thickTop="1" thickBot="1" x14ac:dyDescent="0.3">
      <c r="A185" s="760" t="s">
        <v>516</v>
      </c>
      <c r="B185" s="758" t="s">
        <v>338</v>
      </c>
      <c r="C185" s="1133">
        <f t="shared" si="17"/>
        <v>45558</v>
      </c>
      <c r="D185" s="762">
        <f t="shared" si="18"/>
        <v>44059</v>
      </c>
      <c r="E185" s="749">
        <v>44059</v>
      </c>
      <c r="F185" s="1015">
        <v>82692</v>
      </c>
      <c r="G185" s="1016">
        <f t="shared" si="28"/>
        <v>1.876846955219138</v>
      </c>
      <c r="H185" s="1017">
        <f t="shared" si="29"/>
        <v>90961.200000000012</v>
      </c>
      <c r="I185" s="750">
        <v>18000</v>
      </c>
      <c r="J185" s="1018">
        <f t="shared" si="30"/>
        <v>2.4477222222222221</v>
      </c>
    </row>
    <row r="186" spans="1:12" s="745" customFormat="1" ht="16.5" thickTop="1" thickBot="1" x14ac:dyDescent="0.3">
      <c r="A186" s="760" t="s">
        <v>517</v>
      </c>
      <c r="B186" s="758" t="s">
        <v>338</v>
      </c>
      <c r="C186" s="1133">
        <f t="shared" si="17"/>
        <v>80026</v>
      </c>
      <c r="D186" s="762">
        <f t="shared" si="18"/>
        <v>77394</v>
      </c>
      <c r="E186" s="749">
        <v>77394</v>
      </c>
      <c r="F186" s="1015">
        <v>77394</v>
      </c>
      <c r="G186" s="1016">
        <f t="shared" si="28"/>
        <v>1</v>
      </c>
      <c r="H186" s="1017">
        <f t="shared" si="29"/>
        <v>85133.400000000009</v>
      </c>
      <c r="I186" s="750">
        <v>65600</v>
      </c>
      <c r="J186" s="1018">
        <f t="shared" si="30"/>
        <v>1.1797865853658536</v>
      </c>
    </row>
    <row r="187" spans="1:12" s="745" customFormat="1" ht="16.5" thickTop="1" thickBot="1" x14ac:dyDescent="0.3">
      <c r="A187" s="760" t="s">
        <v>518</v>
      </c>
      <c r="B187" s="758" t="s">
        <v>338</v>
      </c>
      <c r="C187" s="1133">
        <f>+ROUNDUP((D187*0.034)+D187,0)+2500</f>
        <v>16500</v>
      </c>
      <c r="D187" s="762">
        <f t="shared" si="18"/>
        <v>13539</v>
      </c>
      <c r="E187" s="749">
        <v>13539</v>
      </c>
      <c r="F187" s="1015">
        <v>7663</v>
      </c>
      <c r="G187" s="1016">
        <f t="shared" si="28"/>
        <v>0.56599453430829461</v>
      </c>
      <c r="H187" s="1017">
        <f t="shared" si="29"/>
        <v>14892.900000000001</v>
      </c>
      <c r="I187" s="750">
        <v>8700</v>
      </c>
      <c r="J187" s="1018">
        <f t="shared" si="30"/>
        <v>1.5562068965517242</v>
      </c>
    </row>
    <row r="188" spans="1:12" s="745" customFormat="1" ht="13.5" thickTop="1" x14ac:dyDescent="0.2">
      <c r="A188" s="763"/>
      <c r="B188" s="761"/>
      <c r="C188" s="761"/>
      <c r="D188" s="764"/>
      <c r="E188" s="749"/>
      <c r="F188" s="747"/>
      <c r="G188" s="750">
        <v>3800</v>
      </c>
      <c r="I188" s="747"/>
    </row>
    <row r="189" spans="1:12" s="745" customFormat="1" x14ac:dyDescent="0.2">
      <c r="A189" s="763"/>
      <c r="B189" s="761"/>
      <c r="C189" s="761"/>
      <c r="D189" s="764"/>
      <c r="G189" s="751"/>
    </row>
    <row r="190" spans="1:12" s="745" customFormat="1" x14ac:dyDescent="0.2">
      <c r="A190" s="763"/>
      <c r="B190" s="761"/>
      <c r="C190" s="761"/>
      <c r="D190" s="764"/>
      <c r="G190" s="751"/>
    </row>
    <row r="191" spans="1:12" s="745" customFormat="1" hidden="1" x14ac:dyDescent="0.2">
      <c r="A191" s="763"/>
      <c r="B191" s="761"/>
      <c r="C191" s="761"/>
      <c r="D191" s="764"/>
      <c r="G191" s="751"/>
    </row>
    <row r="192" spans="1:12" hidden="1" x14ac:dyDescent="0.2">
      <c r="A192" s="692"/>
      <c r="B192" s="245" t="str">
        <f>+'Presup '!F118</f>
        <v xml:space="preserve">ING. MIGUEL ANTONIO VILLACRES MARTINEZ. </v>
      </c>
      <c r="C192" s="245"/>
      <c r="D192" s="693"/>
      <c r="G192" s="146"/>
    </row>
    <row r="193" spans="1:7" hidden="1" x14ac:dyDescent="0.2">
      <c r="A193" s="692"/>
      <c r="B193" s="245" t="str">
        <f>+'Presup '!F119</f>
        <v>M.P. 52202-090508 NRÑ</v>
      </c>
      <c r="C193" s="245"/>
      <c r="D193" s="693"/>
      <c r="G193" s="146"/>
    </row>
    <row r="194" spans="1:7" x14ac:dyDescent="0.2">
      <c r="A194" s="144"/>
      <c r="D194" s="146"/>
      <c r="G194" s="146"/>
    </row>
    <row r="195" spans="1:7" x14ac:dyDescent="0.2">
      <c r="A195" s="144"/>
      <c r="D195" s="146"/>
      <c r="G195" s="146"/>
    </row>
    <row r="196" spans="1:7" x14ac:dyDescent="0.2">
      <c r="A196" s="144"/>
      <c r="D196" s="146"/>
      <c r="G196" s="146"/>
    </row>
    <row r="197" spans="1:7" x14ac:dyDescent="0.2">
      <c r="A197" s="144"/>
      <c r="D197" s="146"/>
      <c r="G197" s="146"/>
    </row>
    <row r="198" spans="1:7" x14ac:dyDescent="0.2">
      <c r="A198" s="144"/>
      <c r="D198" s="146"/>
      <c r="G198" s="146"/>
    </row>
    <row r="199" spans="1:7" x14ac:dyDescent="0.2">
      <c r="A199" s="144"/>
      <c r="D199" s="146"/>
      <c r="G199" s="146"/>
    </row>
    <row r="200" spans="1:7" x14ac:dyDescent="0.2">
      <c r="A200" s="144"/>
      <c r="D200" s="146"/>
      <c r="G200" s="146"/>
    </row>
    <row r="201" spans="1:7" x14ac:dyDescent="0.2">
      <c r="A201" s="144"/>
      <c r="D201" s="146"/>
      <c r="G201" s="146"/>
    </row>
    <row r="202" spans="1:7" x14ac:dyDescent="0.2">
      <c r="A202" s="144"/>
      <c r="D202" s="146"/>
      <c r="G202" s="146"/>
    </row>
    <row r="203" spans="1:7" x14ac:dyDescent="0.2">
      <c r="A203" s="144"/>
      <c r="D203" s="146"/>
      <c r="G203" s="146"/>
    </row>
    <row r="204" spans="1:7" x14ac:dyDescent="0.2">
      <c r="A204" s="144"/>
      <c r="D204" s="146"/>
      <c r="G204" s="146"/>
    </row>
    <row r="205" spans="1:7" x14ac:dyDescent="0.2">
      <c r="A205" s="144"/>
      <c r="D205" s="146"/>
      <c r="G205" s="146"/>
    </row>
    <row r="206" spans="1:7" x14ac:dyDescent="0.2">
      <c r="A206" s="144"/>
      <c r="D206" s="146"/>
      <c r="G206" s="146"/>
    </row>
    <row r="207" spans="1:7" x14ac:dyDescent="0.2">
      <c r="A207" s="144"/>
      <c r="D207" s="146"/>
      <c r="G207" s="146"/>
    </row>
    <row r="208" spans="1:7" x14ac:dyDescent="0.2">
      <c r="A208" s="144"/>
      <c r="D208" s="146"/>
      <c r="G208" s="146"/>
    </row>
    <row r="209" spans="1:7" x14ac:dyDescent="0.2">
      <c r="A209" s="144"/>
      <c r="D209" s="146"/>
      <c r="G209" s="146"/>
    </row>
    <row r="210" spans="1:7" x14ac:dyDescent="0.2">
      <c r="A210" s="144"/>
      <c r="D210" s="146"/>
      <c r="G210" s="146"/>
    </row>
    <row r="211" spans="1:7" x14ac:dyDescent="0.2">
      <c r="A211" s="144"/>
      <c r="D211" s="146"/>
      <c r="G211" s="146"/>
    </row>
    <row r="212" spans="1:7" x14ac:dyDescent="0.2">
      <c r="A212" s="144"/>
      <c r="D212" s="146"/>
      <c r="G212" s="146"/>
    </row>
    <row r="213" spans="1:7" x14ac:dyDescent="0.2">
      <c r="A213" s="144"/>
      <c r="D213" s="146"/>
      <c r="G213" s="146"/>
    </row>
    <row r="214" spans="1:7" x14ac:dyDescent="0.2">
      <c r="A214" s="144"/>
      <c r="D214" s="146"/>
      <c r="G214" s="146"/>
    </row>
    <row r="215" spans="1:7" x14ac:dyDescent="0.2">
      <c r="A215" s="144"/>
      <c r="D215" s="146"/>
      <c r="G215" s="146"/>
    </row>
    <row r="216" spans="1:7" x14ac:dyDescent="0.2">
      <c r="A216" s="144"/>
      <c r="D216" s="146"/>
      <c r="G216" s="146"/>
    </row>
    <row r="217" spans="1:7" x14ac:dyDescent="0.2">
      <c r="A217" s="144"/>
      <c r="D217" s="146"/>
      <c r="G217" s="146"/>
    </row>
    <row r="218" spans="1:7" x14ac:dyDescent="0.2">
      <c r="A218" s="144"/>
      <c r="D218" s="146"/>
      <c r="G218" s="146"/>
    </row>
    <row r="219" spans="1:7" x14ac:dyDescent="0.2">
      <c r="A219" s="144"/>
      <c r="D219" s="146"/>
      <c r="G219" s="146"/>
    </row>
    <row r="220" spans="1:7" x14ac:dyDescent="0.2">
      <c r="A220" s="144"/>
      <c r="D220" s="146"/>
      <c r="G220" s="146"/>
    </row>
  </sheetData>
  <mergeCells count="5">
    <mergeCell ref="A1:D1"/>
    <mergeCell ref="A2:D2"/>
    <mergeCell ref="A3:D3"/>
    <mergeCell ref="A4:D4"/>
    <mergeCell ref="A5:D5"/>
  </mergeCells>
  <printOptions horizontalCentered="1"/>
  <pageMargins left="0.23622047244094491" right="0.23622047244094491" top="0.74803149606299213" bottom="0.74803149606299213" header="0.31496062992125984" footer="0.31496062992125984"/>
  <pageSetup paperSize="125" scale="7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53"/>
  <sheetViews>
    <sheetView view="pageBreakPreview" topLeftCell="A39" zoomScaleNormal="100" zoomScaleSheetLayoutView="100" workbookViewId="0">
      <selection activeCell="C8" sqref="C8"/>
    </sheetView>
  </sheetViews>
  <sheetFormatPr baseColWidth="10" defaultRowHeight="15" x14ac:dyDescent="0.25"/>
  <cols>
    <col min="1" max="1" width="56.42578125" style="139" customWidth="1"/>
    <col min="2" max="2" width="11.5703125" style="141" customWidth="1"/>
    <col min="3" max="3" width="16.7109375" style="139" customWidth="1"/>
    <col min="4" max="4" width="23.28515625" style="139" customWidth="1"/>
    <col min="6" max="6" width="11.42578125" style="139"/>
    <col min="7" max="7" width="18.28515625" style="139" customWidth="1"/>
    <col min="8" max="8" width="11.42578125" style="139"/>
    <col min="9" max="9" width="4.42578125" style="139" customWidth="1"/>
    <col min="10" max="10" width="11.42578125" style="139"/>
    <col min="11" max="11" width="3.5703125" style="139" customWidth="1"/>
    <col min="12" max="12" width="3.28515625" style="139" customWidth="1"/>
    <col min="13" max="13" width="5.42578125" style="139" customWidth="1"/>
    <col min="14" max="14" width="8.5703125" style="139" customWidth="1"/>
    <col min="15" max="15" width="10.42578125" style="139" customWidth="1"/>
    <col min="16" max="256" width="11.42578125" style="139"/>
    <col min="257" max="257" width="56.42578125" style="139" customWidth="1"/>
    <col min="258" max="258" width="11.5703125" style="139" customWidth="1"/>
    <col min="259" max="259" width="12.42578125" style="139" customWidth="1"/>
    <col min="260" max="260" width="12.85546875" style="139" bestFit="1" customWidth="1"/>
    <col min="261" max="512" width="11.42578125" style="139"/>
    <col min="513" max="513" width="56.42578125" style="139" customWidth="1"/>
    <col min="514" max="514" width="11.5703125" style="139" customWidth="1"/>
    <col min="515" max="515" width="12.42578125" style="139" customWidth="1"/>
    <col min="516" max="516" width="12.85546875" style="139" bestFit="1" customWidth="1"/>
    <col min="517" max="768" width="11.42578125" style="139"/>
    <col min="769" max="769" width="56.42578125" style="139" customWidth="1"/>
    <col min="770" max="770" width="11.5703125" style="139" customWidth="1"/>
    <col min="771" max="771" width="12.42578125" style="139" customWidth="1"/>
    <col min="772" max="772" width="12.85546875" style="139" bestFit="1" customWidth="1"/>
    <col min="773" max="1024" width="11.42578125" style="139"/>
    <col min="1025" max="1025" width="56.42578125" style="139" customWidth="1"/>
    <col min="1026" max="1026" width="11.5703125" style="139" customWidth="1"/>
    <col min="1027" max="1027" width="12.42578125" style="139" customWidth="1"/>
    <col min="1028" max="1028" width="12.85546875" style="139" bestFit="1" customWidth="1"/>
    <col min="1029" max="1280" width="11.42578125" style="139"/>
    <col min="1281" max="1281" width="56.42578125" style="139" customWidth="1"/>
    <col min="1282" max="1282" width="11.5703125" style="139" customWidth="1"/>
    <col min="1283" max="1283" width="12.42578125" style="139" customWidth="1"/>
    <col min="1284" max="1284" width="12.85546875" style="139" bestFit="1" customWidth="1"/>
    <col min="1285" max="1536" width="11.42578125" style="139"/>
    <col min="1537" max="1537" width="56.42578125" style="139" customWidth="1"/>
    <col min="1538" max="1538" width="11.5703125" style="139" customWidth="1"/>
    <col min="1539" max="1539" width="12.42578125" style="139" customWidth="1"/>
    <col min="1540" max="1540" width="12.85546875" style="139" bestFit="1" customWidth="1"/>
    <col min="1541" max="1792" width="11.42578125" style="139"/>
    <col min="1793" max="1793" width="56.42578125" style="139" customWidth="1"/>
    <col min="1794" max="1794" width="11.5703125" style="139" customWidth="1"/>
    <col min="1795" max="1795" width="12.42578125" style="139" customWidth="1"/>
    <col min="1796" max="1796" width="12.85546875" style="139" bestFit="1" customWidth="1"/>
    <col min="1797" max="2048" width="11.42578125" style="139"/>
    <col min="2049" max="2049" width="56.42578125" style="139" customWidth="1"/>
    <col min="2050" max="2050" width="11.5703125" style="139" customWidth="1"/>
    <col min="2051" max="2051" width="12.42578125" style="139" customWidth="1"/>
    <col min="2052" max="2052" width="12.85546875" style="139" bestFit="1" customWidth="1"/>
    <col min="2053" max="2304" width="11.42578125" style="139"/>
    <col min="2305" max="2305" width="56.42578125" style="139" customWidth="1"/>
    <col min="2306" max="2306" width="11.5703125" style="139" customWidth="1"/>
    <col min="2307" max="2307" width="12.42578125" style="139" customWidth="1"/>
    <col min="2308" max="2308" width="12.85546875" style="139" bestFit="1" customWidth="1"/>
    <col min="2309" max="2560" width="11.42578125" style="139"/>
    <col min="2561" max="2561" width="56.42578125" style="139" customWidth="1"/>
    <col min="2562" max="2562" width="11.5703125" style="139" customWidth="1"/>
    <col min="2563" max="2563" width="12.42578125" style="139" customWidth="1"/>
    <col min="2564" max="2564" width="12.85546875" style="139" bestFit="1" customWidth="1"/>
    <col min="2565" max="2816" width="11.42578125" style="139"/>
    <col min="2817" max="2817" width="56.42578125" style="139" customWidth="1"/>
    <col min="2818" max="2818" width="11.5703125" style="139" customWidth="1"/>
    <col min="2819" max="2819" width="12.42578125" style="139" customWidth="1"/>
    <col min="2820" max="2820" width="12.85546875" style="139" bestFit="1" customWidth="1"/>
    <col min="2821" max="3072" width="11.42578125" style="139"/>
    <col min="3073" max="3073" width="56.42578125" style="139" customWidth="1"/>
    <col min="3074" max="3074" width="11.5703125" style="139" customWidth="1"/>
    <col min="3075" max="3075" width="12.42578125" style="139" customWidth="1"/>
    <col min="3076" max="3076" width="12.85546875" style="139" bestFit="1" customWidth="1"/>
    <col min="3077" max="3328" width="11.42578125" style="139"/>
    <col min="3329" max="3329" width="56.42578125" style="139" customWidth="1"/>
    <col min="3330" max="3330" width="11.5703125" style="139" customWidth="1"/>
    <col min="3331" max="3331" width="12.42578125" style="139" customWidth="1"/>
    <col min="3332" max="3332" width="12.85546875" style="139" bestFit="1" customWidth="1"/>
    <col min="3333" max="3584" width="11.42578125" style="139"/>
    <col min="3585" max="3585" width="56.42578125" style="139" customWidth="1"/>
    <col min="3586" max="3586" width="11.5703125" style="139" customWidth="1"/>
    <col min="3587" max="3587" width="12.42578125" style="139" customWidth="1"/>
    <col min="3588" max="3588" width="12.85546875" style="139" bestFit="1" customWidth="1"/>
    <col min="3589" max="3840" width="11.42578125" style="139"/>
    <col min="3841" max="3841" width="56.42578125" style="139" customWidth="1"/>
    <col min="3842" max="3842" width="11.5703125" style="139" customWidth="1"/>
    <col min="3843" max="3843" width="12.42578125" style="139" customWidth="1"/>
    <col min="3844" max="3844" width="12.85546875" style="139" bestFit="1" customWidth="1"/>
    <col min="3845" max="4096" width="11.42578125" style="139"/>
    <col min="4097" max="4097" width="56.42578125" style="139" customWidth="1"/>
    <col min="4098" max="4098" width="11.5703125" style="139" customWidth="1"/>
    <col min="4099" max="4099" width="12.42578125" style="139" customWidth="1"/>
    <col min="4100" max="4100" width="12.85546875" style="139" bestFit="1" customWidth="1"/>
    <col min="4101" max="4352" width="11.42578125" style="139"/>
    <col min="4353" max="4353" width="56.42578125" style="139" customWidth="1"/>
    <col min="4354" max="4354" width="11.5703125" style="139" customWidth="1"/>
    <col min="4355" max="4355" width="12.42578125" style="139" customWidth="1"/>
    <col min="4356" max="4356" width="12.85546875" style="139" bestFit="1" customWidth="1"/>
    <col min="4357" max="4608" width="11.42578125" style="139"/>
    <col min="4609" max="4609" width="56.42578125" style="139" customWidth="1"/>
    <col min="4610" max="4610" width="11.5703125" style="139" customWidth="1"/>
    <col min="4611" max="4611" width="12.42578125" style="139" customWidth="1"/>
    <col min="4612" max="4612" width="12.85546875" style="139" bestFit="1" customWidth="1"/>
    <col min="4613" max="4864" width="11.42578125" style="139"/>
    <col min="4865" max="4865" width="56.42578125" style="139" customWidth="1"/>
    <col min="4866" max="4866" width="11.5703125" style="139" customWidth="1"/>
    <col min="4867" max="4867" width="12.42578125" style="139" customWidth="1"/>
    <col min="4868" max="4868" width="12.85546875" style="139" bestFit="1" customWidth="1"/>
    <col min="4869" max="5120" width="11.42578125" style="139"/>
    <col min="5121" max="5121" width="56.42578125" style="139" customWidth="1"/>
    <col min="5122" max="5122" width="11.5703125" style="139" customWidth="1"/>
    <col min="5123" max="5123" width="12.42578125" style="139" customWidth="1"/>
    <col min="5124" max="5124" width="12.85546875" style="139" bestFit="1" customWidth="1"/>
    <col min="5125" max="5376" width="11.42578125" style="139"/>
    <col min="5377" max="5377" width="56.42578125" style="139" customWidth="1"/>
    <col min="5378" max="5378" width="11.5703125" style="139" customWidth="1"/>
    <col min="5379" max="5379" width="12.42578125" style="139" customWidth="1"/>
    <col min="5380" max="5380" width="12.85546875" style="139" bestFit="1" customWidth="1"/>
    <col min="5381" max="5632" width="11.42578125" style="139"/>
    <col min="5633" max="5633" width="56.42578125" style="139" customWidth="1"/>
    <col min="5634" max="5634" width="11.5703125" style="139" customWidth="1"/>
    <col min="5635" max="5635" width="12.42578125" style="139" customWidth="1"/>
    <col min="5636" max="5636" width="12.85546875" style="139" bestFit="1" customWidth="1"/>
    <col min="5637" max="5888" width="11.42578125" style="139"/>
    <col min="5889" max="5889" width="56.42578125" style="139" customWidth="1"/>
    <col min="5890" max="5890" width="11.5703125" style="139" customWidth="1"/>
    <col min="5891" max="5891" width="12.42578125" style="139" customWidth="1"/>
    <col min="5892" max="5892" width="12.85546875" style="139" bestFit="1" customWidth="1"/>
    <col min="5893" max="6144" width="11.42578125" style="139"/>
    <col min="6145" max="6145" width="56.42578125" style="139" customWidth="1"/>
    <col min="6146" max="6146" width="11.5703125" style="139" customWidth="1"/>
    <col min="6147" max="6147" width="12.42578125" style="139" customWidth="1"/>
    <col min="6148" max="6148" width="12.85546875" style="139" bestFit="1" customWidth="1"/>
    <col min="6149" max="6400" width="11.42578125" style="139"/>
    <col min="6401" max="6401" width="56.42578125" style="139" customWidth="1"/>
    <col min="6402" max="6402" width="11.5703125" style="139" customWidth="1"/>
    <col min="6403" max="6403" width="12.42578125" style="139" customWidth="1"/>
    <col min="6404" max="6404" width="12.85546875" style="139" bestFit="1" customWidth="1"/>
    <col min="6405" max="6656" width="11.42578125" style="139"/>
    <col min="6657" max="6657" width="56.42578125" style="139" customWidth="1"/>
    <col min="6658" max="6658" width="11.5703125" style="139" customWidth="1"/>
    <col min="6659" max="6659" width="12.42578125" style="139" customWidth="1"/>
    <col min="6660" max="6660" width="12.85546875" style="139" bestFit="1" customWidth="1"/>
    <col min="6661" max="6912" width="11.42578125" style="139"/>
    <col min="6913" max="6913" width="56.42578125" style="139" customWidth="1"/>
    <col min="6914" max="6914" width="11.5703125" style="139" customWidth="1"/>
    <col min="6915" max="6915" width="12.42578125" style="139" customWidth="1"/>
    <col min="6916" max="6916" width="12.85546875" style="139" bestFit="1" customWidth="1"/>
    <col min="6917" max="7168" width="11.42578125" style="139"/>
    <col min="7169" max="7169" width="56.42578125" style="139" customWidth="1"/>
    <col min="7170" max="7170" width="11.5703125" style="139" customWidth="1"/>
    <col min="7171" max="7171" width="12.42578125" style="139" customWidth="1"/>
    <col min="7172" max="7172" width="12.85546875" style="139" bestFit="1" customWidth="1"/>
    <col min="7173" max="7424" width="11.42578125" style="139"/>
    <col min="7425" max="7425" width="56.42578125" style="139" customWidth="1"/>
    <col min="7426" max="7426" width="11.5703125" style="139" customWidth="1"/>
    <col min="7427" max="7427" width="12.42578125" style="139" customWidth="1"/>
    <col min="7428" max="7428" width="12.85546875" style="139" bestFit="1" customWidth="1"/>
    <col min="7429" max="7680" width="11.42578125" style="139"/>
    <col min="7681" max="7681" width="56.42578125" style="139" customWidth="1"/>
    <col min="7682" max="7682" width="11.5703125" style="139" customWidth="1"/>
    <col min="7683" max="7683" width="12.42578125" style="139" customWidth="1"/>
    <col min="7684" max="7684" width="12.85546875" style="139" bestFit="1" customWidth="1"/>
    <col min="7685" max="7936" width="11.42578125" style="139"/>
    <col min="7937" max="7937" width="56.42578125" style="139" customWidth="1"/>
    <col min="7938" max="7938" width="11.5703125" style="139" customWidth="1"/>
    <col min="7939" max="7939" width="12.42578125" style="139" customWidth="1"/>
    <col min="7940" max="7940" width="12.85546875" style="139" bestFit="1" customWidth="1"/>
    <col min="7941" max="8192" width="11.42578125" style="139"/>
    <col min="8193" max="8193" width="56.42578125" style="139" customWidth="1"/>
    <col min="8194" max="8194" width="11.5703125" style="139" customWidth="1"/>
    <col min="8195" max="8195" width="12.42578125" style="139" customWidth="1"/>
    <col min="8196" max="8196" width="12.85546875" style="139" bestFit="1" customWidth="1"/>
    <col min="8197" max="8448" width="11.42578125" style="139"/>
    <col min="8449" max="8449" width="56.42578125" style="139" customWidth="1"/>
    <col min="8450" max="8450" width="11.5703125" style="139" customWidth="1"/>
    <col min="8451" max="8451" width="12.42578125" style="139" customWidth="1"/>
    <col min="8452" max="8452" width="12.85546875" style="139" bestFit="1" customWidth="1"/>
    <col min="8453" max="8704" width="11.42578125" style="139"/>
    <col min="8705" max="8705" width="56.42578125" style="139" customWidth="1"/>
    <col min="8706" max="8706" width="11.5703125" style="139" customWidth="1"/>
    <col min="8707" max="8707" width="12.42578125" style="139" customWidth="1"/>
    <col min="8708" max="8708" width="12.85546875" style="139" bestFit="1" customWidth="1"/>
    <col min="8709" max="8960" width="11.42578125" style="139"/>
    <col min="8961" max="8961" width="56.42578125" style="139" customWidth="1"/>
    <col min="8962" max="8962" width="11.5703125" style="139" customWidth="1"/>
    <col min="8963" max="8963" width="12.42578125" style="139" customWidth="1"/>
    <col min="8964" max="8964" width="12.85546875" style="139" bestFit="1" customWidth="1"/>
    <col min="8965" max="9216" width="11.42578125" style="139"/>
    <col min="9217" max="9217" width="56.42578125" style="139" customWidth="1"/>
    <col min="9218" max="9218" width="11.5703125" style="139" customWidth="1"/>
    <col min="9219" max="9219" width="12.42578125" style="139" customWidth="1"/>
    <col min="9220" max="9220" width="12.85546875" style="139" bestFit="1" customWidth="1"/>
    <col min="9221" max="9472" width="11.42578125" style="139"/>
    <col min="9473" max="9473" width="56.42578125" style="139" customWidth="1"/>
    <col min="9474" max="9474" width="11.5703125" style="139" customWidth="1"/>
    <col min="9475" max="9475" width="12.42578125" style="139" customWidth="1"/>
    <col min="9476" max="9476" width="12.85546875" style="139" bestFit="1" customWidth="1"/>
    <col min="9477" max="9728" width="11.42578125" style="139"/>
    <col min="9729" max="9729" width="56.42578125" style="139" customWidth="1"/>
    <col min="9730" max="9730" width="11.5703125" style="139" customWidth="1"/>
    <col min="9731" max="9731" width="12.42578125" style="139" customWidth="1"/>
    <col min="9732" max="9732" width="12.85546875" style="139" bestFit="1" customWidth="1"/>
    <col min="9733" max="9984" width="11.42578125" style="139"/>
    <col min="9985" max="9985" width="56.42578125" style="139" customWidth="1"/>
    <col min="9986" max="9986" width="11.5703125" style="139" customWidth="1"/>
    <col min="9987" max="9987" width="12.42578125" style="139" customWidth="1"/>
    <col min="9988" max="9988" width="12.85546875" style="139" bestFit="1" customWidth="1"/>
    <col min="9989" max="10240" width="11.42578125" style="139"/>
    <col min="10241" max="10241" width="56.42578125" style="139" customWidth="1"/>
    <col min="10242" max="10242" width="11.5703125" style="139" customWidth="1"/>
    <col min="10243" max="10243" width="12.42578125" style="139" customWidth="1"/>
    <col min="10244" max="10244" width="12.85546875" style="139" bestFit="1" customWidth="1"/>
    <col min="10245" max="10496" width="11.42578125" style="139"/>
    <col min="10497" max="10497" width="56.42578125" style="139" customWidth="1"/>
    <col min="10498" max="10498" width="11.5703125" style="139" customWidth="1"/>
    <col min="10499" max="10499" width="12.42578125" style="139" customWidth="1"/>
    <col min="10500" max="10500" width="12.85546875" style="139" bestFit="1" customWidth="1"/>
    <col min="10501" max="10752" width="11.42578125" style="139"/>
    <col min="10753" max="10753" width="56.42578125" style="139" customWidth="1"/>
    <col min="10754" max="10754" width="11.5703125" style="139" customWidth="1"/>
    <col min="10755" max="10755" width="12.42578125" style="139" customWidth="1"/>
    <col min="10756" max="10756" width="12.85546875" style="139" bestFit="1" customWidth="1"/>
    <col min="10757" max="11008" width="11.42578125" style="139"/>
    <col min="11009" max="11009" width="56.42578125" style="139" customWidth="1"/>
    <col min="11010" max="11010" width="11.5703125" style="139" customWidth="1"/>
    <col min="11011" max="11011" width="12.42578125" style="139" customWidth="1"/>
    <col min="11012" max="11012" width="12.85546875" style="139" bestFit="1" customWidth="1"/>
    <col min="11013" max="11264" width="11.42578125" style="139"/>
    <col min="11265" max="11265" width="56.42578125" style="139" customWidth="1"/>
    <col min="11266" max="11266" width="11.5703125" style="139" customWidth="1"/>
    <col min="11267" max="11267" width="12.42578125" style="139" customWidth="1"/>
    <col min="11268" max="11268" width="12.85546875" style="139" bestFit="1" customWidth="1"/>
    <col min="11269" max="11520" width="11.42578125" style="139"/>
    <col min="11521" max="11521" width="56.42578125" style="139" customWidth="1"/>
    <col min="11522" max="11522" width="11.5703125" style="139" customWidth="1"/>
    <col min="11523" max="11523" width="12.42578125" style="139" customWidth="1"/>
    <col min="11524" max="11524" width="12.85546875" style="139" bestFit="1" customWidth="1"/>
    <col min="11525" max="11776" width="11.42578125" style="139"/>
    <col min="11777" max="11777" width="56.42578125" style="139" customWidth="1"/>
    <col min="11778" max="11778" width="11.5703125" style="139" customWidth="1"/>
    <col min="11779" max="11779" width="12.42578125" style="139" customWidth="1"/>
    <col min="11780" max="11780" width="12.85546875" style="139" bestFit="1" customWidth="1"/>
    <col min="11781" max="12032" width="11.42578125" style="139"/>
    <col min="12033" max="12033" width="56.42578125" style="139" customWidth="1"/>
    <col min="12034" max="12034" width="11.5703125" style="139" customWidth="1"/>
    <col min="12035" max="12035" width="12.42578125" style="139" customWidth="1"/>
    <col min="12036" max="12036" width="12.85546875" style="139" bestFit="1" customWidth="1"/>
    <col min="12037" max="12288" width="11.42578125" style="139"/>
    <col min="12289" max="12289" width="56.42578125" style="139" customWidth="1"/>
    <col min="12290" max="12290" width="11.5703125" style="139" customWidth="1"/>
    <col min="12291" max="12291" width="12.42578125" style="139" customWidth="1"/>
    <col min="12292" max="12292" width="12.85546875" style="139" bestFit="1" customWidth="1"/>
    <col min="12293" max="12544" width="11.42578125" style="139"/>
    <col min="12545" max="12545" width="56.42578125" style="139" customWidth="1"/>
    <col min="12546" max="12546" width="11.5703125" style="139" customWidth="1"/>
    <col min="12547" max="12547" width="12.42578125" style="139" customWidth="1"/>
    <col min="12548" max="12548" width="12.85546875" style="139" bestFit="1" customWidth="1"/>
    <col min="12549" max="12800" width="11.42578125" style="139"/>
    <col min="12801" max="12801" width="56.42578125" style="139" customWidth="1"/>
    <col min="12802" max="12802" width="11.5703125" style="139" customWidth="1"/>
    <col min="12803" max="12803" width="12.42578125" style="139" customWidth="1"/>
    <col min="12804" max="12804" width="12.85546875" style="139" bestFit="1" customWidth="1"/>
    <col min="12805" max="13056" width="11.42578125" style="139"/>
    <col min="13057" max="13057" width="56.42578125" style="139" customWidth="1"/>
    <col min="13058" max="13058" width="11.5703125" style="139" customWidth="1"/>
    <col min="13059" max="13059" width="12.42578125" style="139" customWidth="1"/>
    <col min="13060" max="13060" width="12.85546875" style="139" bestFit="1" customWidth="1"/>
    <col min="13061" max="13312" width="11.42578125" style="139"/>
    <col min="13313" max="13313" width="56.42578125" style="139" customWidth="1"/>
    <col min="13314" max="13314" width="11.5703125" style="139" customWidth="1"/>
    <col min="13315" max="13315" width="12.42578125" style="139" customWidth="1"/>
    <col min="13316" max="13316" width="12.85546875" style="139" bestFit="1" customWidth="1"/>
    <col min="13317" max="13568" width="11.42578125" style="139"/>
    <col min="13569" max="13569" width="56.42578125" style="139" customWidth="1"/>
    <col min="13570" max="13570" width="11.5703125" style="139" customWidth="1"/>
    <col min="13571" max="13571" width="12.42578125" style="139" customWidth="1"/>
    <col min="13572" max="13572" width="12.85546875" style="139" bestFit="1" customWidth="1"/>
    <col min="13573" max="13824" width="11.42578125" style="139"/>
    <col min="13825" max="13825" width="56.42578125" style="139" customWidth="1"/>
    <col min="13826" max="13826" width="11.5703125" style="139" customWidth="1"/>
    <col min="13827" max="13827" width="12.42578125" style="139" customWidth="1"/>
    <col min="13828" max="13828" width="12.85546875" style="139" bestFit="1" customWidth="1"/>
    <col min="13829" max="14080" width="11.42578125" style="139"/>
    <col min="14081" max="14081" width="56.42578125" style="139" customWidth="1"/>
    <col min="14082" max="14082" width="11.5703125" style="139" customWidth="1"/>
    <col min="14083" max="14083" width="12.42578125" style="139" customWidth="1"/>
    <col min="14084" max="14084" width="12.85546875" style="139" bestFit="1" customWidth="1"/>
    <col min="14085" max="14336" width="11.42578125" style="139"/>
    <col min="14337" max="14337" width="56.42578125" style="139" customWidth="1"/>
    <col min="14338" max="14338" width="11.5703125" style="139" customWidth="1"/>
    <col min="14339" max="14339" width="12.42578125" style="139" customWidth="1"/>
    <col min="14340" max="14340" width="12.85546875" style="139" bestFit="1" customWidth="1"/>
    <col min="14341" max="14592" width="11.42578125" style="139"/>
    <col min="14593" max="14593" width="56.42578125" style="139" customWidth="1"/>
    <col min="14594" max="14594" width="11.5703125" style="139" customWidth="1"/>
    <col min="14595" max="14595" width="12.42578125" style="139" customWidth="1"/>
    <col min="14596" max="14596" width="12.85546875" style="139" bestFit="1" customWidth="1"/>
    <col min="14597" max="14848" width="11.42578125" style="139"/>
    <col min="14849" max="14849" width="56.42578125" style="139" customWidth="1"/>
    <col min="14850" max="14850" width="11.5703125" style="139" customWidth="1"/>
    <col min="14851" max="14851" width="12.42578125" style="139" customWidth="1"/>
    <col min="14852" max="14852" width="12.85546875" style="139" bestFit="1" customWidth="1"/>
    <col min="14853" max="15104" width="11.42578125" style="139"/>
    <col min="15105" max="15105" width="56.42578125" style="139" customWidth="1"/>
    <col min="15106" max="15106" width="11.5703125" style="139" customWidth="1"/>
    <col min="15107" max="15107" width="12.42578125" style="139" customWidth="1"/>
    <col min="15108" max="15108" width="12.85546875" style="139" bestFit="1" customWidth="1"/>
    <col min="15109" max="15360" width="11.42578125" style="139"/>
    <col min="15361" max="15361" width="56.42578125" style="139" customWidth="1"/>
    <col min="15362" max="15362" width="11.5703125" style="139" customWidth="1"/>
    <col min="15363" max="15363" width="12.42578125" style="139" customWidth="1"/>
    <col min="15364" max="15364" width="12.85546875" style="139" bestFit="1" customWidth="1"/>
    <col min="15365" max="15616" width="11.42578125" style="139"/>
    <col min="15617" max="15617" width="56.42578125" style="139" customWidth="1"/>
    <col min="15618" max="15618" width="11.5703125" style="139" customWidth="1"/>
    <col min="15619" max="15619" width="12.42578125" style="139" customWidth="1"/>
    <col min="15620" max="15620" width="12.85546875" style="139" bestFit="1" customWidth="1"/>
    <col min="15621" max="15872" width="11.42578125" style="139"/>
    <col min="15873" max="15873" width="56.42578125" style="139" customWidth="1"/>
    <col min="15874" max="15874" width="11.5703125" style="139" customWidth="1"/>
    <col min="15875" max="15875" width="12.42578125" style="139" customWidth="1"/>
    <col min="15876" max="15876" width="12.85546875" style="139" bestFit="1" customWidth="1"/>
    <col min="15877" max="16128" width="11.42578125" style="139"/>
    <col min="16129" max="16129" width="56.42578125" style="139" customWidth="1"/>
    <col min="16130" max="16130" width="11.5703125" style="139" customWidth="1"/>
    <col min="16131" max="16131" width="12.42578125" style="139" customWidth="1"/>
    <col min="16132" max="16132" width="12.85546875" style="139" bestFit="1" customWidth="1"/>
    <col min="16133" max="16384" width="11.42578125" style="139"/>
  </cols>
  <sheetData>
    <row r="1" spans="1:16" x14ac:dyDescent="0.25">
      <c r="A1" s="1370" t="str">
        <f>+'Presup '!B1</f>
        <v>REPUBLICA DE COLOMBIA</v>
      </c>
      <c r="B1" s="1371"/>
      <c r="C1" s="1371"/>
    </row>
    <row r="2" spans="1:16" x14ac:dyDescent="0.25">
      <c r="A2" s="1370" t="str">
        <f>+'Presup '!B2</f>
        <v>DEPARTAMENTO DE NARIÑO</v>
      </c>
      <c r="B2" s="1371"/>
      <c r="C2" s="1371"/>
    </row>
    <row r="3" spans="1:16" x14ac:dyDescent="0.25">
      <c r="A3" s="1370" t="str">
        <f>+'Presup '!B3</f>
        <v>ALCALDÍA MUNICIPAL DE SAN LORENZO</v>
      </c>
      <c r="B3" s="1371"/>
      <c r="C3" s="1371"/>
    </row>
    <row r="4" spans="1:16" x14ac:dyDescent="0.25">
      <c r="A4" s="1370"/>
      <c r="B4" s="1371"/>
      <c r="C4" s="1371"/>
    </row>
    <row r="5" spans="1:16" x14ac:dyDescent="0.25">
      <c r="A5" s="1372" t="str">
        <f>+'Presup '!B5</f>
        <v>MEJORAMIENTO VÍA LA LAGUNA, SALINAS, LOS OLIVOS</v>
      </c>
      <c r="B5" s="1373"/>
      <c r="C5" s="1373"/>
    </row>
    <row r="6" spans="1:16" x14ac:dyDescent="0.25">
      <c r="A6" s="1374" t="s">
        <v>581</v>
      </c>
      <c r="B6" s="1374"/>
      <c r="C6" s="1374"/>
    </row>
    <row r="7" spans="1:16" x14ac:dyDescent="0.25">
      <c r="A7" s="694" t="s">
        <v>519</v>
      </c>
      <c r="B7" s="688" t="s">
        <v>520</v>
      </c>
      <c r="C7" s="695">
        <v>0.2</v>
      </c>
      <c r="D7" s="141"/>
    </row>
    <row r="8" spans="1:16" x14ac:dyDescent="0.25">
      <c r="A8" s="694" t="s">
        <v>521</v>
      </c>
      <c r="B8" s="688" t="s">
        <v>520</v>
      </c>
      <c r="C8" s="696">
        <v>0.05</v>
      </c>
      <c r="D8" s="141"/>
    </row>
    <row r="9" spans="1:16" x14ac:dyDescent="0.25">
      <c r="A9" s="694" t="s">
        <v>522</v>
      </c>
      <c r="B9" s="688" t="s">
        <v>520</v>
      </c>
      <c r="C9" s="696">
        <v>0.05</v>
      </c>
      <c r="D9" s="141"/>
    </row>
    <row r="10" spans="1:16" s="745" customFormat="1" x14ac:dyDescent="0.25">
      <c r="A10" s="766" t="s">
        <v>523</v>
      </c>
      <c r="B10" s="758" t="s">
        <v>520</v>
      </c>
      <c r="C10" s="767">
        <v>1.85</v>
      </c>
      <c r="D10" s="743"/>
      <c r="E10" s="743"/>
      <c r="H10" s="745" t="s">
        <v>1212</v>
      </c>
      <c r="P10" s="745" t="s">
        <v>1213</v>
      </c>
    </row>
    <row r="11" spans="1:16" x14ac:dyDescent="0.25">
      <c r="A11" s="694" t="s">
        <v>524</v>
      </c>
      <c r="B11" s="688" t="s">
        <v>525</v>
      </c>
      <c r="C11" s="1011">
        <v>5</v>
      </c>
      <c r="D11" s="141"/>
    </row>
    <row r="12" spans="1:16" x14ac:dyDescent="0.25">
      <c r="A12" s="694" t="s">
        <v>526</v>
      </c>
      <c r="B12" s="688" t="s">
        <v>525</v>
      </c>
      <c r="C12" s="1011">
        <v>10</v>
      </c>
      <c r="D12" s="1003"/>
      <c r="E12" s="993"/>
      <c r="F12"/>
      <c r="G12" s="745" t="s">
        <v>1086</v>
      </c>
      <c r="H12" s="1004">
        <f>+Equipo!J5</f>
        <v>1014980</v>
      </c>
      <c r="I12" s="1005">
        <v>8</v>
      </c>
      <c r="J12" s="1005">
        <f>ROUND(H12*I12,0)</f>
        <v>8119840</v>
      </c>
      <c r="K12" s="1006"/>
      <c r="L12" s="1005"/>
      <c r="M12" s="745">
        <f>ROUND(J12/10000,0)</f>
        <v>812</v>
      </c>
      <c r="N12" s="1005">
        <v>10000</v>
      </c>
      <c r="O12" s="1005">
        <f>+N12*M12</f>
        <v>8120000</v>
      </c>
      <c r="P12" s="1127">
        <f>+F29/30</f>
        <v>272001.24092409242</v>
      </c>
    </row>
    <row r="13" spans="1:16" x14ac:dyDescent="0.25">
      <c r="A13" s="694" t="s">
        <v>527</v>
      </c>
      <c r="B13" s="688" t="s">
        <v>525</v>
      </c>
      <c r="C13" s="1011">
        <v>35</v>
      </c>
      <c r="D13" s="1003"/>
      <c r="E13" s="993"/>
      <c r="F13"/>
      <c r="G13" s="745" t="s">
        <v>1087</v>
      </c>
      <c r="H13" s="1004">
        <f t="shared" ref="H13:H22" si="0">+H12</f>
        <v>1014980</v>
      </c>
      <c r="I13" s="1005">
        <v>6</v>
      </c>
      <c r="J13" s="1005">
        <f t="shared" ref="J13:J22" si="1">ROUND(H13*I13,0)</f>
        <v>6089880</v>
      </c>
      <c r="K13" s="1006"/>
      <c r="L13" s="1005"/>
      <c r="M13" s="745">
        <f t="shared" ref="M13:M22" si="2">ROUND(J13/10000,0)</f>
        <v>609</v>
      </c>
      <c r="N13" s="1005">
        <v>10000</v>
      </c>
      <c r="O13" s="1005">
        <f t="shared" ref="O13:O22" si="3">+N13*M13</f>
        <v>6090000</v>
      </c>
      <c r="P13" s="1127">
        <f t="shared" ref="P13:P16" si="4">+F30/30</f>
        <v>204000.9306930693</v>
      </c>
    </row>
    <row r="14" spans="1:16" x14ac:dyDescent="0.25">
      <c r="A14" s="697" t="s">
        <v>528</v>
      </c>
      <c r="B14" s="688" t="s">
        <v>525</v>
      </c>
      <c r="C14" s="1011">
        <v>38</v>
      </c>
      <c r="D14" s="1003"/>
      <c r="E14" s="993"/>
      <c r="F14"/>
      <c r="G14" s="745" t="s">
        <v>1088</v>
      </c>
      <c r="H14" s="1004">
        <f t="shared" si="0"/>
        <v>1014980</v>
      </c>
      <c r="I14" s="1005">
        <v>5</v>
      </c>
      <c r="J14" s="1005">
        <f t="shared" si="1"/>
        <v>5074900</v>
      </c>
      <c r="K14" s="1006"/>
      <c r="L14" s="1005"/>
      <c r="M14" s="745">
        <f t="shared" si="2"/>
        <v>507</v>
      </c>
      <c r="N14" s="1005">
        <v>10000</v>
      </c>
      <c r="O14" s="1005">
        <f t="shared" si="3"/>
        <v>5070000</v>
      </c>
      <c r="P14" s="1127">
        <f t="shared" si="4"/>
        <v>169833.28712871287</v>
      </c>
    </row>
    <row r="15" spans="1:16" x14ac:dyDescent="0.25">
      <c r="A15" s="697" t="s">
        <v>529</v>
      </c>
      <c r="B15" s="688" t="s">
        <v>525</v>
      </c>
      <c r="C15" s="1011">
        <f>C14</f>
        <v>38</v>
      </c>
      <c r="D15" s="1003"/>
      <c r="E15" s="993"/>
      <c r="F15"/>
      <c r="G15" s="745" t="s">
        <v>1089</v>
      </c>
      <c r="H15" s="1004">
        <f t="shared" si="0"/>
        <v>1014980</v>
      </c>
      <c r="I15" s="1005">
        <v>3</v>
      </c>
      <c r="J15" s="1005">
        <f t="shared" si="1"/>
        <v>3044940</v>
      </c>
      <c r="K15" s="1006"/>
      <c r="L15" s="1005"/>
      <c r="M15" s="745">
        <f t="shared" si="2"/>
        <v>304</v>
      </c>
      <c r="N15" s="1005">
        <v>10000</v>
      </c>
      <c r="O15" s="1005">
        <f t="shared" si="3"/>
        <v>3040000</v>
      </c>
      <c r="P15" s="1127">
        <f>+F32/30</f>
        <v>101832.97689768976</v>
      </c>
    </row>
    <row r="16" spans="1:16" x14ac:dyDescent="0.25">
      <c r="A16" s="697" t="s">
        <v>530</v>
      </c>
      <c r="B16" s="688" t="s">
        <v>525</v>
      </c>
      <c r="C16" s="1011">
        <f>C15</f>
        <v>38</v>
      </c>
      <c r="D16" s="1003"/>
      <c r="E16" s="993"/>
      <c r="F16"/>
      <c r="G16" s="745" t="s">
        <v>1090</v>
      </c>
      <c r="H16" s="1004">
        <f t="shared" si="0"/>
        <v>1014980</v>
      </c>
      <c r="I16" s="1005">
        <v>3</v>
      </c>
      <c r="J16" s="1005">
        <f t="shared" si="1"/>
        <v>3044940</v>
      </c>
      <c r="K16" s="1006"/>
      <c r="L16" s="1005"/>
      <c r="M16" s="745">
        <f t="shared" si="2"/>
        <v>304</v>
      </c>
      <c r="N16" s="1005">
        <v>10000</v>
      </c>
      <c r="O16" s="1005">
        <f t="shared" si="3"/>
        <v>3040000</v>
      </c>
      <c r="P16" s="1127">
        <f t="shared" si="4"/>
        <v>101832.97689768976</v>
      </c>
    </row>
    <row r="17" spans="1:17" x14ac:dyDescent="0.25">
      <c r="A17" s="697" t="s">
        <v>531</v>
      </c>
      <c r="B17" s="688" t="s">
        <v>525</v>
      </c>
      <c r="C17" s="1011">
        <v>50</v>
      </c>
      <c r="D17" s="1003"/>
      <c r="E17" s="993"/>
      <c r="F17"/>
      <c r="G17" s="745" t="s">
        <v>732</v>
      </c>
      <c r="H17" s="1004">
        <f t="shared" si="0"/>
        <v>1014980</v>
      </c>
      <c r="I17" s="1005">
        <v>2</v>
      </c>
      <c r="J17" s="1005">
        <f t="shared" si="1"/>
        <v>2029960</v>
      </c>
      <c r="K17" s="1006"/>
      <c r="L17" s="1005"/>
      <c r="M17" s="745">
        <f t="shared" si="2"/>
        <v>203</v>
      </c>
      <c r="N17" s="1005">
        <v>10000</v>
      </c>
      <c r="O17" s="1005">
        <f t="shared" si="3"/>
        <v>2030000</v>
      </c>
      <c r="P17" s="1127">
        <f>+F39/30</f>
        <v>93265</v>
      </c>
    </row>
    <row r="18" spans="1:17" x14ac:dyDescent="0.25">
      <c r="A18" s="694" t="s">
        <v>532</v>
      </c>
      <c r="B18" s="688" t="s">
        <v>533</v>
      </c>
      <c r="C18" s="1012">
        <f>ROUND(F18,0)</f>
        <v>42145</v>
      </c>
      <c r="D18" s="1007"/>
      <c r="E18" s="752">
        <v>72192</v>
      </c>
      <c r="F18">
        <f>+E18/$C$10*1.08</f>
        <v>42144.518918918919</v>
      </c>
      <c r="G18" s="745" t="s">
        <v>731</v>
      </c>
      <c r="H18" s="1004">
        <f t="shared" si="0"/>
        <v>1014980</v>
      </c>
      <c r="I18" s="1005">
        <v>2</v>
      </c>
      <c r="J18" s="1005">
        <f t="shared" si="1"/>
        <v>2029960</v>
      </c>
      <c r="K18" s="1006"/>
      <c r="L18" s="1005"/>
      <c r="M18" s="745">
        <f t="shared" si="2"/>
        <v>203</v>
      </c>
      <c r="N18" s="1005">
        <v>10000</v>
      </c>
      <c r="O18" s="1005">
        <f t="shared" si="3"/>
        <v>2030000</v>
      </c>
      <c r="P18" s="1127">
        <f>+F38/30</f>
        <v>68000.310231023104</v>
      </c>
    </row>
    <row r="19" spans="1:17" x14ac:dyDescent="0.25">
      <c r="A19" s="697" t="s">
        <v>534</v>
      </c>
      <c r="B19" s="688" t="s">
        <v>533</v>
      </c>
      <c r="C19" s="1012">
        <f t="shared" ref="C19:C27" si="5">ROUND(F19,0)</f>
        <v>98876</v>
      </c>
      <c r="D19" s="1007"/>
      <c r="E19" s="752">
        <v>169371</v>
      </c>
      <c r="F19">
        <f t="shared" ref="F19:F27" si="6">+E19/$C$10*1.08</f>
        <v>98876.043243243257</v>
      </c>
      <c r="G19" s="745" t="s">
        <v>733</v>
      </c>
      <c r="H19" s="1004">
        <f t="shared" si="0"/>
        <v>1014980</v>
      </c>
      <c r="I19" s="1005">
        <v>2</v>
      </c>
      <c r="J19" s="1005">
        <f t="shared" si="1"/>
        <v>2029960</v>
      </c>
      <c r="K19" s="1006"/>
      <c r="L19" s="1005"/>
      <c r="M19" s="745">
        <f t="shared" si="2"/>
        <v>203</v>
      </c>
      <c r="N19" s="1005">
        <v>10000</v>
      </c>
      <c r="O19" s="1005">
        <f t="shared" si="3"/>
        <v>2030000</v>
      </c>
      <c r="P19" s="1127">
        <f>+F40/30</f>
        <v>68000.310231023104</v>
      </c>
    </row>
    <row r="20" spans="1:17" s="745" customFormat="1" x14ac:dyDescent="0.25">
      <c r="A20" s="768" t="s">
        <v>618</v>
      </c>
      <c r="B20" s="758" t="s">
        <v>533</v>
      </c>
      <c r="C20" s="1012">
        <f t="shared" si="5"/>
        <v>77805</v>
      </c>
      <c r="D20" s="1007"/>
      <c r="E20" s="752">
        <v>133277</v>
      </c>
      <c r="F20">
        <f t="shared" si="6"/>
        <v>77804.951351351352</v>
      </c>
      <c r="G20" s="745" t="s">
        <v>1091</v>
      </c>
      <c r="H20" s="1004">
        <f t="shared" si="0"/>
        <v>1014980</v>
      </c>
      <c r="I20" s="1005">
        <v>2</v>
      </c>
      <c r="J20" s="1005">
        <f t="shared" si="1"/>
        <v>2029960</v>
      </c>
      <c r="K20" s="1006"/>
      <c r="L20" s="1005"/>
      <c r="M20" s="745">
        <f t="shared" si="2"/>
        <v>203</v>
      </c>
      <c r="N20" s="1005">
        <v>10000</v>
      </c>
      <c r="O20" s="1005">
        <f t="shared" si="3"/>
        <v>2030000</v>
      </c>
      <c r="P20" s="1127">
        <f>+F41/30</f>
        <v>68000.310231023104</v>
      </c>
    </row>
    <row r="21" spans="1:17" s="745" customFormat="1" x14ac:dyDescent="0.25">
      <c r="A21" s="766" t="s">
        <v>535</v>
      </c>
      <c r="B21" s="758" t="s">
        <v>533</v>
      </c>
      <c r="C21" s="1012">
        <f t="shared" si="5"/>
        <v>32419</v>
      </c>
      <c r="D21" s="1007"/>
      <c r="E21" s="752">
        <v>55532</v>
      </c>
      <c r="F21">
        <f t="shared" si="6"/>
        <v>32418.681081081082</v>
      </c>
      <c r="G21" s="745" t="s">
        <v>735</v>
      </c>
      <c r="H21" s="1004">
        <f t="shared" si="0"/>
        <v>1014980</v>
      </c>
      <c r="I21" s="1005">
        <v>1</v>
      </c>
      <c r="J21" s="1005">
        <f t="shared" si="1"/>
        <v>1014980</v>
      </c>
      <c r="K21" s="1006"/>
      <c r="L21" s="1005"/>
      <c r="M21" s="745">
        <f t="shared" si="2"/>
        <v>101</v>
      </c>
      <c r="N21" s="1005">
        <v>10000</v>
      </c>
      <c r="O21" s="1005">
        <f t="shared" si="3"/>
        <v>1010000</v>
      </c>
      <c r="P21" s="1127">
        <f>+F42/30</f>
        <v>33832.666666666664</v>
      </c>
    </row>
    <row r="22" spans="1:17" x14ac:dyDescent="0.25">
      <c r="A22" s="694" t="s">
        <v>536</v>
      </c>
      <c r="B22" s="688" t="s">
        <v>533</v>
      </c>
      <c r="C22" s="1012">
        <f t="shared" si="5"/>
        <v>64837</v>
      </c>
      <c r="D22" s="1007"/>
      <c r="E22" s="752">
        <v>111064</v>
      </c>
      <c r="F22">
        <f t="shared" si="6"/>
        <v>64837.362162162164</v>
      </c>
      <c r="G22" s="745" t="s">
        <v>736</v>
      </c>
      <c r="H22" s="1004">
        <f t="shared" si="0"/>
        <v>1014980</v>
      </c>
      <c r="I22" s="1005">
        <v>1</v>
      </c>
      <c r="J22" s="1005">
        <f t="shared" si="1"/>
        <v>1014980</v>
      </c>
      <c r="K22" s="1006"/>
      <c r="L22" s="1005"/>
      <c r="M22" s="745">
        <f t="shared" si="2"/>
        <v>101</v>
      </c>
      <c r="N22" s="1005">
        <v>10000</v>
      </c>
      <c r="O22" s="1005">
        <f t="shared" si="3"/>
        <v>1010000</v>
      </c>
      <c r="P22" s="1127">
        <f>+F43/30</f>
        <v>33832.666666666664</v>
      </c>
    </row>
    <row r="23" spans="1:17" x14ac:dyDescent="0.25">
      <c r="A23" s="687" t="s">
        <v>537</v>
      </c>
      <c r="B23" s="688" t="s">
        <v>533</v>
      </c>
      <c r="C23" s="1012">
        <f t="shared" si="5"/>
        <v>68394</v>
      </c>
      <c r="D23" s="1007"/>
      <c r="E23" s="752">
        <v>117156</v>
      </c>
      <c r="F23">
        <f t="shared" si="6"/>
        <v>68393.772972972976</v>
      </c>
      <c r="G23" s="745"/>
      <c r="H23" s="1005"/>
      <c r="I23" s="1005"/>
      <c r="J23" s="1005"/>
      <c r="K23" s="745"/>
      <c r="L23" s="745"/>
      <c r="M23" s="745"/>
      <c r="N23" s="1005"/>
      <c r="O23" s="1005"/>
    </row>
    <row r="24" spans="1:17" x14ac:dyDescent="0.25">
      <c r="A24" s="687" t="s">
        <v>538</v>
      </c>
      <c r="B24" s="688" t="s">
        <v>533</v>
      </c>
      <c r="C24" s="1012">
        <f t="shared" si="5"/>
        <v>31088</v>
      </c>
      <c r="D24" s="1007"/>
      <c r="E24" s="752">
        <v>53253</v>
      </c>
      <c r="F24">
        <f t="shared" si="6"/>
        <v>31088.237837837838</v>
      </c>
      <c r="G24" s="745"/>
      <c r="H24" s="1005"/>
      <c r="I24" s="1005"/>
      <c r="J24" s="1005"/>
      <c r="K24" s="745"/>
      <c r="L24" s="745"/>
      <c r="M24" s="745"/>
      <c r="N24" s="1005"/>
      <c r="O24" s="1005"/>
    </row>
    <row r="25" spans="1:17" x14ac:dyDescent="0.25">
      <c r="A25" s="687" t="s">
        <v>539</v>
      </c>
      <c r="B25" s="688" t="s">
        <v>533</v>
      </c>
      <c r="C25" s="1012">
        <f t="shared" si="5"/>
        <v>46632</v>
      </c>
      <c r="D25" s="1007"/>
      <c r="E25" s="752">
        <v>79879</v>
      </c>
      <c r="F25">
        <f t="shared" si="6"/>
        <v>46632.064864864864</v>
      </c>
      <c r="G25" s="745"/>
      <c r="H25" s="1005"/>
      <c r="I25" s="1005"/>
      <c r="J25" s="1005"/>
      <c r="K25" s="745"/>
      <c r="L25" s="745"/>
      <c r="M25" s="745"/>
      <c r="N25" s="1005"/>
      <c r="O25" s="1005"/>
    </row>
    <row r="26" spans="1:17" x14ac:dyDescent="0.25">
      <c r="A26" s="687" t="s">
        <v>540</v>
      </c>
      <c r="B26" s="688" t="s">
        <v>533</v>
      </c>
      <c r="C26" s="1012">
        <f t="shared" si="5"/>
        <v>62176</v>
      </c>
      <c r="D26" s="1007"/>
      <c r="E26" s="752">
        <v>106506</v>
      </c>
      <c r="F26">
        <f t="shared" si="6"/>
        <v>62176.475675675676</v>
      </c>
      <c r="G26" s="745"/>
      <c r="H26" s="1005"/>
      <c r="I26" s="1005"/>
      <c r="J26" s="1005"/>
      <c r="K26" s="745"/>
      <c r="L26" s="745"/>
      <c r="M26" s="745"/>
      <c r="N26" s="1005"/>
      <c r="O26" s="1005"/>
    </row>
    <row r="27" spans="1:17" x14ac:dyDescent="0.25">
      <c r="A27" s="687" t="s">
        <v>541</v>
      </c>
      <c r="B27" s="688" t="s">
        <v>533</v>
      </c>
      <c r="C27" s="1012">
        <f t="shared" si="5"/>
        <v>93265</v>
      </c>
      <c r="D27" s="1007"/>
      <c r="E27" s="752">
        <v>159759</v>
      </c>
      <c r="F27">
        <f t="shared" si="6"/>
        <v>93264.713513513518</v>
      </c>
      <c r="G27" s="1008">
        <f>+H12/30</f>
        <v>33832.666666666664</v>
      </c>
      <c r="H27" s="1005"/>
      <c r="I27" s="1005"/>
      <c r="J27" s="1005"/>
      <c r="K27" s="745"/>
      <c r="L27" s="745"/>
      <c r="M27" s="745"/>
      <c r="N27" s="1005"/>
      <c r="O27" s="1005"/>
    </row>
    <row r="28" spans="1:17" x14ac:dyDescent="0.25">
      <c r="A28" s="694"/>
      <c r="B28" s="688"/>
      <c r="C28" s="1012"/>
      <c r="D28" s="745"/>
      <c r="E28" s="745"/>
      <c r="F28"/>
      <c r="G28" s="745"/>
      <c r="H28" s="1005"/>
      <c r="I28" s="1005"/>
      <c r="J28" s="1005"/>
      <c r="K28" s="745"/>
      <c r="L28" s="745"/>
      <c r="M28" s="745"/>
      <c r="N28" s="1005"/>
      <c r="O28" s="1005"/>
    </row>
    <row r="29" spans="1:17" ht="12.75" x14ac:dyDescent="0.2">
      <c r="A29" s="694" t="s">
        <v>721</v>
      </c>
      <c r="B29" s="688" t="s">
        <v>722</v>
      </c>
      <c r="C29" s="1012">
        <f>ROUND(F29,0)</f>
        <v>8160037</v>
      </c>
      <c r="D29" s="1009">
        <f>+O12</f>
        <v>8120000</v>
      </c>
      <c r="E29" s="745">
        <f>+D29/$D$42</f>
        <v>8.0396039603960396</v>
      </c>
      <c r="F29" s="1005">
        <f>+E29*$G$27*30</f>
        <v>8160037.2277227724</v>
      </c>
      <c r="G29" s="745" t="s">
        <v>1086</v>
      </c>
      <c r="H29" s="1005">
        <v>6890000</v>
      </c>
      <c r="I29" s="1005"/>
      <c r="J29" s="1005"/>
      <c r="K29" s="745"/>
      <c r="L29" s="745"/>
      <c r="M29" s="745"/>
      <c r="N29" s="1005"/>
      <c r="O29" s="1005"/>
    </row>
    <row r="30" spans="1:17" ht="12.75" x14ac:dyDescent="0.2">
      <c r="A30" s="694" t="s">
        <v>723</v>
      </c>
      <c r="B30" s="688" t="s">
        <v>722</v>
      </c>
      <c r="C30" s="1012">
        <f t="shared" ref="C30:C46" si="7">ROUND(F30,0)</f>
        <v>6120028</v>
      </c>
      <c r="D30" s="1010">
        <f>+O13</f>
        <v>6090000</v>
      </c>
      <c r="E30" s="745">
        <f t="shared" ref="E30:E46" si="8">+D30/$D$42</f>
        <v>6.0297029702970297</v>
      </c>
      <c r="F30" s="1005">
        <f t="shared" ref="F30:F46" si="9">+E30*$G$27*30</f>
        <v>6120027.9207920786</v>
      </c>
      <c r="G30" s="745" t="s">
        <v>1087</v>
      </c>
      <c r="H30" s="1005">
        <v>4830000</v>
      </c>
      <c r="I30" s="1005"/>
      <c r="J30" s="1005"/>
      <c r="K30" s="745"/>
      <c r="L30" s="745"/>
      <c r="M30" s="745"/>
      <c r="N30" s="1005"/>
      <c r="O30" s="1005"/>
    </row>
    <row r="31" spans="1:17" ht="12.75" x14ac:dyDescent="0.2">
      <c r="A31" s="694" t="s">
        <v>724</v>
      </c>
      <c r="B31" s="688" t="s">
        <v>722</v>
      </c>
      <c r="C31" s="1012">
        <f t="shared" si="7"/>
        <v>5094999</v>
      </c>
      <c r="D31" s="1010">
        <f>+O14</f>
        <v>5070000</v>
      </c>
      <c r="E31" s="745">
        <f t="shared" si="8"/>
        <v>5.0198019801980198</v>
      </c>
      <c r="F31" s="1005">
        <f t="shared" si="9"/>
        <v>5094998.6138613857</v>
      </c>
      <c r="G31" s="745" t="s">
        <v>1088</v>
      </c>
      <c r="H31" s="1005">
        <v>3450000</v>
      </c>
      <c r="I31" s="1005"/>
      <c r="J31" s="1005"/>
      <c r="K31" s="745"/>
      <c r="L31" s="745"/>
      <c r="M31" s="745"/>
      <c r="N31" s="1005"/>
      <c r="O31" s="1005"/>
      <c r="Q31" s="243">
        <f>+F27</f>
        <v>93264.713513513518</v>
      </c>
    </row>
    <row r="32" spans="1:17" ht="12.75" x14ac:dyDescent="0.2">
      <c r="A32" s="694" t="s">
        <v>725</v>
      </c>
      <c r="B32" s="688" t="s">
        <v>722</v>
      </c>
      <c r="C32" s="1012">
        <f t="shared" si="7"/>
        <v>3054989</v>
      </c>
      <c r="D32" s="1010">
        <f>+O15</f>
        <v>3040000</v>
      </c>
      <c r="E32" s="745">
        <f t="shared" si="8"/>
        <v>3.0099009900990099</v>
      </c>
      <c r="F32" s="1005">
        <f t="shared" si="9"/>
        <v>3054989.3069306929</v>
      </c>
      <c r="G32" s="745" t="s">
        <v>1089</v>
      </c>
      <c r="H32" s="1005">
        <v>2070000</v>
      </c>
      <c r="I32" s="1005"/>
      <c r="J32" s="1005"/>
      <c r="K32" s="745"/>
      <c r="L32" s="745"/>
      <c r="M32" s="745"/>
      <c r="N32" s="1005"/>
      <c r="O32" s="1005"/>
      <c r="Q32" s="243">
        <f>+Q31*C10</f>
        <v>172539.72000000003</v>
      </c>
    </row>
    <row r="33" spans="1:15" ht="12.75" x14ac:dyDescent="0.2">
      <c r="A33" s="694" t="s">
        <v>726</v>
      </c>
      <c r="B33" s="688" t="s">
        <v>722</v>
      </c>
      <c r="C33" s="1012">
        <f t="shared" si="7"/>
        <v>3054989</v>
      </c>
      <c r="D33" s="1010">
        <f>+O16</f>
        <v>3040000</v>
      </c>
      <c r="E33" s="745">
        <f t="shared" si="8"/>
        <v>3.0099009900990099</v>
      </c>
      <c r="F33" s="1005">
        <f t="shared" si="9"/>
        <v>3054989.3069306929</v>
      </c>
      <c r="G33" s="745" t="s">
        <v>1090</v>
      </c>
      <c r="H33" s="1005">
        <v>2070000</v>
      </c>
      <c r="I33" s="1005"/>
      <c r="J33" s="1005"/>
      <c r="K33" s="745"/>
      <c r="L33" s="745"/>
      <c r="M33" s="745"/>
      <c r="N33" s="1005"/>
      <c r="O33" s="1005"/>
    </row>
    <row r="34" spans="1:15" ht="12.75" x14ac:dyDescent="0.2">
      <c r="A34" s="694" t="s">
        <v>727</v>
      </c>
      <c r="B34" s="688" t="s">
        <v>722</v>
      </c>
      <c r="C34" s="1012">
        <f t="shared" si="7"/>
        <v>6120028</v>
      </c>
      <c r="D34" s="1010">
        <f>+D30</f>
        <v>6090000</v>
      </c>
      <c r="E34" s="745">
        <f t="shared" si="8"/>
        <v>6.0297029702970297</v>
      </c>
      <c r="F34" s="1005">
        <f t="shared" si="9"/>
        <v>6120027.9207920786</v>
      </c>
      <c r="G34" s="745" t="s">
        <v>732</v>
      </c>
      <c r="H34" s="1005">
        <v>1380000</v>
      </c>
      <c r="I34" s="1005"/>
      <c r="J34" s="1005"/>
      <c r="K34" s="745"/>
      <c r="L34" s="745"/>
      <c r="M34" s="745"/>
      <c r="N34" s="1005"/>
      <c r="O34" s="1005"/>
    </row>
    <row r="35" spans="1:15" ht="12.75" x14ac:dyDescent="0.2">
      <c r="A35" s="694" t="s">
        <v>728</v>
      </c>
      <c r="B35" s="688" t="s">
        <v>722</v>
      </c>
      <c r="C35" s="1012">
        <f t="shared" si="7"/>
        <v>6120028</v>
      </c>
      <c r="D35" s="1010">
        <f>+D30</f>
        <v>6090000</v>
      </c>
      <c r="E35" s="745">
        <f t="shared" si="8"/>
        <v>6.0297029702970297</v>
      </c>
      <c r="F35" s="1005">
        <f t="shared" si="9"/>
        <v>6120027.9207920786</v>
      </c>
      <c r="G35" s="745" t="s">
        <v>731</v>
      </c>
      <c r="H35" s="1005">
        <v>1380000</v>
      </c>
      <c r="I35" s="1005"/>
      <c r="J35" s="1005"/>
      <c r="K35" s="745"/>
      <c r="L35" s="745"/>
      <c r="M35" s="745"/>
      <c r="N35" s="1005"/>
      <c r="O35" s="1005"/>
    </row>
    <row r="36" spans="1:15" ht="12.75" x14ac:dyDescent="0.2">
      <c r="A36" s="694" t="s">
        <v>729</v>
      </c>
      <c r="B36" s="688" t="s">
        <v>722</v>
      </c>
      <c r="C36" s="1012">
        <f t="shared" si="7"/>
        <v>4853815</v>
      </c>
      <c r="D36" s="1010">
        <v>4830000</v>
      </c>
      <c r="E36" s="745">
        <f t="shared" si="8"/>
        <v>4.782178217821782</v>
      </c>
      <c r="F36" s="1005">
        <f t="shared" si="9"/>
        <v>4853815.2475247514</v>
      </c>
      <c r="G36" s="745"/>
      <c r="H36" s="1005"/>
      <c r="I36" s="1005"/>
      <c r="J36" s="1005"/>
      <c r="K36" s="745"/>
      <c r="L36" s="745"/>
      <c r="M36" s="745"/>
      <c r="N36" s="1005"/>
      <c r="O36" s="1005"/>
    </row>
    <row r="37" spans="1:15" ht="12.75" x14ac:dyDescent="0.2">
      <c r="A37" s="694" t="s">
        <v>730</v>
      </c>
      <c r="B37" s="688" t="s">
        <v>722</v>
      </c>
      <c r="C37" s="1012">
        <f t="shared" si="7"/>
        <v>3054989</v>
      </c>
      <c r="D37" s="1010">
        <f>+D32</f>
        <v>3040000</v>
      </c>
      <c r="E37" s="745">
        <f t="shared" si="8"/>
        <v>3.0099009900990099</v>
      </c>
      <c r="F37" s="1005">
        <f t="shared" si="9"/>
        <v>3054989.3069306929</v>
      </c>
      <c r="G37" s="745"/>
      <c r="H37" s="1005"/>
      <c r="I37" s="1005"/>
      <c r="J37" s="1005"/>
      <c r="K37" s="745"/>
      <c r="L37" s="745"/>
      <c r="M37" s="745"/>
      <c r="N37" s="1005"/>
      <c r="O37" s="1005"/>
    </row>
    <row r="38" spans="1:15" ht="12.75" x14ac:dyDescent="0.2">
      <c r="A38" s="694" t="s">
        <v>731</v>
      </c>
      <c r="B38" s="688" t="s">
        <v>722</v>
      </c>
      <c r="C38" s="1012">
        <f t="shared" si="7"/>
        <v>2040009</v>
      </c>
      <c r="D38" s="1010">
        <f>+O18</f>
        <v>2030000</v>
      </c>
      <c r="E38" s="745">
        <f t="shared" si="8"/>
        <v>2.0099009900990099</v>
      </c>
      <c r="F38" s="1005">
        <f t="shared" si="9"/>
        <v>2040009.3069306931</v>
      </c>
      <c r="G38" s="745" t="s">
        <v>733</v>
      </c>
      <c r="H38" s="1005">
        <v>1380000</v>
      </c>
      <c r="I38" s="1005"/>
      <c r="J38" s="1005"/>
      <c r="K38" s="745"/>
      <c r="L38" s="745"/>
      <c r="M38" s="745"/>
      <c r="N38" s="1005"/>
      <c r="O38" s="1005"/>
    </row>
    <row r="39" spans="1:15" ht="12.75" x14ac:dyDescent="0.2">
      <c r="A39" s="694" t="s">
        <v>732</v>
      </c>
      <c r="B39" s="688" t="s">
        <v>722</v>
      </c>
      <c r="C39" s="1012">
        <f t="shared" si="7"/>
        <v>2797950</v>
      </c>
      <c r="D39" s="1010">
        <f>+C27*30</f>
        <v>2797950</v>
      </c>
      <c r="E39" s="745"/>
      <c r="F39" s="1005">
        <f>+D39</f>
        <v>2797950</v>
      </c>
      <c r="G39" s="745" t="s">
        <v>1091</v>
      </c>
      <c r="H39" s="1005">
        <v>1380000</v>
      </c>
      <c r="I39" s="1005"/>
      <c r="J39" s="1005"/>
      <c r="K39" s="745"/>
      <c r="L39" s="745"/>
      <c r="M39" s="745"/>
      <c r="N39" s="1005"/>
      <c r="O39" s="1005"/>
    </row>
    <row r="40" spans="1:15" ht="12.75" x14ac:dyDescent="0.2">
      <c r="A40" s="694" t="s">
        <v>733</v>
      </c>
      <c r="B40" s="688" t="s">
        <v>722</v>
      </c>
      <c r="C40" s="1012">
        <f t="shared" si="7"/>
        <v>2040009</v>
      </c>
      <c r="D40" s="1010">
        <f>+O19</f>
        <v>2030000</v>
      </c>
      <c r="E40" s="745">
        <f t="shared" si="8"/>
        <v>2.0099009900990099</v>
      </c>
      <c r="F40" s="1005">
        <f t="shared" si="9"/>
        <v>2040009.3069306931</v>
      </c>
      <c r="G40" s="745" t="s">
        <v>735</v>
      </c>
      <c r="H40" s="1005">
        <v>690000</v>
      </c>
      <c r="I40" s="1005"/>
      <c r="J40" s="1005"/>
      <c r="K40" s="745"/>
      <c r="L40" s="745"/>
      <c r="M40" s="745"/>
      <c r="N40" s="1005"/>
      <c r="O40" s="1005"/>
    </row>
    <row r="41" spans="1:15" ht="12.75" x14ac:dyDescent="0.2">
      <c r="A41" s="694" t="s">
        <v>734</v>
      </c>
      <c r="B41" s="688" t="s">
        <v>722</v>
      </c>
      <c r="C41" s="1012">
        <f t="shared" si="7"/>
        <v>2040009</v>
      </c>
      <c r="D41" s="1010">
        <f>+O20</f>
        <v>2030000</v>
      </c>
      <c r="E41" s="745">
        <f t="shared" si="8"/>
        <v>2.0099009900990099</v>
      </c>
      <c r="F41" s="1005">
        <f t="shared" si="9"/>
        <v>2040009.3069306931</v>
      </c>
      <c r="G41" s="745" t="s">
        <v>736</v>
      </c>
      <c r="H41" s="1005">
        <v>690000</v>
      </c>
      <c r="I41" s="1005"/>
      <c r="J41" s="1005"/>
      <c r="K41" s="745"/>
      <c r="L41" s="745"/>
      <c r="M41" s="745"/>
      <c r="N41" s="1005"/>
      <c r="O41" s="1005"/>
    </row>
    <row r="42" spans="1:15" ht="12.75" x14ac:dyDescent="0.2">
      <c r="A42" s="694" t="s">
        <v>735</v>
      </c>
      <c r="B42" s="688" t="s">
        <v>722</v>
      </c>
      <c r="C42" s="1012">
        <f t="shared" si="7"/>
        <v>1014980</v>
      </c>
      <c r="D42" s="1010">
        <f>+O21</f>
        <v>1010000</v>
      </c>
      <c r="E42" s="745">
        <f t="shared" si="8"/>
        <v>1</v>
      </c>
      <c r="F42" s="1005">
        <f t="shared" si="9"/>
        <v>1014979.9999999999</v>
      </c>
      <c r="G42" s="745"/>
      <c r="H42" s="1005"/>
      <c r="I42" s="1005"/>
      <c r="J42" s="1005"/>
      <c r="K42" s="745"/>
      <c r="L42" s="745"/>
      <c r="M42" s="745"/>
      <c r="N42" s="1005"/>
      <c r="O42" s="1005"/>
    </row>
    <row r="43" spans="1:15" ht="12.75" x14ac:dyDescent="0.2">
      <c r="A43" s="694" t="s">
        <v>736</v>
      </c>
      <c r="B43" s="688" t="s">
        <v>722</v>
      </c>
      <c r="C43" s="1012">
        <f t="shared" si="7"/>
        <v>1014980</v>
      </c>
      <c r="D43" s="1010">
        <f>+O22</f>
        <v>1010000</v>
      </c>
      <c r="E43" s="745">
        <f t="shared" si="8"/>
        <v>1</v>
      </c>
      <c r="F43" s="1005">
        <f t="shared" si="9"/>
        <v>1014979.9999999999</v>
      </c>
      <c r="G43" s="745"/>
      <c r="H43" s="1005"/>
      <c r="I43" s="1005"/>
      <c r="J43" s="1005"/>
      <c r="K43" s="745"/>
      <c r="L43" s="745"/>
      <c r="M43" s="745"/>
      <c r="N43" s="1005"/>
      <c r="O43" s="1005"/>
    </row>
    <row r="44" spans="1:15" ht="12.75" x14ac:dyDescent="0.2">
      <c r="A44" s="694" t="s">
        <v>737</v>
      </c>
      <c r="B44" s="688" t="s">
        <v>722</v>
      </c>
      <c r="C44" s="1012">
        <f t="shared" si="7"/>
        <v>3467011</v>
      </c>
      <c r="D44" s="1010">
        <v>3450000</v>
      </c>
      <c r="E44" s="745">
        <f t="shared" si="8"/>
        <v>3.4158415841584158</v>
      </c>
      <c r="F44" s="1005">
        <f t="shared" si="9"/>
        <v>3467010.8910891088</v>
      </c>
      <c r="G44" s="745"/>
      <c r="H44" s="1005"/>
      <c r="I44" s="1005"/>
      <c r="J44" s="1005"/>
      <c r="K44" s="745"/>
      <c r="L44" s="745"/>
      <c r="M44" s="745"/>
      <c r="N44" s="1005"/>
      <c r="O44" s="1005"/>
    </row>
    <row r="45" spans="1:15" ht="12.75" x14ac:dyDescent="0.2">
      <c r="A45" s="694" t="s">
        <v>532</v>
      </c>
      <c r="B45" s="688" t="s">
        <v>722</v>
      </c>
      <c r="C45" s="1012">
        <f>ROUND(F45,0)</f>
        <v>1264350</v>
      </c>
      <c r="D45" s="1010">
        <f>+C18*30</f>
        <v>1264350</v>
      </c>
      <c r="E45" s="745"/>
      <c r="F45" s="1005">
        <f>+D45</f>
        <v>1264350</v>
      </c>
      <c r="G45" s="745"/>
      <c r="H45" s="1005"/>
      <c r="I45" s="1005"/>
      <c r="J45" s="1005"/>
      <c r="K45" s="745"/>
      <c r="L45" s="745"/>
      <c r="M45" s="745"/>
      <c r="N45" s="1005"/>
      <c r="O45" s="1005"/>
    </row>
    <row r="46" spans="1:15" ht="12.75" x14ac:dyDescent="0.2">
      <c r="A46" s="694" t="s">
        <v>706</v>
      </c>
      <c r="B46" s="688" t="s">
        <v>722</v>
      </c>
      <c r="C46" s="1012">
        <f t="shared" si="7"/>
        <v>954684</v>
      </c>
      <c r="D46" s="1010">
        <v>950000</v>
      </c>
      <c r="E46" s="745">
        <f t="shared" si="8"/>
        <v>0.94059405940594054</v>
      </c>
      <c r="F46" s="1005">
        <f t="shared" si="9"/>
        <v>954684.15841584152</v>
      </c>
      <c r="G46" s="745"/>
      <c r="H46" s="1005"/>
      <c r="I46" s="1005"/>
      <c r="J46" s="1005"/>
      <c r="K46" s="745"/>
      <c r="L46" s="745"/>
      <c r="M46" s="745"/>
      <c r="N46" s="1005"/>
      <c r="O46" s="1005"/>
    </row>
    <row r="49" spans="1:3" hidden="1" x14ac:dyDescent="0.25"/>
    <row r="50" spans="1:3" hidden="1" x14ac:dyDescent="0.25">
      <c r="A50" s="1367" t="str">
        <f>+'Presup '!F118</f>
        <v xml:space="preserve">ING. MIGUEL ANTONIO VILLACRES MARTINEZ. </v>
      </c>
      <c r="B50" s="1368"/>
      <c r="C50" s="1368"/>
    </row>
    <row r="51" spans="1:3" hidden="1" x14ac:dyDescent="0.25">
      <c r="A51" s="1367" t="str">
        <f>+'Presup '!F119</f>
        <v>M.P. 52202-090508 NRÑ</v>
      </c>
      <c r="B51" s="1368"/>
      <c r="C51" s="1368"/>
    </row>
    <row r="52" spans="1:3" x14ac:dyDescent="0.25">
      <c r="A52" s="1369"/>
      <c r="B52" s="1369"/>
      <c r="C52" s="1369"/>
    </row>
    <row r="53" spans="1:3" x14ac:dyDescent="0.25">
      <c r="A53" s="1369"/>
      <c r="B53" s="1369"/>
      <c r="C53" s="1369"/>
    </row>
  </sheetData>
  <mergeCells count="10">
    <mergeCell ref="A50:C50"/>
    <mergeCell ref="A51:C51"/>
    <mergeCell ref="A52:C52"/>
    <mergeCell ref="A53:C53"/>
    <mergeCell ref="A1:C1"/>
    <mergeCell ref="A2:C2"/>
    <mergeCell ref="A3:C3"/>
    <mergeCell ref="A4:C4"/>
    <mergeCell ref="A5:C5"/>
    <mergeCell ref="A6:C6"/>
  </mergeCells>
  <printOptions horizontalCentered="1"/>
  <pageMargins left="1.3779527559055118" right="1.1811023622047245" top="1.3385826771653544" bottom="1.1417322834645669" header="0.31496062992125984" footer="0.31496062992125984"/>
  <pageSetup paperSize="125" scale="8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M66"/>
  <sheetViews>
    <sheetView view="pageBreakPreview" topLeftCell="A40" zoomScale="85" zoomScaleNormal="70" zoomScaleSheetLayoutView="85" workbookViewId="0">
      <selection activeCell="B61" sqref="B61"/>
    </sheetView>
  </sheetViews>
  <sheetFormatPr baseColWidth="10" defaultRowHeight="15" x14ac:dyDescent="0.25"/>
  <cols>
    <col min="1" max="3" width="8.140625" customWidth="1"/>
    <col min="4" max="4" width="12.5703125" customWidth="1"/>
    <col min="5" max="5" width="20.42578125" hidden="1" customWidth="1"/>
    <col min="6" max="6" width="4.7109375" customWidth="1"/>
    <col min="7" max="8" width="7.28515625" customWidth="1"/>
    <col min="9" max="32" width="9.85546875" customWidth="1"/>
    <col min="33" max="34" width="7.7109375" customWidth="1"/>
    <col min="35" max="35" width="11.7109375" customWidth="1"/>
    <col min="38" max="38" width="12.42578125" customWidth="1"/>
  </cols>
  <sheetData>
    <row r="1" spans="1:39" x14ac:dyDescent="0.25">
      <c r="A1" s="1376" t="str">
        <f>+'Presup '!B1</f>
        <v>REPUBLICA DE COLOMBIA</v>
      </c>
      <c r="B1" s="1387"/>
      <c r="C1" s="1387"/>
      <c r="D1" s="1387"/>
      <c r="E1" s="1387"/>
      <c r="F1" s="1387"/>
      <c r="G1" s="663"/>
      <c r="H1" s="663"/>
    </row>
    <row r="2" spans="1:39" x14ac:dyDescent="0.25">
      <c r="A2" s="1376" t="str">
        <f>+'Presup '!B2</f>
        <v>DEPARTAMENTO DE NARIÑO</v>
      </c>
      <c r="B2" s="1387"/>
      <c r="C2" s="1387"/>
      <c r="D2" s="1387"/>
      <c r="E2" s="1387"/>
      <c r="F2" s="1387"/>
      <c r="G2" s="663"/>
      <c r="H2" s="663"/>
    </row>
    <row r="3" spans="1:39" x14ac:dyDescent="0.25">
      <c r="A3" s="1376" t="str">
        <f>+'Presup '!B3</f>
        <v>ALCALDÍA MUNICIPAL DE SAN LORENZO</v>
      </c>
      <c r="B3" s="1387"/>
      <c r="C3" s="1387"/>
      <c r="D3" s="1387"/>
      <c r="E3" s="1387"/>
      <c r="F3" s="1387"/>
      <c r="G3" s="663"/>
      <c r="H3" s="663"/>
    </row>
    <row r="4" spans="1:39" ht="3" customHeight="1" x14ac:dyDescent="0.25">
      <c r="A4" s="1376"/>
      <c r="B4" s="1387"/>
      <c r="C4" s="1387"/>
      <c r="D4" s="1387"/>
      <c r="E4" s="1387"/>
      <c r="F4" s="1387"/>
      <c r="G4" s="663"/>
      <c r="H4" s="663"/>
    </row>
    <row r="5" spans="1:39" ht="27" customHeight="1" x14ac:dyDescent="0.25">
      <c r="A5" s="1389" t="str">
        <f>+'Presup '!B5</f>
        <v>MEJORAMIENTO VÍA LA LAGUNA, SALINAS, LOS OLIVOS</v>
      </c>
      <c r="B5" s="1390"/>
      <c r="C5" s="1390"/>
      <c r="D5" s="1390"/>
      <c r="E5" s="1390"/>
      <c r="F5" s="1390"/>
      <c r="G5" s="664"/>
      <c r="H5" s="664"/>
    </row>
    <row r="6" spans="1:39" ht="6" customHeight="1" x14ac:dyDescent="0.25">
      <c r="A6" s="1376"/>
      <c r="B6" s="1387"/>
      <c r="C6" s="1387"/>
      <c r="D6" s="1387"/>
      <c r="E6" s="1387"/>
      <c r="F6" s="1387"/>
      <c r="G6" s="663"/>
      <c r="H6" s="663"/>
    </row>
    <row r="7" spans="1:39" x14ac:dyDescent="0.25">
      <c r="A7" s="1376"/>
      <c r="B7" s="1387"/>
      <c r="C7" s="1387"/>
      <c r="D7" s="1387"/>
      <c r="E7" s="1387"/>
      <c r="F7" s="1387"/>
      <c r="G7" s="663"/>
      <c r="H7" s="663"/>
    </row>
    <row r="8" spans="1:39" ht="4.5" customHeight="1" x14ac:dyDescent="0.25">
      <c r="A8" s="1376"/>
      <c r="B8" s="1387"/>
      <c r="C8" s="1387"/>
      <c r="D8" s="1387"/>
      <c r="E8" s="1387"/>
      <c r="F8" s="1387"/>
      <c r="G8" s="663"/>
      <c r="H8" s="663"/>
    </row>
    <row r="9" spans="1:39" x14ac:dyDescent="0.25">
      <c r="A9" s="1376" t="s">
        <v>792</v>
      </c>
      <c r="B9" s="1387"/>
      <c r="C9" s="1387"/>
      <c r="D9" s="1387"/>
      <c r="E9" s="1387"/>
      <c r="F9" s="1387"/>
      <c r="G9" s="663"/>
      <c r="H9" s="663"/>
    </row>
    <row r="10" spans="1:39" ht="3" customHeight="1" x14ac:dyDescent="0.25"/>
    <row r="11" spans="1:39" ht="28.5" x14ac:dyDescent="0.25">
      <c r="A11" s="1385" t="s">
        <v>1108</v>
      </c>
      <c r="B11" s="1385"/>
      <c r="C11" s="1385"/>
      <c r="D11" s="1385"/>
      <c r="E11" s="1385" t="s">
        <v>772</v>
      </c>
      <c r="F11" s="1386" t="s">
        <v>773</v>
      </c>
      <c r="G11" s="668" t="s">
        <v>846</v>
      </c>
      <c r="H11" s="668" t="s">
        <v>847</v>
      </c>
      <c r="I11" s="1382" t="s">
        <v>848</v>
      </c>
      <c r="J11" s="1383"/>
      <c r="K11" s="1383"/>
      <c r="L11" s="1384"/>
      <c r="M11" s="1382" t="s">
        <v>849</v>
      </c>
      <c r="N11" s="1383"/>
      <c r="O11" s="1383"/>
      <c r="P11" s="1384"/>
      <c r="Q11" s="1382" t="s">
        <v>867</v>
      </c>
      <c r="R11" s="1383"/>
      <c r="S11" s="1383"/>
      <c r="T11" s="1384"/>
      <c r="U11" s="1382" t="s">
        <v>868</v>
      </c>
      <c r="V11" s="1383"/>
      <c r="W11" s="1383"/>
      <c r="X11" s="1384"/>
      <c r="Y11" s="1382" t="s">
        <v>869</v>
      </c>
      <c r="Z11" s="1383"/>
      <c r="AA11" s="1383"/>
      <c r="AB11" s="1384"/>
      <c r="AC11" s="1382" t="s">
        <v>870</v>
      </c>
      <c r="AD11" s="1383"/>
      <c r="AE11" s="1383"/>
      <c r="AF11" s="1384"/>
      <c r="AG11" s="668" t="s">
        <v>1059</v>
      </c>
      <c r="AH11" s="1001" t="s">
        <v>1060</v>
      </c>
      <c r="AI11" t="s">
        <v>845</v>
      </c>
    </row>
    <row r="12" spans="1:39" ht="38.25" customHeight="1" x14ac:dyDescent="0.25">
      <c r="A12" s="1385"/>
      <c r="B12" s="1385"/>
      <c r="C12" s="1385"/>
      <c r="D12" s="1385"/>
      <c r="E12" s="1385"/>
      <c r="F12" s="1386"/>
      <c r="G12" s="669"/>
      <c r="H12" s="669"/>
      <c r="I12" s="478" t="s">
        <v>829</v>
      </c>
      <c r="J12" s="478" t="s">
        <v>830</v>
      </c>
      <c r="K12" s="975" t="s">
        <v>831</v>
      </c>
      <c r="L12" s="975" t="s">
        <v>832</v>
      </c>
      <c r="M12" s="975" t="s">
        <v>833</v>
      </c>
      <c r="N12" s="975" t="s">
        <v>834</v>
      </c>
      <c r="O12" s="975" t="s">
        <v>835</v>
      </c>
      <c r="P12" s="975" t="s">
        <v>836</v>
      </c>
      <c r="Q12" s="975" t="s">
        <v>837</v>
      </c>
      <c r="R12" s="975" t="s">
        <v>838</v>
      </c>
      <c r="S12" s="975" t="s">
        <v>839</v>
      </c>
      <c r="T12" s="975" t="s">
        <v>840</v>
      </c>
      <c r="U12" s="975" t="s">
        <v>841</v>
      </c>
      <c r="V12" s="975" t="s">
        <v>842</v>
      </c>
      <c r="W12" s="975" t="s">
        <v>843</v>
      </c>
      <c r="X12" s="975" t="s">
        <v>844</v>
      </c>
      <c r="Y12" s="975" t="s">
        <v>1063</v>
      </c>
      <c r="Z12" s="975" t="s">
        <v>1064</v>
      </c>
      <c r="AA12" s="975" t="s">
        <v>1065</v>
      </c>
      <c r="AB12" s="975" t="s">
        <v>1066</v>
      </c>
      <c r="AC12" s="975" t="s">
        <v>1067</v>
      </c>
      <c r="AD12" s="975" t="s">
        <v>1068</v>
      </c>
      <c r="AE12" s="1140" t="s">
        <v>1069</v>
      </c>
      <c r="AF12" s="1140" t="s">
        <v>1070</v>
      </c>
      <c r="AG12" s="669"/>
      <c r="AH12" s="1001"/>
      <c r="AI12">
        <v>24</v>
      </c>
      <c r="AL12" s="511"/>
    </row>
    <row r="13" spans="1:39" ht="6.75" customHeight="1" x14ac:dyDescent="0.25">
      <c r="A13" s="1388"/>
      <c r="B13" s="1388"/>
      <c r="C13" s="1388"/>
      <c r="D13" s="1388"/>
      <c r="E13" s="480"/>
      <c r="F13" s="1122"/>
      <c r="G13" s="481"/>
      <c r="H13" s="481"/>
      <c r="I13" s="567"/>
      <c r="J13" s="567"/>
      <c r="K13" s="567"/>
      <c r="L13" s="567"/>
      <c r="M13" s="974"/>
      <c r="N13" s="974"/>
      <c r="O13" s="974"/>
      <c r="P13" s="974"/>
      <c r="Q13" s="567"/>
      <c r="R13" s="567"/>
      <c r="S13" s="567"/>
      <c r="T13" s="567"/>
      <c r="U13" s="974"/>
      <c r="V13" s="974"/>
      <c r="W13" s="974"/>
      <c r="X13" s="974"/>
      <c r="Y13" s="974"/>
      <c r="Z13" s="974"/>
      <c r="AA13" s="974"/>
      <c r="AB13" s="974"/>
      <c r="AC13" s="482"/>
      <c r="AD13" s="482"/>
      <c r="AE13" s="482"/>
      <c r="AF13" s="482"/>
      <c r="AG13" s="481"/>
      <c r="AH13" s="481"/>
      <c r="AL13" s="511"/>
    </row>
    <row r="14" spans="1:39" x14ac:dyDescent="0.25">
      <c r="A14" s="1378" t="str">
        <f>+P.Detall!E12</f>
        <v>No.1. EXPLANACIÓN</v>
      </c>
      <c r="B14" s="1378"/>
      <c r="C14" s="1378"/>
      <c r="D14" s="1378"/>
      <c r="E14" s="1379">
        <f>+'Presup '!I24</f>
        <v>54623901</v>
      </c>
      <c r="F14" s="1380" t="e">
        <f>+E14/$E$45</f>
        <v>#REF!</v>
      </c>
      <c r="G14" s="977"/>
      <c r="H14" s="977"/>
      <c r="I14" s="678"/>
      <c r="J14" s="678"/>
      <c r="K14" s="979"/>
      <c r="L14" s="979"/>
      <c r="M14" s="979"/>
      <c r="N14" s="979"/>
      <c r="O14" s="979"/>
      <c r="P14" s="979"/>
      <c r="Q14" s="979"/>
      <c r="R14" s="979"/>
      <c r="S14" s="979"/>
      <c r="T14" s="979"/>
      <c r="U14" s="979"/>
      <c r="V14" s="979"/>
      <c r="W14" s="678"/>
      <c r="X14" s="678"/>
      <c r="Y14" s="678"/>
      <c r="Z14" s="678"/>
      <c r="AA14" s="678"/>
      <c r="AB14" s="678"/>
      <c r="AC14" s="678"/>
      <c r="AD14" s="678"/>
      <c r="AE14" s="676"/>
      <c r="AF14" s="676"/>
      <c r="AG14" s="676"/>
      <c r="AH14" s="676"/>
      <c r="AL14" s="511"/>
    </row>
    <row r="15" spans="1:39" hidden="1" x14ac:dyDescent="0.25">
      <c r="A15" s="1378"/>
      <c r="B15" s="1378"/>
      <c r="C15" s="1378"/>
      <c r="D15" s="1378"/>
      <c r="E15" s="1379"/>
      <c r="F15" s="1380"/>
      <c r="G15" s="977"/>
      <c r="H15" s="977"/>
      <c r="I15" s="678"/>
      <c r="J15" s="678"/>
      <c r="K15" s="678">
        <f>+'%'!$E2</f>
        <v>9.0527691919021136E-4</v>
      </c>
      <c r="L15" s="678">
        <f>+'%'!$E3</f>
        <v>1.8105538383804227E-3</v>
      </c>
      <c r="M15" s="678">
        <f>+'%'!$E4</f>
        <v>2.7158307575706341E-3</v>
      </c>
      <c r="N15" s="678">
        <f>+'%'!$E5</f>
        <v>3.6211076767608454E-3</v>
      </c>
      <c r="O15" s="678">
        <f>+'%'!$E6</f>
        <v>4.5263845959510572E-3</v>
      </c>
      <c r="P15" s="678">
        <f>+'%'!$E7</f>
        <v>5.431661515141269E-3</v>
      </c>
      <c r="Q15" s="678">
        <f>+'%'!$E8</f>
        <v>6.3369384343314808E-3</v>
      </c>
      <c r="R15" s="678">
        <f>+'%'!$E9</f>
        <v>7.2422153535216926E-3</v>
      </c>
      <c r="S15" s="678">
        <f>+'%'!$E10</f>
        <v>8.1474922727119044E-3</v>
      </c>
      <c r="T15" s="678">
        <f>+'%'!$E11</f>
        <v>9.0527691919021162E-3</v>
      </c>
      <c r="U15" s="678">
        <f>+'%'!$E12</f>
        <v>9.958046111092328E-3</v>
      </c>
      <c r="V15" s="678">
        <f>+'%'!$E13</f>
        <v>1.086332303028254E-2</v>
      </c>
      <c r="W15" s="678"/>
      <c r="X15" s="678"/>
      <c r="Y15" s="678"/>
      <c r="Z15" s="678"/>
      <c r="AA15" s="678"/>
      <c r="AB15" s="678"/>
      <c r="AC15" s="678"/>
      <c r="AD15" s="678"/>
      <c r="AE15" s="980"/>
      <c r="AF15" s="980"/>
      <c r="AG15" s="676"/>
      <c r="AH15" s="676"/>
      <c r="AI15" s="511"/>
      <c r="AJ15" s="514"/>
      <c r="AL15" s="511"/>
    </row>
    <row r="16" spans="1:39" hidden="1" x14ac:dyDescent="0.25">
      <c r="A16" s="1378"/>
      <c r="B16" s="1378"/>
      <c r="C16" s="1378"/>
      <c r="D16" s="1378"/>
      <c r="E16" s="1379"/>
      <c r="F16" s="1380"/>
      <c r="G16" s="977"/>
      <c r="H16" s="977"/>
      <c r="I16" s="981"/>
      <c r="J16" s="981"/>
      <c r="K16" s="982" t="e">
        <f t="shared" ref="K16:V16" si="0">+K15*$E$45</f>
        <v>#REF!</v>
      </c>
      <c r="L16" s="982" t="e">
        <f t="shared" si="0"/>
        <v>#REF!</v>
      </c>
      <c r="M16" s="982" t="e">
        <f t="shared" si="0"/>
        <v>#REF!</v>
      </c>
      <c r="N16" s="982" t="e">
        <f t="shared" si="0"/>
        <v>#REF!</v>
      </c>
      <c r="O16" s="982" t="e">
        <f t="shared" si="0"/>
        <v>#REF!</v>
      </c>
      <c r="P16" s="982" t="e">
        <f t="shared" si="0"/>
        <v>#REF!</v>
      </c>
      <c r="Q16" s="982" t="e">
        <f t="shared" si="0"/>
        <v>#REF!</v>
      </c>
      <c r="R16" s="982" t="e">
        <f t="shared" si="0"/>
        <v>#REF!</v>
      </c>
      <c r="S16" s="982" t="e">
        <f t="shared" si="0"/>
        <v>#REF!</v>
      </c>
      <c r="T16" s="982" t="e">
        <f t="shared" si="0"/>
        <v>#REF!</v>
      </c>
      <c r="U16" s="982" t="e">
        <f t="shared" si="0"/>
        <v>#REF!</v>
      </c>
      <c r="V16" s="982" t="e">
        <f t="shared" si="0"/>
        <v>#REF!</v>
      </c>
      <c r="W16" s="982"/>
      <c r="X16" s="982"/>
      <c r="Y16" s="982"/>
      <c r="Z16" s="982"/>
      <c r="AA16" s="982"/>
      <c r="AB16" s="982"/>
      <c r="AC16" s="982"/>
      <c r="AD16" s="982"/>
      <c r="AE16" s="676"/>
      <c r="AF16" s="676"/>
      <c r="AG16" s="676"/>
      <c r="AH16" s="676"/>
      <c r="AJ16" s="514"/>
      <c r="AL16" s="511"/>
      <c r="AM16" s="511"/>
    </row>
    <row r="17" spans="1:39" x14ac:dyDescent="0.25">
      <c r="A17" s="1378" t="str">
        <f>+P.Detall!E26</f>
        <v xml:space="preserve">No.2. AFIRMADO Y SUBBASE  </v>
      </c>
      <c r="B17" s="1378"/>
      <c r="C17" s="1378"/>
      <c r="D17" s="1378"/>
      <c r="E17" s="1379">
        <f>+'Presup '!I30</f>
        <v>78303375</v>
      </c>
      <c r="F17" s="1380" t="e">
        <f>+E17/$E$45</f>
        <v>#REF!</v>
      </c>
      <c r="G17" s="977"/>
      <c r="H17" s="977"/>
      <c r="I17" s="678"/>
      <c r="J17" s="678"/>
      <c r="K17" s="983"/>
      <c r="L17" s="983"/>
      <c r="M17" s="983"/>
      <c r="N17" s="983"/>
      <c r="O17" s="983"/>
      <c r="P17" s="983"/>
      <c r="Q17" s="983"/>
      <c r="R17" s="984"/>
      <c r="S17" s="984"/>
      <c r="T17" s="984"/>
      <c r="U17" s="984"/>
      <c r="V17" s="984"/>
      <c r="W17" s="984"/>
      <c r="X17" s="984"/>
      <c r="Y17" s="984"/>
      <c r="Z17" s="984"/>
      <c r="AA17" s="983"/>
      <c r="AB17" s="983"/>
      <c r="AC17" s="676"/>
      <c r="AD17" s="676"/>
      <c r="AE17" s="676"/>
      <c r="AF17" s="676"/>
      <c r="AG17" s="676"/>
      <c r="AH17" s="676"/>
      <c r="AJ17" s="512"/>
      <c r="AL17" s="511"/>
      <c r="AM17" s="511"/>
    </row>
    <row r="18" spans="1:39" hidden="1" x14ac:dyDescent="0.25">
      <c r="A18" s="1378"/>
      <c r="B18" s="1378"/>
      <c r="C18" s="1378"/>
      <c r="D18" s="1378"/>
      <c r="E18" s="1379" t="e">
        <f>SUM('[21]PRESUPUESTO DE OBRA'!I8:I9)</f>
        <v>#REF!</v>
      </c>
      <c r="F18" s="1380"/>
      <c r="G18" s="977"/>
      <c r="H18" s="977"/>
      <c r="I18" s="678"/>
      <c r="J18" s="678"/>
      <c r="K18" s="678"/>
      <c r="L18" s="678"/>
      <c r="M18" s="678"/>
      <c r="N18" s="678"/>
      <c r="O18" s="678"/>
      <c r="P18" s="678"/>
      <c r="Q18" s="678"/>
      <c r="R18" s="678">
        <f>+'%'!$E22</f>
        <v>2.2493721080534463E-3</v>
      </c>
      <c r="S18" s="678">
        <f>+'%'!$E23</f>
        <v>4.4987442161068926E-3</v>
      </c>
      <c r="T18" s="678">
        <f>+'%'!$E24</f>
        <v>6.7481163241603394E-3</v>
      </c>
      <c r="U18" s="678">
        <f>+'%'!$E25</f>
        <v>8.9974884322137853E-3</v>
      </c>
      <c r="V18" s="678">
        <f>+'%'!$E26</f>
        <v>1.1246860540267231E-2</v>
      </c>
      <c r="W18" s="678">
        <f>+'%'!$E27</f>
        <v>1.3496232648320677E-2</v>
      </c>
      <c r="X18" s="678">
        <f>+'%'!$E28</f>
        <v>1.5745604756374123E-2</v>
      </c>
      <c r="Y18" s="678">
        <f>+'%'!$E29</f>
        <v>1.7994976864427571E-2</v>
      </c>
      <c r="Z18" s="678">
        <f>+'%'!$E30</f>
        <v>2.0244348972481018E-2</v>
      </c>
      <c r="AA18" s="678"/>
      <c r="AB18" s="678"/>
      <c r="AC18" s="678"/>
      <c r="AD18" s="623"/>
      <c r="AE18" s="980"/>
      <c r="AF18" s="980"/>
      <c r="AG18" s="676"/>
      <c r="AH18" s="676"/>
      <c r="AJ18" s="512"/>
      <c r="AL18" s="511"/>
      <c r="AM18" s="511"/>
    </row>
    <row r="19" spans="1:39" hidden="1" x14ac:dyDescent="0.25">
      <c r="A19" s="1378" t="s">
        <v>774</v>
      </c>
      <c r="B19" s="1378"/>
      <c r="C19" s="1378"/>
      <c r="D19" s="1378"/>
      <c r="E19" s="1379"/>
      <c r="F19" s="1380"/>
      <c r="G19" s="977"/>
      <c r="H19" s="977"/>
      <c r="I19" s="981"/>
      <c r="J19" s="981"/>
      <c r="K19" s="983"/>
      <c r="L19" s="983"/>
      <c r="M19" s="983"/>
      <c r="N19" s="983"/>
      <c r="O19" s="983"/>
      <c r="P19" s="983"/>
      <c r="Q19" s="983"/>
      <c r="R19" s="985" t="e">
        <f>ROUNDDOWN(R18*$E$45,0)</f>
        <v>#REF!</v>
      </c>
      <c r="S19" s="985" t="e">
        <f t="shared" ref="S19:Z19" si="1">ROUND(S18*$E$45,0)</f>
        <v>#REF!</v>
      </c>
      <c r="T19" s="985" t="e">
        <f t="shared" si="1"/>
        <v>#REF!</v>
      </c>
      <c r="U19" s="985" t="e">
        <f t="shared" si="1"/>
        <v>#REF!</v>
      </c>
      <c r="V19" s="985" t="e">
        <f t="shared" si="1"/>
        <v>#REF!</v>
      </c>
      <c r="W19" s="985" t="e">
        <f t="shared" si="1"/>
        <v>#REF!</v>
      </c>
      <c r="X19" s="985" t="e">
        <f t="shared" si="1"/>
        <v>#REF!</v>
      </c>
      <c r="Y19" s="985" t="e">
        <f t="shared" si="1"/>
        <v>#REF!</v>
      </c>
      <c r="Z19" s="985" t="e">
        <f t="shared" si="1"/>
        <v>#REF!</v>
      </c>
      <c r="AA19" s="985"/>
      <c r="AB19" s="985"/>
      <c r="AC19" s="985"/>
      <c r="AD19" s="623"/>
      <c r="AE19" s="676"/>
      <c r="AF19" s="676"/>
      <c r="AG19" s="676"/>
      <c r="AH19" s="676"/>
      <c r="AL19" s="511"/>
      <c r="AM19" s="511"/>
    </row>
    <row r="20" spans="1:39" ht="15.75" customHeight="1" x14ac:dyDescent="0.25">
      <c r="A20" s="1378" t="str">
        <f>+P.Detall!E32</f>
        <v>No.3. PAVIMENTO  PLACA HUELLA</v>
      </c>
      <c r="B20" s="1378"/>
      <c r="C20" s="1378"/>
      <c r="D20" s="1378"/>
      <c r="E20" s="1379">
        <f>+'Presup '!I35</f>
        <v>40713408</v>
      </c>
      <c r="F20" s="1380" t="e">
        <f>+E20/$E$45</f>
        <v>#REF!</v>
      </c>
      <c r="G20" s="977"/>
      <c r="H20" s="977"/>
      <c r="I20" s="678"/>
      <c r="J20" s="678"/>
      <c r="K20" s="983"/>
      <c r="L20" s="983"/>
      <c r="M20" s="983"/>
      <c r="N20" s="983"/>
      <c r="O20" s="983"/>
      <c r="P20" s="983"/>
      <c r="Q20" s="983"/>
      <c r="R20" s="983"/>
      <c r="S20" s="623"/>
      <c r="T20" s="623"/>
      <c r="U20" s="983"/>
      <c r="V20" s="983"/>
      <c r="W20" s="983"/>
      <c r="X20" s="983"/>
      <c r="Y20" s="984"/>
      <c r="Z20" s="984"/>
      <c r="AA20" s="984"/>
      <c r="AB20" s="984"/>
      <c r="AC20" s="986"/>
      <c r="AD20" s="676"/>
      <c r="AE20" s="676"/>
      <c r="AF20" s="676"/>
      <c r="AG20" s="676"/>
      <c r="AH20" s="676"/>
      <c r="AJ20" s="512"/>
      <c r="AK20" s="509"/>
      <c r="AL20" s="511"/>
      <c r="AM20" s="511"/>
    </row>
    <row r="21" spans="1:39" hidden="1" x14ac:dyDescent="0.25">
      <c r="A21" s="1378"/>
      <c r="B21" s="1378"/>
      <c r="C21" s="1378"/>
      <c r="D21" s="1378"/>
      <c r="E21" s="1379"/>
      <c r="F21" s="1380"/>
      <c r="G21" s="977"/>
      <c r="H21" s="977"/>
      <c r="I21" s="678"/>
      <c r="J21" s="678"/>
      <c r="K21" s="678"/>
      <c r="L21" s="678"/>
      <c r="M21" s="678"/>
      <c r="N21" s="678"/>
      <c r="O21" s="678"/>
      <c r="P21" s="678"/>
      <c r="Q21" s="678"/>
      <c r="R21" s="678"/>
      <c r="S21" s="623"/>
      <c r="T21" s="623"/>
      <c r="U21" s="678"/>
      <c r="V21" s="678"/>
      <c r="W21" s="678"/>
      <c r="X21" s="678"/>
      <c r="Y21" s="678">
        <f>+'%'!$E40</f>
        <v>1.169548622635998E-3</v>
      </c>
      <c r="Z21" s="678">
        <f>+'%'!$E41</f>
        <v>2.3390972452719959E-3</v>
      </c>
      <c r="AA21" s="678">
        <f>+'%'!$E42</f>
        <v>3.5086458679079941E-3</v>
      </c>
      <c r="AB21" s="678">
        <f>+'%'!$E43</f>
        <v>4.6781944905439918E-3</v>
      </c>
      <c r="AC21" s="678">
        <f>+'%'!$E48</f>
        <v>1.0525937603723981E-2</v>
      </c>
      <c r="AD21" s="623"/>
      <c r="AE21" s="623"/>
      <c r="AF21" s="980"/>
      <c r="AG21" s="676"/>
      <c r="AH21" s="676"/>
      <c r="AJ21" s="512"/>
      <c r="AK21" s="509"/>
      <c r="AL21" s="511"/>
      <c r="AM21" s="511"/>
    </row>
    <row r="22" spans="1:39" hidden="1" x14ac:dyDescent="0.25">
      <c r="A22" s="1378"/>
      <c r="B22" s="1378"/>
      <c r="C22" s="1378"/>
      <c r="D22" s="1378"/>
      <c r="E22" s="1379"/>
      <c r="F22" s="1380"/>
      <c r="G22" s="977"/>
      <c r="H22" s="977"/>
      <c r="I22" s="981"/>
      <c r="J22" s="981"/>
      <c r="K22" s="983"/>
      <c r="L22" s="983"/>
      <c r="M22" s="983"/>
      <c r="N22" s="983"/>
      <c r="O22" s="983"/>
      <c r="P22" s="983"/>
      <c r="Q22" s="983"/>
      <c r="R22" s="983"/>
      <c r="S22" s="623"/>
      <c r="T22" s="623"/>
      <c r="U22" s="985"/>
      <c r="V22" s="985"/>
      <c r="W22" s="985"/>
      <c r="X22" s="985"/>
      <c r="Y22" s="985" t="e">
        <f>ROUND(Y21*$E$45,0)</f>
        <v>#REF!</v>
      </c>
      <c r="Z22" s="985" t="e">
        <f>ROUND(Z21*$E$45,0)</f>
        <v>#REF!</v>
      </c>
      <c r="AA22" s="985" t="e">
        <f>ROUND(AA21*$E$45,0)</f>
        <v>#REF!</v>
      </c>
      <c r="AB22" s="985" t="e">
        <f>ROUND(AB21*$E$45,0)</f>
        <v>#REF!</v>
      </c>
      <c r="AC22" s="985" t="e">
        <f>ROUND(AC21*$E$45,0)</f>
        <v>#REF!</v>
      </c>
      <c r="AD22" s="623"/>
      <c r="AE22" s="623"/>
      <c r="AF22" s="676"/>
      <c r="AG22" s="676"/>
      <c r="AH22" s="676"/>
      <c r="AJ22" s="512"/>
      <c r="AK22" s="509"/>
      <c r="AL22" s="511"/>
      <c r="AM22" s="511"/>
    </row>
    <row r="23" spans="1:39" x14ac:dyDescent="0.25">
      <c r="A23" s="1378" t="str">
        <f>+P.Detall!E37</f>
        <v>No.4. ESTRUCTURAS Y DRENAJES</v>
      </c>
      <c r="B23" s="1378"/>
      <c r="C23" s="1378"/>
      <c r="D23" s="1378"/>
      <c r="E23" s="1407">
        <f>+'Presup '!I68</f>
        <v>574548304</v>
      </c>
      <c r="F23" s="1404" t="e">
        <f>+E23/$E$45</f>
        <v>#REF!</v>
      </c>
      <c r="G23" s="977"/>
      <c r="H23" s="977"/>
      <c r="I23" s="678"/>
      <c r="J23" s="678"/>
      <c r="K23" s="678"/>
      <c r="L23" s="678"/>
      <c r="M23" s="678"/>
      <c r="N23" s="678"/>
      <c r="O23" s="678"/>
      <c r="P23" s="678"/>
      <c r="Q23" s="623"/>
      <c r="R23" s="623"/>
      <c r="S23" s="623"/>
      <c r="T23" s="623"/>
      <c r="U23" s="979"/>
      <c r="V23" s="979"/>
      <c r="W23" s="979"/>
      <c r="X23" s="979"/>
      <c r="Y23" s="979"/>
      <c r="Z23" s="979"/>
      <c r="AA23" s="979"/>
      <c r="AB23" s="979"/>
      <c r="AC23" s="979"/>
      <c r="AD23" s="979"/>
      <c r="AE23" s="678"/>
      <c r="AF23" s="676"/>
      <c r="AG23" s="676"/>
      <c r="AH23" s="676"/>
      <c r="AJ23" s="512"/>
      <c r="AK23" s="509"/>
      <c r="AL23" s="511"/>
      <c r="AM23" s="511"/>
    </row>
    <row r="24" spans="1:39" hidden="1" x14ac:dyDescent="0.25">
      <c r="A24" s="1378"/>
      <c r="B24" s="1378"/>
      <c r="C24" s="1378"/>
      <c r="D24" s="1378"/>
      <c r="E24" s="1408"/>
      <c r="F24" s="1405"/>
      <c r="G24" s="977"/>
      <c r="H24" s="977"/>
      <c r="I24" s="678"/>
      <c r="J24" s="678"/>
      <c r="K24" s="678"/>
      <c r="L24" s="678"/>
      <c r="M24" s="678"/>
      <c r="N24" s="678"/>
      <c r="O24" s="678"/>
      <c r="P24" s="678"/>
      <c r="Q24" s="623"/>
      <c r="R24" s="623"/>
      <c r="S24" s="623"/>
      <c r="T24" s="623"/>
      <c r="U24" s="678">
        <f>+'%'!$E58</f>
        <v>4.3433394717291374E-3</v>
      </c>
      <c r="V24" s="678">
        <f>+'%'!$E59</f>
        <v>8.6866789434582748E-3</v>
      </c>
      <c r="W24" s="678">
        <f>+'%'!$E60</f>
        <v>1.3030018415187413E-2</v>
      </c>
      <c r="X24" s="678">
        <f>+'%'!$E61</f>
        <v>1.737335788691655E-2</v>
      </c>
      <c r="Y24" s="678">
        <f>+'%'!$E62</f>
        <v>2.1716697358645686E-2</v>
      </c>
      <c r="Z24" s="678">
        <f>+'%'!$E63</f>
        <v>2.6060036830374823E-2</v>
      </c>
      <c r="AA24" s="678">
        <f>+'%'!$E64</f>
        <v>3.0403376302103959E-2</v>
      </c>
      <c r="AB24" s="678">
        <f>+'%'!$E65</f>
        <v>3.4746715773833099E-2</v>
      </c>
      <c r="AC24" s="678">
        <f>+'%'!$E70</f>
        <v>5.6463413132478782E-2</v>
      </c>
      <c r="AD24" s="678">
        <f>+'%'!$E75</f>
        <v>7.8180110491124485E-2</v>
      </c>
      <c r="AE24" s="678"/>
      <c r="AF24" s="678"/>
      <c r="AG24" s="676"/>
      <c r="AH24" s="676"/>
      <c r="AJ24" s="512"/>
      <c r="AK24" s="509"/>
      <c r="AL24" s="511"/>
    </row>
    <row r="25" spans="1:39" hidden="1" x14ac:dyDescent="0.25">
      <c r="A25" s="1378"/>
      <c r="B25" s="1378"/>
      <c r="C25" s="1378"/>
      <c r="D25" s="1378"/>
      <c r="E25" s="1409"/>
      <c r="F25" s="1406"/>
      <c r="G25" s="977"/>
      <c r="H25" s="977"/>
      <c r="I25" s="981"/>
      <c r="J25" s="981"/>
      <c r="K25" s="985"/>
      <c r="L25" s="985"/>
      <c r="M25" s="985"/>
      <c r="N25" s="985"/>
      <c r="O25" s="985"/>
      <c r="P25" s="985"/>
      <c r="Q25" s="623"/>
      <c r="R25" s="623"/>
      <c r="S25" s="623"/>
      <c r="T25" s="623"/>
      <c r="U25" s="985" t="e">
        <f t="shared" ref="U25:AD25" si="2">ROUND(U24*$E$45,0)</f>
        <v>#REF!</v>
      </c>
      <c r="V25" s="985" t="e">
        <f t="shared" si="2"/>
        <v>#REF!</v>
      </c>
      <c r="W25" s="985" t="e">
        <f t="shared" si="2"/>
        <v>#REF!</v>
      </c>
      <c r="X25" s="985" t="e">
        <f t="shared" si="2"/>
        <v>#REF!</v>
      </c>
      <c r="Y25" s="985" t="e">
        <f t="shared" si="2"/>
        <v>#REF!</v>
      </c>
      <c r="Z25" s="985" t="e">
        <f t="shared" si="2"/>
        <v>#REF!</v>
      </c>
      <c r="AA25" s="985" t="e">
        <f t="shared" si="2"/>
        <v>#REF!</v>
      </c>
      <c r="AB25" s="985" t="e">
        <f t="shared" si="2"/>
        <v>#REF!</v>
      </c>
      <c r="AC25" s="985" t="e">
        <f t="shared" si="2"/>
        <v>#REF!</v>
      </c>
      <c r="AD25" s="985" t="e">
        <f t="shared" si="2"/>
        <v>#REF!</v>
      </c>
      <c r="AE25" s="985"/>
      <c r="AF25" s="676"/>
      <c r="AG25" s="676"/>
      <c r="AH25" s="676"/>
      <c r="AJ25" s="512"/>
      <c r="AK25" s="509"/>
      <c r="AL25" s="511"/>
    </row>
    <row r="26" spans="1:39" x14ac:dyDescent="0.25">
      <c r="A26" s="1378" t="str">
        <f>+P.Detall!E72</f>
        <v>No.5. MANTENIMIENTO VIA</v>
      </c>
      <c r="B26" s="1378"/>
      <c r="C26" s="1378"/>
      <c r="D26" s="1378"/>
      <c r="E26" s="1379"/>
      <c r="F26" s="1380"/>
      <c r="G26" s="977"/>
      <c r="H26" s="977"/>
      <c r="I26" s="678"/>
      <c r="J26" s="678"/>
      <c r="K26" s="678"/>
      <c r="L26" s="678"/>
      <c r="M26" s="678"/>
      <c r="N26" s="678"/>
      <c r="O26" s="678"/>
      <c r="P26" s="678"/>
      <c r="Q26" s="678"/>
      <c r="R26" s="678"/>
      <c r="S26" s="678"/>
      <c r="T26" s="678"/>
      <c r="U26" s="678"/>
      <c r="V26" s="678"/>
      <c r="W26" s="678"/>
      <c r="X26" s="678"/>
      <c r="Y26" s="678"/>
      <c r="Z26" s="678"/>
      <c r="AA26" s="678"/>
      <c r="AB26" s="678"/>
      <c r="AC26" s="678"/>
      <c r="AD26" s="678"/>
      <c r="AE26" s="678"/>
      <c r="AF26" s="980"/>
      <c r="AG26" s="676"/>
      <c r="AH26" s="676"/>
      <c r="AL26" s="511"/>
    </row>
    <row r="27" spans="1:39" hidden="1" x14ac:dyDescent="0.25">
      <c r="A27" s="1378"/>
      <c r="B27" s="1378"/>
      <c r="C27" s="1378"/>
      <c r="D27" s="1378"/>
      <c r="E27" s="1379"/>
      <c r="F27" s="1380"/>
      <c r="G27" s="977"/>
      <c r="H27" s="977"/>
      <c r="I27" s="981"/>
      <c r="J27" s="981"/>
      <c r="K27" s="985"/>
      <c r="L27" s="985"/>
      <c r="M27" s="985"/>
      <c r="N27" s="985"/>
      <c r="O27" s="985"/>
      <c r="P27" s="985"/>
      <c r="Q27" s="985"/>
      <c r="R27" s="985"/>
      <c r="S27" s="985"/>
      <c r="T27" s="985"/>
      <c r="U27" s="985"/>
      <c r="V27" s="985"/>
      <c r="W27" s="985"/>
      <c r="X27" s="985"/>
      <c r="Y27" s="985"/>
      <c r="Z27" s="985"/>
      <c r="AA27" s="985"/>
      <c r="AB27" s="985"/>
      <c r="AC27" s="985"/>
      <c r="AD27" s="985"/>
      <c r="AE27" s="985"/>
      <c r="AF27" s="676"/>
      <c r="AG27" s="676"/>
      <c r="AH27" s="676"/>
      <c r="AL27" s="511"/>
    </row>
    <row r="28" spans="1:39" ht="39.75" customHeight="1" x14ac:dyDescent="0.25">
      <c r="A28" s="1378" t="str">
        <f>+P.Detall!E78</f>
        <v>No.6. ESPECIFICACIONES PARTICULARES (OBRAS AMBIENTALES)</v>
      </c>
      <c r="B28" s="1378"/>
      <c r="C28" s="1378"/>
      <c r="D28" s="1378"/>
      <c r="E28" s="1379">
        <f>+'Presup '!I78</f>
        <v>4465565</v>
      </c>
      <c r="F28" s="1381" t="e">
        <f>+E28/$E$45</f>
        <v>#REF!</v>
      </c>
      <c r="G28" s="978"/>
      <c r="H28" s="978"/>
      <c r="I28" s="678"/>
      <c r="J28" s="678"/>
      <c r="K28" s="984"/>
      <c r="L28" s="984"/>
      <c r="M28" s="984"/>
      <c r="N28" s="984"/>
      <c r="O28" s="984"/>
      <c r="P28" s="984"/>
      <c r="Q28" s="984"/>
      <c r="R28" s="984"/>
      <c r="S28" s="984"/>
      <c r="T28" s="984"/>
      <c r="U28" s="984"/>
      <c r="V28" s="984"/>
      <c r="W28" s="984"/>
      <c r="X28" s="984"/>
      <c r="Y28" s="984"/>
      <c r="Z28" s="984"/>
      <c r="AA28" s="984"/>
      <c r="AB28" s="984"/>
      <c r="AC28" s="986"/>
      <c r="AD28" s="986"/>
      <c r="AE28" s="986"/>
      <c r="AF28" s="676"/>
      <c r="AG28" s="676"/>
      <c r="AH28" s="676"/>
      <c r="AL28" s="511"/>
    </row>
    <row r="29" spans="1:39" hidden="1" x14ac:dyDescent="0.25">
      <c r="A29" s="1378"/>
      <c r="B29" s="1378"/>
      <c r="C29" s="1378"/>
      <c r="D29" s="1378"/>
      <c r="E29" s="1379"/>
      <c r="F29" s="1381"/>
      <c r="G29" s="978"/>
      <c r="H29" s="978"/>
      <c r="I29" s="678"/>
      <c r="J29" s="678"/>
      <c r="K29" s="987">
        <f>+'%'!$E122</f>
        <v>1.3270292527950803E-5</v>
      </c>
      <c r="L29" s="987">
        <f>+'%'!$E123</f>
        <v>2.6540585055901607E-5</v>
      </c>
      <c r="M29" s="987">
        <f>+'%'!$E124</f>
        <v>3.981087758385241E-5</v>
      </c>
      <c r="N29" s="987">
        <f>+'%'!$E125</f>
        <v>5.3081170111803213E-5</v>
      </c>
      <c r="O29" s="987">
        <f>+'%'!$E126</f>
        <v>6.635146263975401E-5</v>
      </c>
      <c r="P29" s="987">
        <f>+'%'!$E127</f>
        <v>7.9621755167704806E-5</v>
      </c>
      <c r="Q29" s="987">
        <f>+'%'!$E128</f>
        <v>9.2892047695655603E-5</v>
      </c>
      <c r="R29" s="987">
        <f>+'%'!$E129</f>
        <v>1.061623402236064E-4</v>
      </c>
      <c r="S29" s="987">
        <f>+'%'!$E130</f>
        <v>1.194326327515572E-4</v>
      </c>
      <c r="T29" s="987">
        <f>+'%'!$E131</f>
        <v>1.3270292527950799E-4</v>
      </c>
      <c r="U29" s="987">
        <f>+'%'!$E132</f>
        <v>1.4597321780745879E-4</v>
      </c>
      <c r="V29" s="987">
        <f>+'%'!$E133</f>
        <v>1.5924351033540959E-4</v>
      </c>
      <c r="W29" s="987">
        <f>+'%'!$E134</f>
        <v>1.7251380286336038E-4</v>
      </c>
      <c r="X29" s="987">
        <f>+'%'!$E135</f>
        <v>1.8578409539131118E-4</v>
      </c>
      <c r="Y29" s="987">
        <f>+'%'!$E136</f>
        <v>1.9905438791926197E-4</v>
      </c>
      <c r="Z29" s="987">
        <f>+'%'!$E137</f>
        <v>2.1232468044721277E-4</v>
      </c>
      <c r="AA29" s="987">
        <f>+'%'!$E138</f>
        <v>2.2559497297516357E-4</v>
      </c>
      <c r="AB29" s="987">
        <f>+'%'!$E139</f>
        <v>2.3886526550311436E-4</v>
      </c>
      <c r="AC29" s="987">
        <f>+'%'!$E144</f>
        <v>3.0521672814286846E-4</v>
      </c>
      <c r="AD29" s="987">
        <f>+'%'!$E149</f>
        <v>3.7156819078262257E-4</v>
      </c>
      <c r="AE29" s="987">
        <f>+'%'!$E150</f>
        <v>3.848384833105734E-4</v>
      </c>
      <c r="AF29" s="980"/>
      <c r="AG29" s="676"/>
      <c r="AH29" s="676"/>
      <c r="AL29" s="511"/>
    </row>
    <row r="30" spans="1:39" hidden="1" x14ac:dyDescent="0.25">
      <c r="A30" s="1378"/>
      <c r="B30" s="1378"/>
      <c r="C30" s="1378"/>
      <c r="D30" s="1378"/>
      <c r="E30" s="1379"/>
      <c r="F30" s="1381"/>
      <c r="G30" s="978"/>
      <c r="H30" s="978"/>
      <c r="I30" s="981"/>
      <c r="J30" s="981"/>
      <c r="K30" s="985" t="e">
        <f>ROUNDDOWN(K29*$E$45,0)</f>
        <v>#REF!</v>
      </c>
      <c r="L30" s="985" t="e">
        <f>ROUNDDOWN(L29*$E$45,0)</f>
        <v>#REF!</v>
      </c>
      <c r="M30" s="985" t="e">
        <f t="shared" ref="M30:AE30" si="3">ROUND(M29*$E$45,0)</f>
        <v>#REF!</v>
      </c>
      <c r="N30" s="985" t="e">
        <f t="shared" si="3"/>
        <v>#REF!</v>
      </c>
      <c r="O30" s="985" t="e">
        <f t="shared" si="3"/>
        <v>#REF!</v>
      </c>
      <c r="P30" s="985" t="e">
        <f t="shared" si="3"/>
        <v>#REF!</v>
      </c>
      <c r="Q30" s="985" t="e">
        <f t="shared" si="3"/>
        <v>#REF!</v>
      </c>
      <c r="R30" s="985" t="e">
        <f t="shared" si="3"/>
        <v>#REF!</v>
      </c>
      <c r="S30" s="985" t="e">
        <f t="shared" si="3"/>
        <v>#REF!</v>
      </c>
      <c r="T30" s="985" t="e">
        <f t="shared" si="3"/>
        <v>#REF!</v>
      </c>
      <c r="U30" s="985" t="e">
        <f t="shared" si="3"/>
        <v>#REF!</v>
      </c>
      <c r="V30" s="985" t="e">
        <f t="shared" si="3"/>
        <v>#REF!</v>
      </c>
      <c r="W30" s="985" t="e">
        <f t="shared" si="3"/>
        <v>#REF!</v>
      </c>
      <c r="X30" s="985" t="e">
        <f t="shared" si="3"/>
        <v>#REF!</v>
      </c>
      <c r="Y30" s="985" t="e">
        <f t="shared" si="3"/>
        <v>#REF!</v>
      </c>
      <c r="Z30" s="985" t="e">
        <f t="shared" si="3"/>
        <v>#REF!</v>
      </c>
      <c r="AA30" s="985" t="e">
        <f t="shared" si="3"/>
        <v>#REF!</v>
      </c>
      <c r="AB30" s="985" t="e">
        <f t="shared" si="3"/>
        <v>#REF!</v>
      </c>
      <c r="AC30" s="985" t="e">
        <f t="shared" si="3"/>
        <v>#REF!</v>
      </c>
      <c r="AD30" s="985" t="e">
        <f t="shared" si="3"/>
        <v>#REF!</v>
      </c>
      <c r="AE30" s="985" t="e">
        <f t="shared" si="3"/>
        <v>#REF!</v>
      </c>
      <c r="AF30" s="676"/>
      <c r="AG30" s="676"/>
      <c r="AH30" s="676"/>
      <c r="AL30" s="511"/>
    </row>
    <row r="31" spans="1:39" x14ac:dyDescent="0.25">
      <c r="A31" s="1378" t="str">
        <f>+P.Detall!E83</f>
        <v>No.7. TRANSPORTE</v>
      </c>
      <c r="B31" s="1378"/>
      <c r="C31" s="1378"/>
      <c r="D31" s="1378"/>
      <c r="E31" s="1379">
        <f>+'Presup '!I83</f>
        <v>512556</v>
      </c>
      <c r="F31" s="1412" t="e">
        <f>+E31/$E$45</f>
        <v>#REF!</v>
      </c>
      <c r="G31" s="978"/>
      <c r="H31" s="978"/>
      <c r="I31" s="678"/>
      <c r="J31" s="678"/>
      <c r="K31" s="979"/>
      <c r="L31" s="979"/>
      <c r="M31" s="979"/>
      <c r="N31" s="979"/>
      <c r="O31" s="979"/>
      <c r="P31" s="979"/>
      <c r="Q31" s="979"/>
      <c r="R31" s="979"/>
      <c r="S31" s="979"/>
      <c r="T31" s="979"/>
      <c r="U31" s="979"/>
      <c r="V31" s="979"/>
      <c r="W31" s="979"/>
      <c r="X31" s="979"/>
      <c r="Y31" s="979"/>
      <c r="Z31" s="979"/>
      <c r="AA31" s="979"/>
      <c r="AB31" s="979"/>
      <c r="AC31" s="979"/>
      <c r="AD31" s="979"/>
      <c r="AE31" s="979"/>
      <c r="AF31" s="676"/>
      <c r="AG31" s="676"/>
      <c r="AH31" s="676"/>
      <c r="AL31" s="511"/>
    </row>
    <row r="32" spans="1:39" hidden="1" x14ac:dyDescent="0.25">
      <c r="A32" s="1378"/>
      <c r="B32" s="1378"/>
      <c r="C32" s="1378"/>
      <c r="D32" s="1378"/>
      <c r="E32" s="1379"/>
      <c r="F32" s="1413"/>
      <c r="G32" s="978"/>
      <c r="H32" s="978"/>
      <c r="I32" s="678"/>
      <c r="J32" s="678"/>
      <c r="K32" s="987">
        <f>+'%'!$E156</f>
        <v>1.5231595681523731E-6</v>
      </c>
      <c r="L32" s="987">
        <f>+'%'!$E157</f>
        <v>3.0463191363047463E-6</v>
      </c>
      <c r="M32" s="987">
        <f>+'%'!$E158</f>
        <v>4.5694787044571198E-6</v>
      </c>
      <c r="N32" s="987">
        <f>+'%'!$E159</f>
        <v>6.0926382726094925E-6</v>
      </c>
      <c r="O32" s="987">
        <f>+'%'!$E160</f>
        <v>7.6157978407618653E-6</v>
      </c>
      <c r="P32" s="987">
        <f>+'%'!$E161</f>
        <v>9.138957408914238E-6</v>
      </c>
      <c r="Q32" s="987">
        <f>+'%'!$E162</f>
        <v>1.0662116977066611E-5</v>
      </c>
      <c r="R32" s="987">
        <f>+'%'!$E163</f>
        <v>1.2185276545218983E-5</v>
      </c>
      <c r="S32" s="987">
        <f>+'%'!$E164</f>
        <v>1.3708436113371356E-5</v>
      </c>
      <c r="T32" s="987">
        <f>+'%'!$E165</f>
        <v>1.5231595681523729E-5</v>
      </c>
      <c r="U32" s="987">
        <f>+'%'!$E166</f>
        <v>1.6754755249676102E-5</v>
      </c>
      <c r="V32" s="987">
        <f>+'%'!$E167</f>
        <v>1.8277914817828476E-5</v>
      </c>
      <c r="W32" s="987">
        <f>+'%'!$E168</f>
        <v>1.980107438598085E-5</v>
      </c>
      <c r="X32" s="987">
        <f>+'%'!$E169</f>
        <v>2.1324233954133225E-5</v>
      </c>
      <c r="Y32" s="987">
        <f>+'%'!$E170</f>
        <v>2.2847393522285599E-5</v>
      </c>
      <c r="Z32" s="987">
        <f>+'%'!$E171</f>
        <v>2.4370553090437974E-5</v>
      </c>
      <c r="AA32" s="987">
        <f>+'%'!$E172</f>
        <v>2.5893712658590348E-5</v>
      </c>
      <c r="AB32" s="987">
        <f>+'%'!$E173</f>
        <v>2.7416872226742722E-5</v>
      </c>
      <c r="AC32" s="987">
        <f>+'%'!$E178</f>
        <v>3.5032670067504588E-5</v>
      </c>
      <c r="AD32" s="987">
        <f>+'%'!$E183</f>
        <v>4.2648467908266443E-5</v>
      </c>
      <c r="AE32" s="987">
        <f>+'%'!$E184</f>
        <v>4.4171627476418814E-5</v>
      </c>
      <c r="AF32" s="980"/>
      <c r="AG32" s="676"/>
      <c r="AH32" s="676"/>
    </row>
    <row r="33" spans="1:35" hidden="1" x14ac:dyDescent="0.25">
      <c r="A33" s="1378"/>
      <c r="B33" s="1378"/>
      <c r="C33" s="1378"/>
      <c r="D33" s="1378"/>
      <c r="E33" s="1379"/>
      <c r="F33" s="1414"/>
      <c r="G33" s="978"/>
      <c r="H33" s="978"/>
      <c r="I33" s="982"/>
      <c r="J33" s="982"/>
      <c r="K33" s="982" t="e">
        <f>ROUND(K32*$E$45,0)</f>
        <v>#REF!</v>
      </c>
      <c r="L33" s="982" t="e">
        <f>ROUND(L32*$E$45,0)</f>
        <v>#REF!</v>
      </c>
      <c r="M33" s="982" t="e">
        <f>ROUND(M32*$E$45,0)</f>
        <v>#REF!</v>
      </c>
      <c r="N33" s="982" t="e">
        <f>ROUND(N32*$E$45,0)</f>
        <v>#REF!</v>
      </c>
      <c r="O33" s="982" t="e">
        <f t="shared" ref="O33:AE33" si="4">ROUND(O32*$E$45,0)</f>
        <v>#REF!</v>
      </c>
      <c r="P33" s="982" t="e">
        <f t="shared" si="4"/>
        <v>#REF!</v>
      </c>
      <c r="Q33" s="982" t="e">
        <f t="shared" si="4"/>
        <v>#REF!</v>
      </c>
      <c r="R33" s="982" t="e">
        <f t="shared" si="4"/>
        <v>#REF!</v>
      </c>
      <c r="S33" s="982" t="e">
        <f t="shared" si="4"/>
        <v>#REF!</v>
      </c>
      <c r="T33" s="982" t="e">
        <f t="shared" si="4"/>
        <v>#REF!</v>
      </c>
      <c r="U33" s="982" t="e">
        <f t="shared" si="4"/>
        <v>#REF!</v>
      </c>
      <c r="V33" s="982" t="e">
        <f t="shared" si="4"/>
        <v>#REF!</v>
      </c>
      <c r="W33" s="982" t="e">
        <f t="shared" si="4"/>
        <v>#REF!</v>
      </c>
      <c r="X33" s="982" t="e">
        <f t="shared" si="4"/>
        <v>#REF!</v>
      </c>
      <c r="Y33" s="982" t="e">
        <f t="shared" si="4"/>
        <v>#REF!</v>
      </c>
      <c r="Z33" s="982" t="e">
        <f t="shared" si="4"/>
        <v>#REF!</v>
      </c>
      <c r="AA33" s="982" t="e">
        <f t="shared" si="4"/>
        <v>#REF!</v>
      </c>
      <c r="AB33" s="982" t="e">
        <f t="shared" si="4"/>
        <v>#REF!</v>
      </c>
      <c r="AC33" s="982" t="e">
        <f t="shared" si="4"/>
        <v>#REF!</v>
      </c>
      <c r="AD33" s="982" t="e">
        <f t="shared" si="4"/>
        <v>#REF!</v>
      </c>
      <c r="AE33" s="982" t="e">
        <f t="shared" si="4"/>
        <v>#REF!</v>
      </c>
      <c r="AF33" s="676"/>
      <c r="AG33" s="676"/>
      <c r="AH33" s="676"/>
    </row>
    <row r="34" spans="1:35" x14ac:dyDescent="0.25">
      <c r="A34" s="1378" t="s">
        <v>775</v>
      </c>
      <c r="B34" s="1378"/>
      <c r="C34" s="1378"/>
      <c r="D34" s="1378"/>
      <c r="E34" s="1379">
        <f>+'Presup '!I98+'Presup '!I101</f>
        <v>0</v>
      </c>
      <c r="F34" s="1404" t="e">
        <f>+E34/$E$45</f>
        <v>#REF!</v>
      </c>
      <c r="G34" s="977"/>
      <c r="H34" s="977"/>
      <c r="I34" s="678"/>
      <c r="J34" s="678"/>
      <c r="K34" s="979"/>
      <c r="L34" s="979"/>
      <c r="M34" s="979"/>
      <c r="N34" s="979"/>
      <c r="O34" s="979"/>
      <c r="P34" s="979"/>
      <c r="Q34" s="979"/>
      <c r="R34" s="979"/>
      <c r="S34" s="979"/>
      <c r="T34" s="979"/>
      <c r="U34" s="979"/>
      <c r="V34" s="979"/>
      <c r="W34" s="979"/>
      <c r="X34" s="979"/>
      <c r="Y34" s="979"/>
      <c r="Z34" s="979"/>
      <c r="AA34" s="979"/>
      <c r="AB34" s="979"/>
      <c r="AC34" s="979"/>
      <c r="AD34" s="979"/>
      <c r="AE34" s="979"/>
      <c r="AF34" s="979"/>
      <c r="AG34" s="676"/>
      <c r="AH34" s="676"/>
    </row>
    <row r="35" spans="1:35" hidden="1" x14ac:dyDescent="0.25">
      <c r="A35" s="1378"/>
      <c r="B35" s="1378"/>
      <c r="C35" s="1378"/>
      <c r="D35" s="1378"/>
      <c r="E35" s="1379"/>
      <c r="F35" s="1405"/>
      <c r="G35" s="977"/>
      <c r="H35" s="977"/>
      <c r="I35" s="678"/>
      <c r="J35" s="678"/>
      <c r="K35" s="678">
        <f>+'%'!$E189</f>
        <v>0</v>
      </c>
      <c r="L35" s="678">
        <f>+'%'!$E190</f>
        <v>0</v>
      </c>
      <c r="M35" s="678">
        <f>+'%'!$E191</f>
        <v>0</v>
      </c>
      <c r="N35" s="678">
        <f>+'%'!$E192</f>
        <v>0</v>
      </c>
      <c r="O35" s="678">
        <f>+'%'!$E193</f>
        <v>0</v>
      </c>
      <c r="P35" s="678">
        <f>+'%'!$E194</f>
        <v>0</v>
      </c>
      <c r="Q35" s="678">
        <f>+'%'!$E195</f>
        <v>0</v>
      </c>
      <c r="R35" s="678">
        <f>+'%'!$E196</f>
        <v>0</v>
      </c>
      <c r="S35" s="678">
        <f>+'%'!$E197</f>
        <v>0</v>
      </c>
      <c r="T35" s="678">
        <f>+'%'!$E198</f>
        <v>0</v>
      </c>
      <c r="U35" s="678">
        <f>+'%'!$E199</f>
        <v>0</v>
      </c>
      <c r="V35" s="678">
        <f>+'%'!$E200</f>
        <v>0</v>
      </c>
      <c r="W35" s="678">
        <f>+'%'!$E201</f>
        <v>0</v>
      </c>
      <c r="X35" s="678">
        <f>+'%'!$E202</f>
        <v>0</v>
      </c>
      <c r="Y35" s="678">
        <f>+'%'!$E203</f>
        <v>0</v>
      </c>
      <c r="Z35" s="678">
        <f>+'%'!$E204</f>
        <v>0</v>
      </c>
      <c r="AA35" s="678">
        <f>+'%'!$E205</f>
        <v>0</v>
      </c>
      <c r="AB35" s="678">
        <f>+'%'!$E206</f>
        <v>0</v>
      </c>
      <c r="AC35" s="678">
        <f>+'%'!$E211</f>
        <v>0</v>
      </c>
      <c r="AD35" s="678">
        <f>+'%'!$E216</f>
        <v>0</v>
      </c>
      <c r="AE35" s="678">
        <f>+'%'!$E217</f>
        <v>0</v>
      </c>
      <c r="AF35" s="678">
        <f>+'%'!$E218</f>
        <v>0</v>
      </c>
      <c r="AG35" s="676"/>
      <c r="AH35" s="676"/>
    </row>
    <row r="36" spans="1:35" hidden="1" x14ac:dyDescent="0.25">
      <c r="A36" s="1378"/>
      <c r="B36" s="1378"/>
      <c r="C36" s="1378"/>
      <c r="D36" s="1378"/>
      <c r="E36" s="1379"/>
      <c r="F36" s="1406"/>
      <c r="G36" s="977"/>
      <c r="H36" s="977"/>
      <c r="I36" s="982"/>
      <c r="J36" s="982"/>
      <c r="K36" s="982" t="e">
        <f>ROUNDDOWN(K35*$E$45,0)</f>
        <v>#REF!</v>
      </c>
      <c r="L36" s="982" t="e">
        <f>ROUNDDOWN(L35*$E$45,0)</f>
        <v>#REF!</v>
      </c>
      <c r="M36" s="982" t="e">
        <f>ROUNDDOWN(M35*$E$45,0)</f>
        <v>#REF!</v>
      </c>
      <c r="N36" s="982" t="e">
        <f t="shared" ref="N36:AF36" si="5">ROUND(N35*$E$45,0)</f>
        <v>#REF!</v>
      </c>
      <c r="O36" s="982" t="e">
        <f t="shared" si="5"/>
        <v>#REF!</v>
      </c>
      <c r="P36" s="982" t="e">
        <f t="shared" si="5"/>
        <v>#REF!</v>
      </c>
      <c r="Q36" s="982" t="e">
        <f t="shared" si="5"/>
        <v>#REF!</v>
      </c>
      <c r="R36" s="982" t="e">
        <f t="shared" si="5"/>
        <v>#REF!</v>
      </c>
      <c r="S36" s="982" t="e">
        <f t="shared" si="5"/>
        <v>#REF!</v>
      </c>
      <c r="T36" s="982" t="e">
        <f t="shared" si="5"/>
        <v>#REF!</v>
      </c>
      <c r="U36" s="982" t="e">
        <f t="shared" si="5"/>
        <v>#REF!</v>
      </c>
      <c r="V36" s="982" t="e">
        <f t="shared" si="5"/>
        <v>#REF!</v>
      </c>
      <c r="W36" s="982" t="e">
        <f t="shared" si="5"/>
        <v>#REF!</v>
      </c>
      <c r="X36" s="982" t="e">
        <f t="shared" si="5"/>
        <v>#REF!</v>
      </c>
      <c r="Y36" s="982" t="e">
        <f t="shared" si="5"/>
        <v>#REF!</v>
      </c>
      <c r="Z36" s="982" t="e">
        <f t="shared" si="5"/>
        <v>#REF!</v>
      </c>
      <c r="AA36" s="982" t="e">
        <f t="shared" si="5"/>
        <v>#REF!</v>
      </c>
      <c r="AB36" s="982" t="e">
        <f t="shared" si="5"/>
        <v>#REF!</v>
      </c>
      <c r="AC36" s="982" t="e">
        <f t="shared" si="5"/>
        <v>#REF!</v>
      </c>
      <c r="AD36" s="982" t="e">
        <f t="shared" si="5"/>
        <v>#REF!</v>
      </c>
      <c r="AE36" s="982" t="e">
        <f t="shared" si="5"/>
        <v>#REF!</v>
      </c>
      <c r="AF36" s="982" t="e">
        <f t="shared" si="5"/>
        <v>#REF!</v>
      </c>
      <c r="AG36" s="676"/>
      <c r="AH36" s="676"/>
    </row>
    <row r="37" spans="1:35" x14ac:dyDescent="0.25">
      <c r="A37" s="1378" t="str">
        <f>+'Presup '!D97</f>
        <v>CARACTERIZACIÓN VIAL</v>
      </c>
      <c r="B37" s="1378"/>
      <c r="C37" s="1378"/>
      <c r="D37" s="1378"/>
      <c r="E37" s="1379">
        <f>+'CARACTERIZACIÓN VIAL'!H34</f>
        <v>13707816</v>
      </c>
      <c r="F37" s="1380" t="e">
        <f>+E37/$E$45</f>
        <v>#REF!</v>
      </c>
      <c r="G37" s="977"/>
      <c r="H37" s="977"/>
      <c r="I37" s="979"/>
      <c r="J37" s="979"/>
      <c r="K37" s="979"/>
      <c r="L37" s="979"/>
      <c r="M37" s="979"/>
      <c r="N37" s="678"/>
      <c r="O37" s="678"/>
      <c r="P37" s="678"/>
      <c r="Q37" s="623"/>
      <c r="R37" s="983"/>
      <c r="S37" s="983"/>
      <c r="T37" s="983"/>
      <c r="U37" s="983"/>
      <c r="V37" s="983"/>
      <c r="W37" s="983"/>
      <c r="X37" s="983"/>
      <c r="Y37" s="983"/>
      <c r="Z37" s="983"/>
      <c r="AA37" s="983"/>
      <c r="AB37" s="983"/>
      <c r="AC37" s="676"/>
      <c r="AD37" s="676"/>
      <c r="AE37" s="676"/>
      <c r="AF37" s="676"/>
      <c r="AG37" s="676"/>
      <c r="AH37" s="676"/>
    </row>
    <row r="38" spans="1:35" hidden="1" x14ac:dyDescent="0.25">
      <c r="A38" s="1378"/>
      <c r="B38" s="1378"/>
      <c r="C38" s="1378"/>
      <c r="D38" s="1378"/>
      <c r="E38" s="1379"/>
      <c r="F38" s="1380"/>
      <c r="G38" s="977"/>
      <c r="H38" s="977"/>
      <c r="I38" s="678">
        <f>+'%'!E225</f>
        <v>1.1813275854097767E-3</v>
      </c>
      <c r="J38" s="678">
        <f>+'%'!E226</f>
        <v>2.3626551708195533E-3</v>
      </c>
      <c r="K38" s="678">
        <f>+'%'!E227</f>
        <v>3.5439827562293302E-3</v>
      </c>
      <c r="L38" s="678">
        <f>+'%'!E228</f>
        <v>4.7253103416391067E-3</v>
      </c>
      <c r="M38" s="678">
        <f>+'%'!E229</f>
        <v>5.9066379270488831E-3</v>
      </c>
      <c r="N38" s="678"/>
      <c r="O38" s="678"/>
      <c r="P38" s="678"/>
      <c r="Q38" s="623"/>
      <c r="R38" s="678"/>
      <c r="S38" s="678"/>
      <c r="T38" s="678"/>
      <c r="U38" s="678"/>
      <c r="V38" s="678"/>
      <c r="W38" s="678"/>
      <c r="X38" s="678"/>
      <c r="Y38" s="678"/>
      <c r="Z38" s="678"/>
      <c r="AA38" s="678"/>
      <c r="AB38" s="678"/>
      <c r="AC38" s="678"/>
      <c r="AD38" s="678"/>
      <c r="AE38" s="980"/>
      <c r="AF38" s="980"/>
      <c r="AG38" s="676"/>
      <c r="AH38" s="676"/>
    </row>
    <row r="39" spans="1:35" hidden="1" x14ac:dyDescent="0.25">
      <c r="A39" s="1378"/>
      <c r="B39" s="1378"/>
      <c r="C39" s="1378"/>
      <c r="D39" s="1378"/>
      <c r="E39" s="1379"/>
      <c r="F39" s="1380"/>
      <c r="G39" s="977"/>
      <c r="H39" s="977"/>
      <c r="I39" s="982" t="e">
        <f>ROUNDDOWN(I38*$E$45,0)</f>
        <v>#REF!</v>
      </c>
      <c r="J39" s="982" t="e">
        <f>ROUND(J38*$E$45,0)</f>
        <v>#REF!</v>
      </c>
      <c r="K39" s="982" t="e">
        <f>ROUND(K38*$E$45,0)</f>
        <v>#REF!</v>
      </c>
      <c r="L39" s="982" t="e">
        <f>ROUND(L38*$E$45,0)</f>
        <v>#REF!</v>
      </c>
      <c r="M39" s="982" t="e">
        <f>ROUND(M38*$E$45,0)</f>
        <v>#REF!</v>
      </c>
      <c r="N39" s="982"/>
      <c r="O39" s="982"/>
      <c r="P39" s="982"/>
      <c r="Q39" s="623"/>
      <c r="R39" s="983"/>
      <c r="S39" s="983"/>
      <c r="T39" s="983"/>
      <c r="U39" s="983"/>
      <c r="V39" s="983"/>
      <c r="W39" s="983"/>
      <c r="X39" s="983"/>
      <c r="Y39" s="983"/>
      <c r="Z39" s="983"/>
      <c r="AA39" s="983"/>
      <c r="AB39" s="983"/>
      <c r="AC39" s="676"/>
      <c r="AD39" s="676"/>
      <c r="AE39" s="676"/>
      <c r="AF39" s="676"/>
      <c r="AG39" s="676"/>
      <c r="AH39" s="676"/>
    </row>
    <row r="40" spans="1:35" x14ac:dyDescent="0.25">
      <c r="A40" s="1392" t="str">
        <f>+'Presup '!D105</f>
        <v>PROTOCOLO DE BIOSEGURIDAD</v>
      </c>
      <c r="B40" s="1393"/>
      <c r="C40" s="1393"/>
      <c r="D40" s="1394"/>
      <c r="E40" s="1110"/>
      <c r="F40" s="1123" t="e">
        <f>+'FL F'!F44:F47</f>
        <v>#VALUE!</v>
      </c>
      <c r="G40" s="1111"/>
      <c r="H40" s="1111"/>
      <c r="I40" s="1120"/>
      <c r="J40" s="1120"/>
      <c r="K40" s="1120"/>
      <c r="L40" s="1120"/>
      <c r="M40" s="1120"/>
      <c r="N40" s="1120"/>
      <c r="O40" s="1120"/>
      <c r="P40" s="1120"/>
      <c r="Q40" s="1121"/>
      <c r="R40" s="984"/>
      <c r="S40" s="984"/>
      <c r="T40" s="984"/>
      <c r="U40" s="984"/>
      <c r="V40" s="984"/>
      <c r="W40" s="984"/>
      <c r="X40" s="984"/>
      <c r="Y40" s="984"/>
      <c r="Z40" s="984"/>
      <c r="AA40" s="984"/>
      <c r="AB40" s="984"/>
      <c r="AC40" s="986"/>
      <c r="AD40" s="986"/>
      <c r="AE40" s="986"/>
      <c r="AF40" s="986"/>
      <c r="AG40" s="676"/>
      <c r="AH40" s="676"/>
    </row>
    <row r="41" spans="1:35" ht="24" customHeight="1" x14ac:dyDescent="0.25">
      <c r="A41" s="1392" t="s">
        <v>865</v>
      </c>
      <c r="B41" s="1393"/>
      <c r="C41" s="1393"/>
      <c r="D41" s="1394"/>
      <c r="E41" s="665"/>
      <c r="F41" s="1124"/>
      <c r="G41" s="979"/>
      <c r="H41" s="979"/>
      <c r="I41" s="982"/>
      <c r="J41" s="982"/>
      <c r="K41" s="982"/>
      <c r="L41" s="982"/>
      <c r="M41" s="982"/>
      <c r="N41" s="982"/>
      <c r="O41" s="982"/>
      <c r="P41" s="982"/>
      <c r="Q41" s="982"/>
      <c r="R41" s="983"/>
      <c r="S41" s="983"/>
      <c r="T41" s="983"/>
      <c r="U41" s="983"/>
      <c r="V41" s="983"/>
      <c r="W41" s="983"/>
      <c r="X41" s="983"/>
      <c r="Y41" s="983"/>
      <c r="Z41" s="983"/>
      <c r="AA41" s="983"/>
      <c r="AB41" s="983"/>
      <c r="AC41" s="676"/>
      <c r="AD41" s="676"/>
      <c r="AE41" s="676"/>
      <c r="AF41" s="676"/>
      <c r="AG41" s="676"/>
      <c r="AH41" s="676"/>
    </row>
    <row r="42" spans="1:35" ht="24" customHeight="1" x14ac:dyDescent="0.25">
      <c r="A42" s="1392" t="s">
        <v>866</v>
      </c>
      <c r="B42" s="1393"/>
      <c r="C42" s="1393"/>
      <c r="D42" s="1394"/>
      <c r="E42" s="665"/>
      <c r="F42" s="1124"/>
      <c r="G42" s="977"/>
      <c r="H42" s="977"/>
      <c r="I42" s="982"/>
      <c r="J42" s="982"/>
      <c r="K42" s="982"/>
      <c r="L42" s="982"/>
      <c r="M42" s="982"/>
      <c r="N42" s="982"/>
      <c r="O42" s="982"/>
      <c r="P42" s="982"/>
      <c r="Q42" s="982"/>
      <c r="R42" s="983"/>
      <c r="S42" s="983"/>
      <c r="T42" s="983"/>
      <c r="U42" s="983"/>
      <c r="V42" s="983"/>
      <c r="W42" s="983"/>
      <c r="X42" s="983"/>
      <c r="Y42" s="983"/>
      <c r="Z42" s="983"/>
      <c r="AA42" s="983"/>
      <c r="AB42" s="983"/>
      <c r="AC42" s="676"/>
      <c r="AD42" s="676"/>
      <c r="AE42" s="676"/>
      <c r="AF42" s="676"/>
      <c r="AG42" s="979"/>
      <c r="AH42" s="979"/>
    </row>
    <row r="43" spans="1:35" x14ac:dyDescent="0.25">
      <c r="A43" s="1388"/>
      <c r="B43" s="1388"/>
      <c r="C43" s="1388"/>
      <c r="D43" s="1388"/>
      <c r="E43" s="480"/>
      <c r="F43" s="1122"/>
      <c r="G43" s="481"/>
      <c r="H43" s="481"/>
      <c r="I43" s="976"/>
      <c r="J43" s="976"/>
      <c r="K43" s="976"/>
      <c r="L43" s="976"/>
      <c r="M43" s="976"/>
      <c r="N43" s="976"/>
      <c r="O43" s="976"/>
      <c r="P43" s="976"/>
      <c r="Q43" s="976"/>
      <c r="R43" s="976"/>
      <c r="S43" s="976"/>
      <c r="T43" s="976"/>
      <c r="U43" s="976"/>
      <c r="V43" s="976"/>
      <c r="W43" s="976"/>
      <c r="X43" s="976"/>
      <c r="Y43" s="976"/>
      <c r="Z43" s="976"/>
      <c r="AA43" s="976"/>
      <c r="AB43" s="976"/>
      <c r="AC43" s="482"/>
      <c r="AD43" s="482"/>
      <c r="AE43" s="482"/>
      <c r="AF43" s="482"/>
      <c r="AG43" s="676"/>
      <c r="AH43" s="676"/>
    </row>
    <row r="44" spans="1:35" x14ac:dyDescent="0.25">
      <c r="A44" s="484"/>
      <c r="B44" s="500"/>
      <c r="C44" s="500"/>
      <c r="D44" s="500"/>
      <c r="E44" s="485"/>
      <c r="F44" s="486"/>
      <c r="G44" s="486"/>
      <c r="H44" s="486"/>
      <c r="I44" s="487"/>
      <c r="J44" s="487"/>
      <c r="K44" s="488"/>
      <c r="L44" s="488"/>
      <c r="M44" s="488"/>
      <c r="N44" s="488"/>
      <c r="O44" s="488"/>
      <c r="P44" s="488"/>
      <c r="Q44" s="488"/>
      <c r="R44" s="488"/>
      <c r="S44" s="488"/>
      <c r="T44" s="488"/>
      <c r="U44" s="488"/>
      <c r="V44" s="488"/>
      <c r="W44" s="488"/>
      <c r="X44" s="488"/>
      <c r="Y44" s="488"/>
      <c r="Z44" s="488"/>
      <c r="AA44" s="488"/>
      <c r="AB44" s="488"/>
      <c r="AC44" s="489"/>
      <c r="AD44" s="489"/>
      <c r="AE44" s="489"/>
      <c r="AF44" s="489"/>
      <c r="AG44" s="489"/>
      <c r="AH44" s="489"/>
    </row>
    <row r="45" spans="1:35" ht="15.75" hidden="1" customHeight="1" thickTop="1" x14ac:dyDescent="0.25">
      <c r="A45" s="490"/>
      <c r="B45" s="500" t="s">
        <v>776</v>
      </c>
      <c r="C45" s="500"/>
      <c r="D45" s="500"/>
      <c r="E45" s="1395" t="e">
        <f>+E37+E34+E31+E28+#REF!+#REF!+E23+E20+E17+E14</f>
        <v>#REF!</v>
      </c>
      <c r="F45" s="1397" t="e">
        <f>+F37+F34+F31+F28+#REF!+#REF!+F23+F20+F17+F14</f>
        <v>#REF!</v>
      </c>
      <c r="G45" s="666"/>
      <c r="H45" s="666"/>
      <c r="I45" s="491" t="e">
        <f>+I38+I35+I32+I29+I26+#REF!+I24+I21+I18+I15</f>
        <v>#REF!</v>
      </c>
      <c r="J45" s="491" t="e">
        <f>+J38+J35+J32+J29+J26+#REF!+J24+J21+J18+J15</f>
        <v>#REF!</v>
      </c>
      <c r="K45" s="491" t="e">
        <f>+K38+K35+K32+K29+K26+#REF!+K24+K21+K18+K15</f>
        <v>#REF!</v>
      </c>
      <c r="L45" s="491" t="e">
        <f>+L38+L35+L32+L29+L26+#REF!+L24+L21+L18+L15</f>
        <v>#REF!</v>
      </c>
      <c r="M45" s="491" t="e">
        <f>+M38+M35+M32+M29+M26+#REF!+M24+M21+M18+M15</f>
        <v>#REF!</v>
      </c>
      <c r="N45" s="491" t="e">
        <f>+N38+N35+N32+N29+N26+#REF!+N24+N21+N18+N15</f>
        <v>#REF!</v>
      </c>
      <c r="O45" s="491" t="e">
        <f>+O38+O35+O32+O29+O26+#REF!+O24+O21+O18+O15</f>
        <v>#REF!</v>
      </c>
      <c r="P45" s="491" t="e">
        <f>+P38+P35+P32+P29+P26+#REF!+P24+P21+P18+P15</f>
        <v>#REF!</v>
      </c>
      <c r="Q45" s="491" t="e">
        <f>+Q38+Q35+Q32+Q29+Q26+#REF!+Q24+Q21+Q18+Q15</f>
        <v>#REF!</v>
      </c>
      <c r="R45" s="491" t="e">
        <f>+R38+R35+R32+R29+R26+#REF!+R24+R21+R18+R15</f>
        <v>#REF!</v>
      </c>
      <c r="S45" s="491" t="e">
        <f>+S38+S35+S32+S29+S26+#REF!+S24+S21+S18+S15</f>
        <v>#REF!</v>
      </c>
      <c r="T45" s="491" t="e">
        <f>+T38+T35+T32+T29+T26+#REF!+T24+T21+T18+T15</f>
        <v>#REF!</v>
      </c>
      <c r="U45" s="491" t="e">
        <f>+U38+U35+U32+U29+U26+#REF!+U24+U21+U18+U15</f>
        <v>#REF!</v>
      </c>
      <c r="V45" s="491" t="e">
        <f>+V38+V35+V32+V29+V26+#REF!+V24+V21+V18+V15</f>
        <v>#REF!</v>
      </c>
      <c r="W45" s="491" t="e">
        <f>+W38+W35+W32+W29+W26+#REF!+W24+W21+W18+W15</f>
        <v>#REF!</v>
      </c>
      <c r="X45" s="491" t="e">
        <f>+X38+X35+X32+X29+X26+#REF!+X24+X21+X18+X15</f>
        <v>#REF!</v>
      </c>
      <c r="Y45" s="491" t="e">
        <f>+Y38+Y35+Y32+Y29+Y26+#REF!+Y24+Y21+Y18+Y15</f>
        <v>#REF!</v>
      </c>
      <c r="Z45" s="491" t="e">
        <f>+Z38+Z35+Z32+Z29+Z26+#REF!+Z24+Z21+Z18+Z15</f>
        <v>#REF!</v>
      </c>
      <c r="AA45" s="491" t="e">
        <f>+AA38+AA35+AA32+AA29+AA26+#REF!+AA24+AA21+AA18+AA15</f>
        <v>#REF!</v>
      </c>
      <c r="AB45" s="491" t="e">
        <f>+AB38+AB35+AB32+AB29+AB26+#REF!+AB24+AB21+AB18+AB15</f>
        <v>#REF!</v>
      </c>
      <c r="AC45" s="491" t="e">
        <f>+AC38+AC35+AC32+AC29+AC26+#REF!+AC24+AC21+AC18+AC15</f>
        <v>#REF!</v>
      </c>
      <c r="AD45" s="491" t="e">
        <f>+AD38+AD35+AD32+AD29+AD26+#REF!+AD24+AD21+AD18+AD15</f>
        <v>#REF!</v>
      </c>
      <c r="AE45" s="491" t="e">
        <f>+AE38+AE35+AE32+AE29+AE26+#REF!+AE24+AE21+AE18+AE15</f>
        <v>#REF!</v>
      </c>
      <c r="AF45" s="491" t="e">
        <f>+AF38+AF35+AF32+AF29+AF26+#REF!+AF24+AF21+AF18+AF15</f>
        <v>#REF!</v>
      </c>
      <c r="AG45" s="1051"/>
      <c r="AH45" s="1051"/>
    </row>
    <row r="46" spans="1:35" ht="15.75" hidden="1" customHeight="1" thickBot="1" x14ac:dyDescent="0.3">
      <c r="A46" s="490"/>
      <c r="B46" s="500"/>
      <c r="C46" s="500"/>
      <c r="D46" s="500"/>
      <c r="E46" s="1396"/>
      <c r="F46" s="1398"/>
      <c r="G46" s="667"/>
      <c r="H46" s="667"/>
      <c r="I46" s="492" t="e">
        <f>+I33+I30+I27+#REF!+I25+I22+I19+I16+I39+I36</f>
        <v>#REF!</v>
      </c>
      <c r="J46" s="492" t="e">
        <f>+J33+J30+J27+#REF!+J25+J22+J19+J16+J39+J36</f>
        <v>#REF!</v>
      </c>
      <c r="K46" s="492" t="e">
        <f>+K33+K30+K27+#REF!+K25+K22+K19+K16+K39+K36</f>
        <v>#REF!</v>
      </c>
      <c r="L46" s="492" t="e">
        <f>+L33+L30+L27+#REF!+L25+L22+L19+L16+L39+L36</f>
        <v>#REF!</v>
      </c>
      <c r="M46" s="492" t="e">
        <f>+M33+M30+M27+#REF!+M25+M22+M19+M16+M39+M36</f>
        <v>#REF!</v>
      </c>
      <c r="N46" s="492" t="e">
        <f>+N33+N30+N27+#REF!+N25+N22+N19+N16+N39+N36</f>
        <v>#REF!</v>
      </c>
      <c r="O46" s="492" t="e">
        <f>+O33+O30+O27+#REF!+O25+O22+O19+O16+O39+O36</f>
        <v>#REF!</v>
      </c>
      <c r="P46" s="492" t="e">
        <f>+P33+P30+P27+#REF!+P25+P22+P19+P16+P39+P36</f>
        <v>#REF!</v>
      </c>
      <c r="Q46" s="492" t="e">
        <f>+Q33+Q30+Q27+#REF!+Q25+Q22+Q19+Q16+Q39+Q36</f>
        <v>#REF!</v>
      </c>
      <c r="R46" s="492" t="e">
        <f>+R33+R30+R27+#REF!+R25+R22+R19+R16+R39+R36</f>
        <v>#REF!</v>
      </c>
      <c r="S46" s="492" t="e">
        <f>+S33+S30+S27+#REF!+S25+S22+S19+S16+S39+S36</f>
        <v>#REF!</v>
      </c>
      <c r="T46" s="492" t="e">
        <f>+T33+T30+T27+#REF!+T25+T22+T19+T16+T39+T36</f>
        <v>#REF!</v>
      </c>
      <c r="U46" s="492" t="e">
        <f>+U33+U30+U27+#REF!+U25+U22+U19+U16+U39+U36</f>
        <v>#REF!</v>
      </c>
      <c r="V46" s="492" t="e">
        <f>+V33+V30+V27+#REF!+V25+V22+V19+V16+V39+V36</f>
        <v>#REF!</v>
      </c>
      <c r="W46" s="492" t="e">
        <f>+W33+W30+W27+#REF!+W25+W22+W19+W16+W39+W36</f>
        <v>#REF!</v>
      </c>
      <c r="X46" s="492" t="e">
        <f>+X33+X30+X27+#REF!+X25+X22+X19+X16+X39+X36</f>
        <v>#REF!</v>
      </c>
      <c r="Y46" s="492" t="e">
        <f>+Y33+Y30+Y27+#REF!+Y25+Y22+Y19+Y16+Y39+Y36</f>
        <v>#REF!</v>
      </c>
      <c r="Z46" s="492" t="e">
        <f>+Z33+Z30+Z27+#REF!+Z25+Z22+Z19+Z16+Z39+Z36</f>
        <v>#REF!</v>
      </c>
      <c r="AA46" s="492" t="e">
        <f>+AA33+AA30+AA27+#REF!+AA25+AA22+AA19+AA16+AA39+AA36</f>
        <v>#REF!</v>
      </c>
      <c r="AB46" s="492" t="e">
        <f>+AB33+AB30+AB27+#REF!+AB25+AB22+AB19+AB16+AB39+AB36</f>
        <v>#REF!</v>
      </c>
      <c r="AC46" s="492" t="e">
        <f>+AC33+AC30+AC27+#REF!+AC25+AC22+AC19+AC16+AC39+AC36</f>
        <v>#REF!</v>
      </c>
      <c r="AD46" s="492" t="e">
        <f>+AD33+AD30+AD27+#REF!+AD25+AD22+AD19+AD16+AD39+AD36</f>
        <v>#REF!</v>
      </c>
      <c r="AE46" s="492" t="e">
        <f>+AE33+AE30+AE27+#REF!+AE25+AE22+AE19+AE16+AE39+AE36</f>
        <v>#REF!</v>
      </c>
      <c r="AF46" s="492" t="e">
        <f>+AF33+AF30+AF27+#REF!+AF25+AF22+AF19+AF16+AF39+AF36</f>
        <v>#REF!</v>
      </c>
      <c r="AG46" s="483"/>
      <c r="AH46" s="483"/>
      <c r="AI46" s="373"/>
    </row>
    <row r="47" spans="1:35" ht="6" hidden="1" customHeight="1" thickTop="1" x14ac:dyDescent="0.25">
      <c r="A47" s="490"/>
      <c r="B47" s="500"/>
      <c r="C47" s="500"/>
      <c r="D47" s="500"/>
      <c r="E47" s="494"/>
      <c r="F47" s="495"/>
      <c r="G47" s="495"/>
      <c r="H47" s="495"/>
      <c r="I47" s="496"/>
      <c r="J47" s="496"/>
      <c r="K47" s="496"/>
      <c r="L47" s="496"/>
      <c r="M47" s="496"/>
      <c r="N47" s="496"/>
      <c r="O47" s="496"/>
      <c r="P47" s="496"/>
      <c r="Q47" s="496"/>
      <c r="R47" s="496"/>
      <c r="S47" s="496"/>
      <c r="T47" s="496"/>
      <c r="U47" s="496"/>
      <c r="V47" s="496"/>
      <c r="W47" s="496"/>
      <c r="X47" s="496"/>
      <c r="Y47" s="496"/>
      <c r="Z47" s="496"/>
      <c r="AA47" s="496"/>
      <c r="AB47" s="496"/>
      <c r="AC47" s="497"/>
      <c r="AD47" s="497"/>
      <c r="AE47" s="497"/>
      <c r="AF47" s="497"/>
      <c r="AG47" s="483"/>
      <c r="AH47" s="483"/>
    </row>
    <row r="48" spans="1:35" ht="15.75" hidden="1" customHeight="1" thickBot="1" x14ac:dyDescent="0.3">
      <c r="A48" s="490"/>
      <c r="B48" s="500"/>
      <c r="C48" s="500"/>
      <c r="D48" s="500"/>
      <c r="E48" s="494"/>
      <c r="F48" s="495" t="s">
        <v>777</v>
      </c>
      <c r="G48" s="495"/>
      <c r="H48" s="495"/>
      <c r="I48" s="496"/>
      <c r="J48" s="496"/>
      <c r="K48" s="496"/>
      <c r="L48" s="496"/>
      <c r="M48" s="496"/>
      <c r="N48" s="496"/>
      <c r="O48" s="496"/>
      <c r="P48" s="496"/>
      <c r="Q48" s="496"/>
      <c r="R48" s="496"/>
      <c r="S48" s="496"/>
      <c r="T48" s="496"/>
      <c r="U48" s="496"/>
      <c r="V48" s="496"/>
      <c r="W48" s="496"/>
      <c r="X48" s="496"/>
      <c r="Y48" s="496"/>
      <c r="Z48" s="496"/>
      <c r="AA48" s="496"/>
      <c r="AB48" s="496"/>
      <c r="AC48" s="497"/>
      <c r="AD48" s="497"/>
      <c r="AE48" s="497"/>
      <c r="AF48" s="497"/>
      <c r="AG48" s="483"/>
      <c r="AH48" s="483"/>
    </row>
    <row r="49" spans="1:35" ht="15.75" hidden="1" customHeight="1" thickTop="1" x14ac:dyDescent="0.25">
      <c r="A49" s="490"/>
      <c r="B49" s="500" t="s">
        <v>778</v>
      </c>
      <c r="C49" s="500"/>
      <c r="D49" s="500"/>
      <c r="E49" s="1395">
        <f>+'Presup '!I108</f>
        <v>0</v>
      </c>
      <c r="F49" s="1397">
        <v>1</v>
      </c>
      <c r="G49" s="666"/>
      <c r="H49" s="666"/>
      <c r="I49" s="491">
        <f t="shared" ref="I49:AF49" si="6">+$F$49/$AI$12</f>
        <v>4.1666666666666664E-2</v>
      </c>
      <c r="J49" s="491">
        <f t="shared" si="6"/>
        <v>4.1666666666666664E-2</v>
      </c>
      <c r="K49" s="491">
        <f t="shared" si="6"/>
        <v>4.1666666666666664E-2</v>
      </c>
      <c r="L49" s="491">
        <f t="shared" si="6"/>
        <v>4.1666666666666664E-2</v>
      </c>
      <c r="M49" s="491">
        <f t="shared" si="6"/>
        <v>4.1666666666666664E-2</v>
      </c>
      <c r="N49" s="491">
        <f t="shared" si="6"/>
        <v>4.1666666666666664E-2</v>
      </c>
      <c r="O49" s="491">
        <f t="shared" si="6"/>
        <v>4.1666666666666664E-2</v>
      </c>
      <c r="P49" s="491">
        <f t="shared" si="6"/>
        <v>4.1666666666666664E-2</v>
      </c>
      <c r="Q49" s="491">
        <f t="shared" si="6"/>
        <v>4.1666666666666664E-2</v>
      </c>
      <c r="R49" s="491">
        <f t="shared" si="6"/>
        <v>4.1666666666666664E-2</v>
      </c>
      <c r="S49" s="491">
        <f t="shared" si="6"/>
        <v>4.1666666666666664E-2</v>
      </c>
      <c r="T49" s="491">
        <f t="shared" si="6"/>
        <v>4.1666666666666664E-2</v>
      </c>
      <c r="U49" s="491">
        <f t="shared" si="6"/>
        <v>4.1666666666666664E-2</v>
      </c>
      <c r="V49" s="491">
        <f t="shared" si="6"/>
        <v>4.1666666666666664E-2</v>
      </c>
      <c r="W49" s="491">
        <f t="shared" si="6"/>
        <v>4.1666666666666664E-2</v>
      </c>
      <c r="X49" s="491">
        <f t="shared" si="6"/>
        <v>4.1666666666666664E-2</v>
      </c>
      <c r="Y49" s="491">
        <f t="shared" si="6"/>
        <v>4.1666666666666664E-2</v>
      </c>
      <c r="Z49" s="491">
        <f t="shared" si="6"/>
        <v>4.1666666666666664E-2</v>
      </c>
      <c r="AA49" s="491">
        <f t="shared" si="6"/>
        <v>4.1666666666666664E-2</v>
      </c>
      <c r="AB49" s="491">
        <f t="shared" si="6"/>
        <v>4.1666666666666664E-2</v>
      </c>
      <c r="AC49" s="491">
        <f t="shared" si="6"/>
        <v>4.1666666666666664E-2</v>
      </c>
      <c r="AD49" s="491">
        <f t="shared" si="6"/>
        <v>4.1666666666666664E-2</v>
      </c>
      <c r="AE49" s="491">
        <f t="shared" si="6"/>
        <v>4.1666666666666664E-2</v>
      </c>
      <c r="AF49" s="491">
        <f t="shared" si="6"/>
        <v>4.1666666666666664E-2</v>
      </c>
      <c r="AG49" s="483"/>
      <c r="AH49" s="483"/>
    </row>
    <row r="50" spans="1:35" ht="15.75" hidden="1" customHeight="1" thickBot="1" x14ac:dyDescent="0.3">
      <c r="A50" s="490"/>
      <c r="B50" s="500"/>
      <c r="C50" s="500"/>
      <c r="D50" s="500"/>
      <c r="E50" s="1396"/>
      <c r="F50" s="1398"/>
      <c r="G50" s="667"/>
      <c r="H50" s="667"/>
      <c r="I50" s="498">
        <f>(I49*$E$49)</f>
        <v>0</v>
      </c>
      <c r="J50" s="498">
        <f t="shared" ref="J50:AF50" si="7">(J49*$E$49)</f>
        <v>0</v>
      </c>
      <c r="K50" s="498">
        <f t="shared" si="7"/>
        <v>0</v>
      </c>
      <c r="L50" s="498">
        <f t="shared" si="7"/>
        <v>0</v>
      </c>
      <c r="M50" s="498">
        <f t="shared" si="7"/>
        <v>0</v>
      </c>
      <c r="N50" s="498">
        <f t="shared" si="7"/>
        <v>0</v>
      </c>
      <c r="O50" s="498">
        <f t="shared" si="7"/>
        <v>0</v>
      </c>
      <c r="P50" s="498">
        <f t="shared" si="7"/>
        <v>0</v>
      </c>
      <c r="Q50" s="498">
        <f t="shared" si="7"/>
        <v>0</v>
      </c>
      <c r="R50" s="498">
        <f t="shared" si="7"/>
        <v>0</v>
      </c>
      <c r="S50" s="498">
        <f t="shared" si="7"/>
        <v>0</v>
      </c>
      <c r="T50" s="498">
        <f t="shared" si="7"/>
        <v>0</v>
      </c>
      <c r="U50" s="498">
        <f t="shared" si="7"/>
        <v>0</v>
      </c>
      <c r="V50" s="498">
        <f t="shared" si="7"/>
        <v>0</v>
      </c>
      <c r="W50" s="498">
        <f t="shared" si="7"/>
        <v>0</v>
      </c>
      <c r="X50" s="498">
        <f t="shared" si="7"/>
        <v>0</v>
      </c>
      <c r="Y50" s="498">
        <f t="shared" si="7"/>
        <v>0</v>
      </c>
      <c r="Z50" s="498">
        <f t="shared" si="7"/>
        <v>0</v>
      </c>
      <c r="AA50" s="498">
        <f t="shared" si="7"/>
        <v>0</v>
      </c>
      <c r="AB50" s="498">
        <f t="shared" si="7"/>
        <v>0</v>
      </c>
      <c r="AC50" s="498">
        <f t="shared" si="7"/>
        <v>0</v>
      </c>
      <c r="AD50" s="498">
        <f t="shared" si="7"/>
        <v>0</v>
      </c>
      <c r="AE50" s="498">
        <f t="shared" si="7"/>
        <v>0</v>
      </c>
      <c r="AF50" s="498">
        <f t="shared" si="7"/>
        <v>0</v>
      </c>
      <c r="AG50" s="483"/>
      <c r="AH50" s="483"/>
    </row>
    <row r="51" spans="1:35" ht="4.5" hidden="1" customHeight="1" thickTop="1" thickBot="1" x14ac:dyDescent="0.3">
      <c r="A51" s="490"/>
      <c r="B51" s="500"/>
      <c r="C51" s="500"/>
      <c r="D51" s="500"/>
      <c r="E51" s="479"/>
      <c r="F51" s="479"/>
      <c r="G51" s="479"/>
      <c r="H51" s="47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  <c r="AG51" s="483"/>
      <c r="AH51" s="483"/>
    </row>
    <row r="52" spans="1:35" ht="15.75" hidden="1" customHeight="1" thickTop="1" x14ac:dyDescent="0.25">
      <c r="A52" s="490"/>
      <c r="B52" s="500" t="s">
        <v>586</v>
      </c>
      <c r="C52" s="500"/>
      <c r="D52" s="500"/>
      <c r="E52" s="1399" t="e">
        <f>+E45+E49</f>
        <v>#REF!</v>
      </c>
      <c r="F52" s="1397">
        <v>1</v>
      </c>
      <c r="G52" s="666"/>
      <c r="H52" s="666"/>
      <c r="I52" s="491" t="e">
        <f>I53/$E$52</f>
        <v>#REF!</v>
      </c>
      <c r="J52" s="491" t="e">
        <f t="shared" ref="J52:AF52" si="8">J53/$E$52</f>
        <v>#REF!</v>
      </c>
      <c r="K52" s="491" t="e">
        <f t="shared" si="8"/>
        <v>#REF!</v>
      </c>
      <c r="L52" s="491" t="e">
        <f t="shared" si="8"/>
        <v>#REF!</v>
      </c>
      <c r="M52" s="491" t="e">
        <f t="shared" si="8"/>
        <v>#REF!</v>
      </c>
      <c r="N52" s="491" t="e">
        <f t="shared" si="8"/>
        <v>#REF!</v>
      </c>
      <c r="O52" s="491" t="e">
        <f t="shared" si="8"/>
        <v>#REF!</v>
      </c>
      <c r="P52" s="491" t="e">
        <f t="shared" si="8"/>
        <v>#REF!</v>
      </c>
      <c r="Q52" s="491" t="e">
        <f t="shared" si="8"/>
        <v>#REF!</v>
      </c>
      <c r="R52" s="491" t="e">
        <f t="shared" si="8"/>
        <v>#REF!</v>
      </c>
      <c r="S52" s="491" t="e">
        <f t="shared" si="8"/>
        <v>#REF!</v>
      </c>
      <c r="T52" s="491" t="e">
        <f t="shared" si="8"/>
        <v>#REF!</v>
      </c>
      <c r="U52" s="491" t="e">
        <f t="shared" si="8"/>
        <v>#REF!</v>
      </c>
      <c r="V52" s="491" t="e">
        <f t="shared" si="8"/>
        <v>#REF!</v>
      </c>
      <c r="W52" s="491" t="e">
        <f t="shared" si="8"/>
        <v>#REF!</v>
      </c>
      <c r="X52" s="491" t="e">
        <f t="shared" si="8"/>
        <v>#REF!</v>
      </c>
      <c r="Y52" s="491" t="e">
        <f t="shared" si="8"/>
        <v>#REF!</v>
      </c>
      <c r="Z52" s="491" t="e">
        <f t="shared" si="8"/>
        <v>#REF!</v>
      </c>
      <c r="AA52" s="491" t="e">
        <f t="shared" si="8"/>
        <v>#REF!</v>
      </c>
      <c r="AB52" s="491" t="e">
        <f t="shared" si="8"/>
        <v>#REF!</v>
      </c>
      <c r="AC52" s="491" t="e">
        <f t="shared" si="8"/>
        <v>#REF!</v>
      </c>
      <c r="AD52" s="491" t="e">
        <f t="shared" si="8"/>
        <v>#REF!</v>
      </c>
      <c r="AE52" s="491" t="e">
        <f t="shared" si="8"/>
        <v>#REF!</v>
      </c>
      <c r="AF52" s="491" t="e">
        <f t="shared" si="8"/>
        <v>#REF!</v>
      </c>
      <c r="AG52" s="483"/>
      <c r="AH52" s="483"/>
    </row>
    <row r="53" spans="1:35" ht="15.75" hidden="1" customHeight="1" thickBot="1" x14ac:dyDescent="0.3">
      <c r="A53" s="490"/>
      <c r="B53" s="500"/>
      <c r="C53" s="500"/>
      <c r="D53" s="500"/>
      <c r="E53" s="1400"/>
      <c r="F53" s="1398"/>
      <c r="G53" s="667"/>
      <c r="H53" s="667"/>
      <c r="I53" s="498" t="e">
        <f>+I50+I46</f>
        <v>#REF!</v>
      </c>
      <c r="J53" s="498" t="e">
        <f t="shared" ref="J53:AF53" si="9">+J50+J46</f>
        <v>#REF!</v>
      </c>
      <c r="K53" s="498" t="e">
        <f t="shared" si="9"/>
        <v>#REF!</v>
      </c>
      <c r="L53" s="498" t="e">
        <f t="shared" si="9"/>
        <v>#REF!</v>
      </c>
      <c r="M53" s="498" t="e">
        <f t="shared" si="9"/>
        <v>#REF!</v>
      </c>
      <c r="N53" s="498" t="e">
        <f t="shared" si="9"/>
        <v>#REF!</v>
      </c>
      <c r="O53" s="498" t="e">
        <f t="shared" si="9"/>
        <v>#REF!</v>
      </c>
      <c r="P53" s="498" t="e">
        <f t="shared" si="9"/>
        <v>#REF!</v>
      </c>
      <c r="Q53" s="498" t="e">
        <f t="shared" si="9"/>
        <v>#REF!</v>
      </c>
      <c r="R53" s="498" t="e">
        <f t="shared" si="9"/>
        <v>#REF!</v>
      </c>
      <c r="S53" s="498" t="e">
        <f t="shared" si="9"/>
        <v>#REF!</v>
      </c>
      <c r="T53" s="498" t="e">
        <f t="shared" si="9"/>
        <v>#REF!</v>
      </c>
      <c r="U53" s="498" t="e">
        <f t="shared" si="9"/>
        <v>#REF!</v>
      </c>
      <c r="V53" s="498" t="e">
        <f t="shared" si="9"/>
        <v>#REF!</v>
      </c>
      <c r="W53" s="498" t="e">
        <f t="shared" si="9"/>
        <v>#REF!</v>
      </c>
      <c r="X53" s="498" t="e">
        <f t="shared" si="9"/>
        <v>#REF!</v>
      </c>
      <c r="Y53" s="498" t="e">
        <f t="shared" si="9"/>
        <v>#REF!</v>
      </c>
      <c r="Z53" s="498" t="e">
        <f t="shared" si="9"/>
        <v>#REF!</v>
      </c>
      <c r="AA53" s="498" t="e">
        <f t="shared" si="9"/>
        <v>#REF!</v>
      </c>
      <c r="AB53" s="498" t="e">
        <f t="shared" si="9"/>
        <v>#REF!</v>
      </c>
      <c r="AC53" s="498" t="e">
        <f t="shared" si="9"/>
        <v>#REF!</v>
      </c>
      <c r="AD53" s="498" t="e">
        <f t="shared" si="9"/>
        <v>#REF!</v>
      </c>
      <c r="AE53" s="498" t="e">
        <f t="shared" si="9"/>
        <v>#REF!</v>
      </c>
      <c r="AF53" s="498" t="e">
        <f t="shared" si="9"/>
        <v>#REF!</v>
      </c>
      <c r="AG53" s="483"/>
      <c r="AH53" s="483"/>
    </row>
    <row r="54" spans="1:35" ht="16.5" hidden="1" customHeight="1" thickTop="1" thickBot="1" x14ac:dyDescent="0.3">
      <c r="A54" s="500"/>
      <c r="B54" s="500"/>
      <c r="C54" s="500"/>
      <c r="D54" s="500"/>
      <c r="E54" s="501"/>
      <c r="F54" s="501"/>
      <c r="G54" s="501"/>
      <c r="H54" s="501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G54" s="483"/>
      <c r="AH54" s="483"/>
    </row>
    <row r="55" spans="1:35" ht="15.75" hidden="1" customHeight="1" thickTop="1" x14ac:dyDescent="0.25">
      <c r="A55" s="500"/>
      <c r="B55" s="500"/>
      <c r="C55" s="500"/>
      <c r="D55" s="500"/>
      <c r="E55" s="1401" t="s">
        <v>779</v>
      </c>
      <c r="F55" s="502" t="s">
        <v>520</v>
      </c>
      <c r="G55" s="502"/>
      <c r="H55" s="502"/>
      <c r="I55" s="503" t="e">
        <f t="shared" ref="I55:AF56" si="10">+I52</f>
        <v>#REF!</v>
      </c>
      <c r="J55" s="503" t="e">
        <f t="shared" si="10"/>
        <v>#REF!</v>
      </c>
      <c r="K55" s="503" t="e">
        <f t="shared" si="10"/>
        <v>#REF!</v>
      </c>
      <c r="L55" s="503" t="e">
        <f t="shared" si="10"/>
        <v>#REF!</v>
      </c>
      <c r="M55" s="503" t="e">
        <f t="shared" si="10"/>
        <v>#REF!</v>
      </c>
      <c r="N55" s="503" t="e">
        <f t="shared" si="10"/>
        <v>#REF!</v>
      </c>
      <c r="O55" s="503" t="e">
        <f t="shared" si="10"/>
        <v>#REF!</v>
      </c>
      <c r="P55" s="503" t="e">
        <f t="shared" si="10"/>
        <v>#REF!</v>
      </c>
      <c r="Q55" s="503" t="e">
        <f t="shared" si="10"/>
        <v>#REF!</v>
      </c>
      <c r="R55" s="503" t="e">
        <f t="shared" si="10"/>
        <v>#REF!</v>
      </c>
      <c r="S55" s="503" t="e">
        <f t="shared" si="10"/>
        <v>#REF!</v>
      </c>
      <c r="T55" s="503" t="e">
        <f t="shared" si="10"/>
        <v>#REF!</v>
      </c>
      <c r="U55" s="503" t="e">
        <f t="shared" si="10"/>
        <v>#REF!</v>
      </c>
      <c r="V55" s="503" t="e">
        <f t="shared" si="10"/>
        <v>#REF!</v>
      </c>
      <c r="W55" s="503" t="e">
        <f t="shared" si="10"/>
        <v>#REF!</v>
      </c>
      <c r="X55" s="503" t="e">
        <f t="shared" si="10"/>
        <v>#REF!</v>
      </c>
      <c r="Y55" s="503" t="e">
        <f t="shared" si="10"/>
        <v>#REF!</v>
      </c>
      <c r="Z55" s="503" t="e">
        <f t="shared" si="10"/>
        <v>#REF!</v>
      </c>
      <c r="AA55" s="503" t="e">
        <f t="shared" si="10"/>
        <v>#REF!</v>
      </c>
      <c r="AB55" s="503" t="e">
        <f t="shared" si="10"/>
        <v>#REF!</v>
      </c>
      <c r="AC55" s="503" t="e">
        <f t="shared" si="10"/>
        <v>#REF!</v>
      </c>
      <c r="AD55" s="503" t="e">
        <f t="shared" si="10"/>
        <v>#REF!</v>
      </c>
      <c r="AE55" s="503" t="e">
        <f t="shared" si="10"/>
        <v>#REF!</v>
      </c>
      <c r="AF55" s="503" t="e">
        <f t="shared" si="10"/>
        <v>#REF!</v>
      </c>
      <c r="AG55" s="483"/>
      <c r="AH55" s="483"/>
    </row>
    <row r="56" spans="1:35" ht="15.75" hidden="1" customHeight="1" thickBot="1" x14ac:dyDescent="0.3">
      <c r="A56" s="500"/>
      <c r="B56" s="500"/>
      <c r="C56" s="500"/>
      <c r="D56" s="500"/>
      <c r="E56" s="1402"/>
      <c r="F56" s="504" t="s">
        <v>780</v>
      </c>
      <c r="G56" s="504"/>
      <c r="H56" s="504"/>
      <c r="I56" s="505" t="e">
        <f t="shared" si="10"/>
        <v>#REF!</v>
      </c>
      <c r="J56" s="505" t="e">
        <f t="shared" si="10"/>
        <v>#REF!</v>
      </c>
      <c r="K56" s="505" t="e">
        <f t="shared" si="10"/>
        <v>#REF!</v>
      </c>
      <c r="L56" s="505" t="e">
        <f t="shared" si="10"/>
        <v>#REF!</v>
      </c>
      <c r="M56" s="505" t="e">
        <f t="shared" si="10"/>
        <v>#REF!</v>
      </c>
      <c r="N56" s="505" t="e">
        <f t="shared" si="10"/>
        <v>#REF!</v>
      </c>
      <c r="O56" s="505" t="e">
        <f t="shared" si="10"/>
        <v>#REF!</v>
      </c>
      <c r="P56" s="505" t="e">
        <f t="shared" si="10"/>
        <v>#REF!</v>
      </c>
      <c r="Q56" s="505" t="e">
        <f t="shared" si="10"/>
        <v>#REF!</v>
      </c>
      <c r="R56" s="505" t="e">
        <f t="shared" si="10"/>
        <v>#REF!</v>
      </c>
      <c r="S56" s="505" t="e">
        <f t="shared" si="10"/>
        <v>#REF!</v>
      </c>
      <c r="T56" s="505" t="e">
        <f t="shared" si="10"/>
        <v>#REF!</v>
      </c>
      <c r="U56" s="505" t="e">
        <f t="shared" si="10"/>
        <v>#REF!</v>
      </c>
      <c r="V56" s="505" t="e">
        <f t="shared" si="10"/>
        <v>#REF!</v>
      </c>
      <c r="W56" s="505" t="e">
        <f t="shared" si="10"/>
        <v>#REF!</v>
      </c>
      <c r="X56" s="505" t="e">
        <f t="shared" si="10"/>
        <v>#REF!</v>
      </c>
      <c r="Y56" s="505" t="e">
        <f t="shared" si="10"/>
        <v>#REF!</v>
      </c>
      <c r="Z56" s="505" t="e">
        <f t="shared" si="10"/>
        <v>#REF!</v>
      </c>
      <c r="AA56" s="505" t="e">
        <f t="shared" si="10"/>
        <v>#REF!</v>
      </c>
      <c r="AB56" s="505" t="e">
        <f t="shared" si="10"/>
        <v>#REF!</v>
      </c>
      <c r="AC56" s="505" t="e">
        <f t="shared" ref="AC56" si="11">+AC53</f>
        <v>#REF!</v>
      </c>
      <c r="AD56" s="505" t="e">
        <f t="shared" si="10"/>
        <v>#REF!</v>
      </c>
      <c r="AE56" s="505" t="e">
        <f>+AE53</f>
        <v>#REF!</v>
      </c>
      <c r="AF56" s="505" t="e">
        <f>+AF53</f>
        <v>#REF!</v>
      </c>
      <c r="AG56" s="483"/>
      <c r="AH56" s="483"/>
    </row>
    <row r="57" spans="1:35" ht="15.75" hidden="1" customHeight="1" thickTop="1" x14ac:dyDescent="0.25">
      <c r="A57" s="500"/>
      <c r="B57" s="500"/>
      <c r="C57" s="500"/>
      <c r="D57" s="500"/>
      <c r="E57" s="1402" t="s">
        <v>781</v>
      </c>
      <c r="F57" s="506" t="s">
        <v>520</v>
      </c>
      <c r="G57" s="675"/>
      <c r="H57" s="675"/>
      <c r="I57" s="503" t="e">
        <f>+I55</f>
        <v>#REF!</v>
      </c>
      <c r="J57" s="503" t="e">
        <f>+J55+I57</f>
        <v>#REF!</v>
      </c>
      <c r="K57" s="503" t="e">
        <f t="shared" ref="K57:AF57" si="12">+K55+J57</f>
        <v>#REF!</v>
      </c>
      <c r="L57" s="503" t="e">
        <f t="shared" si="12"/>
        <v>#REF!</v>
      </c>
      <c r="M57" s="503" t="e">
        <f t="shared" si="12"/>
        <v>#REF!</v>
      </c>
      <c r="N57" s="503" t="e">
        <f t="shared" si="12"/>
        <v>#REF!</v>
      </c>
      <c r="O57" s="503" t="e">
        <f t="shared" si="12"/>
        <v>#REF!</v>
      </c>
      <c r="P57" s="503" t="e">
        <f t="shared" si="12"/>
        <v>#REF!</v>
      </c>
      <c r="Q57" s="503" t="e">
        <f t="shared" si="12"/>
        <v>#REF!</v>
      </c>
      <c r="R57" s="503" t="e">
        <f t="shared" si="12"/>
        <v>#REF!</v>
      </c>
      <c r="S57" s="503" t="e">
        <f t="shared" si="12"/>
        <v>#REF!</v>
      </c>
      <c r="T57" s="503" t="e">
        <f t="shared" si="12"/>
        <v>#REF!</v>
      </c>
      <c r="U57" s="503" t="e">
        <f t="shared" si="12"/>
        <v>#REF!</v>
      </c>
      <c r="V57" s="503" t="e">
        <f t="shared" si="12"/>
        <v>#REF!</v>
      </c>
      <c r="W57" s="503" t="e">
        <f t="shared" si="12"/>
        <v>#REF!</v>
      </c>
      <c r="X57" s="503" t="e">
        <f t="shared" si="12"/>
        <v>#REF!</v>
      </c>
      <c r="Y57" s="503" t="e">
        <f t="shared" si="12"/>
        <v>#REF!</v>
      </c>
      <c r="Z57" s="503" t="e">
        <f t="shared" si="12"/>
        <v>#REF!</v>
      </c>
      <c r="AA57" s="503" t="e">
        <f t="shared" si="12"/>
        <v>#REF!</v>
      </c>
      <c r="AB57" s="503" t="e">
        <f t="shared" si="12"/>
        <v>#REF!</v>
      </c>
      <c r="AC57" s="503" t="e">
        <f>+AC55+#REF!</f>
        <v>#REF!</v>
      </c>
      <c r="AD57" s="503" t="e">
        <f>+AD55+#REF!</f>
        <v>#REF!</v>
      </c>
      <c r="AE57" s="503" t="e">
        <f t="shared" si="12"/>
        <v>#REF!</v>
      </c>
      <c r="AF57" s="503" t="e">
        <f t="shared" si="12"/>
        <v>#REF!</v>
      </c>
      <c r="AG57" s="483"/>
      <c r="AH57" s="483"/>
    </row>
    <row r="58" spans="1:35" ht="15.75" hidden="1" customHeight="1" thickBot="1" x14ac:dyDescent="0.3">
      <c r="A58" s="500"/>
      <c r="B58" s="500"/>
      <c r="C58" s="500"/>
      <c r="D58" s="500"/>
      <c r="E58" s="1403"/>
      <c r="F58" s="507" t="s">
        <v>780</v>
      </c>
      <c r="G58" s="507"/>
      <c r="H58" s="507"/>
      <c r="I58" s="508" t="e">
        <f>+I56</f>
        <v>#REF!</v>
      </c>
      <c r="J58" s="508" t="e">
        <f>+J56+I58</f>
        <v>#REF!</v>
      </c>
      <c r="K58" s="508" t="e">
        <f t="shared" ref="K58:AF58" si="13">+K56+J58</f>
        <v>#REF!</v>
      </c>
      <c r="L58" s="508" t="e">
        <f t="shared" si="13"/>
        <v>#REF!</v>
      </c>
      <c r="M58" s="508" t="e">
        <f t="shared" si="13"/>
        <v>#REF!</v>
      </c>
      <c r="N58" s="508" t="e">
        <f t="shared" si="13"/>
        <v>#REF!</v>
      </c>
      <c r="O58" s="508" t="e">
        <f t="shared" si="13"/>
        <v>#REF!</v>
      </c>
      <c r="P58" s="508" t="e">
        <f t="shared" si="13"/>
        <v>#REF!</v>
      </c>
      <c r="Q58" s="508" t="e">
        <f t="shared" si="13"/>
        <v>#REF!</v>
      </c>
      <c r="R58" s="508" t="e">
        <f t="shared" si="13"/>
        <v>#REF!</v>
      </c>
      <c r="S58" s="508" t="e">
        <f t="shared" si="13"/>
        <v>#REF!</v>
      </c>
      <c r="T58" s="508" t="e">
        <f t="shared" si="13"/>
        <v>#REF!</v>
      </c>
      <c r="U58" s="508" t="e">
        <f t="shared" si="13"/>
        <v>#REF!</v>
      </c>
      <c r="V58" s="508" t="e">
        <f t="shared" si="13"/>
        <v>#REF!</v>
      </c>
      <c r="W58" s="508" t="e">
        <f t="shared" si="13"/>
        <v>#REF!</v>
      </c>
      <c r="X58" s="508" t="e">
        <f t="shared" si="13"/>
        <v>#REF!</v>
      </c>
      <c r="Y58" s="508" t="e">
        <f t="shared" si="13"/>
        <v>#REF!</v>
      </c>
      <c r="Z58" s="508" t="e">
        <f t="shared" si="13"/>
        <v>#REF!</v>
      </c>
      <c r="AA58" s="508" t="e">
        <f t="shared" si="13"/>
        <v>#REF!</v>
      </c>
      <c r="AB58" s="508" t="e">
        <f t="shared" si="13"/>
        <v>#REF!</v>
      </c>
      <c r="AC58" s="508" t="e">
        <f>+AC56+#REF!</f>
        <v>#REF!</v>
      </c>
      <c r="AD58" s="508" t="e">
        <f>+AD56+#REF!</f>
        <v>#REF!</v>
      </c>
      <c r="AE58" s="508" t="e">
        <f t="shared" si="13"/>
        <v>#REF!</v>
      </c>
      <c r="AF58" s="508" t="e">
        <f t="shared" si="13"/>
        <v>#REF!</v>
      </c>
      <c r="AG58" s="676"/>
      <c r="AH58" s="676"/>
      <c r="AI58" s="548" t="e">
        <f>+E52-AF58</f>
        <v>#REF!</v>
      </c>
    </row>
    <row r="59" spans="1:35" x14ac:dyDescent="0.25">
      <c r="A59" s="500"/>
      <c r="B59" s="500"/>
      <c r="C59" s="500"/>
      <c r="D59" s="500"/>
      <c r="E59" s="501"/>
      <c r="F59" s="501"/>
      <c r="G59" s="501"/>
      <c r="H59" s="501"/>
      <c r="I59" s="479"/>
      <c r="J59" s="479"/>
      <c r="K59" s="479"/>
      <c r="L59" s="479"/>
      <c r="M59" s="479"/>
      <c r="N59" s="479"/>
      <c r="O59" s="479"/>
      <c r="P59" s="479"/>
      <c r="Q59" s="479"/>
      <c r="R59" s="479"/>
      <c r="S59" s="479"/>
      <c r="T59" s="479"/>
      <c r="U59" s="479"/>
      <c r="V59" s="479"/>
      <c r="W59" s="479"/>
      <c r="X59" s="479"/>
      <c r="Y59" s="479"/>
      <c r="Z59" s="479"/>
      <c r="AA59" s="479"/>
      <c r="AB59" s="479"/>
      <c r="AC59" s="479"/>
      <c r="AD59" s="479"/>
      <c r="AE59" s="479"/>
      <c r="AF59" s="479"/>
      <c r="AG59" s="479"/>
      <c r="AH59" s="479"/>
    </row>
    <row r="60" spans="1:35" x14ac:dyDescent="0.25">
      <c r="A60" s="500"/>
      <c r="B60" s="500"/>
      <c r="C60" s="500"/>
      <c r="D60" s="500"/>
      <c r="E60" s="501"/>
      <c r="F60" s="501"/>
      <c r="G60" s="501"/>
      <c r="H60" s="501"/>
      <c r="I60" s="479"/>
      <c r="J60" s="479"/>
      <c r="K60" s="479"/>
      <c r="L60" s="479"/>
      <c r="M60" s="479"/>
      <c r="N60" s="479"/>
      <c r="O60" s="479"/>
      <c r="P60" s="479"/>
      <c r="Q60" s="479"/>
      <c r="R60" s="479"/>
      <c r="S60" s="479"/>
      <c r="T60" s="479"/>
      <c r="U60" s="479"/>
      <c r="V60" s="479"/>
      <c r="W60" s="479"/>
      <c r="X60" s="479"/>
      <c r="Y60" s="479"/>
      <c r="Z60" s="479"/>
      <c r="AA60" s="479"/>
      <c r="AB60" s="479"/>
      <c r="AC60" s="479"/>
      <c r="AD60" s="479"/>
      <c r="AE60" s="479"/>
      <c r="AF60" s="479"/>
      <c r="AG60" s="479"/>
      <c r="AH60" s="479"/>
    </row>
    <row r="61" spans="1:35" x14ac:dyDescent="0.25">
      <c r="A61" s="1106"/>
      <c r="B61" s="1106"/>
      <c r="C61" s="1106"/>
      <c r="D61" s="1106"/>
      <c r="E61" s="1107"/>
      <c r="F61" s="1107"/>
      <c r="G61" s="501"/>
      <c r="H61" s="501"/>
      <c r="I61" s="479"/>
      <c r="J61" s="479"/>
      <c r="K61" s="479"/>
      <c r="L61" s="479"/>
      <c r="M61" s="479"/>
      <c r="N61" s="479"/>
      <c r="O61" s="479"/>
      <c r="P61" s="479"/>
      <c r="Q61" s="479"/>
      <c r="R61" s="479"/>
      <c r="S61" s="479"/>
      <c r="T61" s="479"/>
      <c r="U61" s="479"/>
      <c r="V61" s="479"/>
      <c r="W61" s="479"/>
      <c r="X61" s="479"/>
      <c r="Y61" s="479"/>
      <c r="Z61" s="479"/>
      <c r="AA61" s="479"/>
      <c r="AB61" s="479"/>
      <c r="AC61" s="479"/>
      <c r="AD61" s="479"/>
      <c r="AE61" s="479"/>
      <c r="AF61" s="479"/>
      <c r="AG61" s="479"/>
      <c r="AH61" s="479"/>
    </row>
    <row r="62" spans="1:35" x14ac:dyDescent="0.25">
      <c r="A62" s="1410" t="str">
        <f>+'Presup '!F123</f>
        <v>ING. JHONATAN STIVEN PANTOJA MORILLO</v>
      </c>
      <c r="B62" s="1410"/>
      <c r="C62" s="1410"/>
      <c r="D62" s="1410"/>
      <c r="E62" s="1410"/>
      <c r="F62" s="1410"/>
      <c r="G62" s="501"/>
      <c r="H62" s="501"/>
      <c r="I62" s="479"/>
      <c r="J62" s="479"/>
      <c r="K62" s="479"/>
      <c r="L62" s="479"/>
      <c r="M62" s="479"/>
      <c r="N62" s="479"/>
      <c r="O62" s="479"/>
      <c r="P62" s="479"/>
      <c r="Q62" s="479"/>
      <c r="R62" s="479"/>
      <c r="S62" s="479"/>
      <c r="T62" s="479"/>
      <c r="U62" s="479"/>
      <c r="V62" s="479"/>
      <c r="W62" s="479"/>
      <c r="X62" s="479"/>
      <c r="Y62" s="479"/>
      <c r="Z62" s="479"/>
      <c r="AA62" s="479"/>
      <c r="AB62" s="479"/>
      <c r="AC62" s="479"/>
      <c r="AD62" s="479"/>
      <c r="AE62" s="479"/>
      <c r="AF62" s="479"/>
      <c r="AG62" s="479"/>
      <c r="AH62" s="479"/>
    </row>
    <row r="63" spans="1:35" x14ac:dyDescent="0.25">
      <c r="A63" s="1411" t="str">
        <f>+'Presup '!F124</f>
        <v xml:space="preserve">M.P. 111037-0520109 NRÑ </v>
      </c>
      <c r="B63" s="1411"/>
      <c r="C63" s="1411"/>
      <c r="D63" s="1411"/>
      <c r="E63" s="1411"/>
      <c r="F63" s="1411"/>
      <c r="G63" s="501"/>
      <c r="H63" s="501"/>
      <c r="I63" s="633"/>
      <c r="J63" s="633"/>
      <c r="K63" s="633"/>
      <c r="L63" s="633"/>
      <c r="M63" s="633"/>
      <c r="N63" s="633"/>
      <c r="O63" s="633"/>
      <c r="P63" s="633"/>
      <c r="Q63" s="633"/>
      <c r="R63" s="633"/>
      <c r="S63" s="633"/>
      <c r="T63" s="633"/>
      <c r="U63" s="633"/>
      <c r="V63" s="633"/>
      <c r="W63" s="633"/>
      <c r="X63" s="633"/>
      <c r="Y63" s="633"/>
      <c r="Z63" s="633"/>
      <c r="AA63" s="633"/>
      <c r="AB63" s="633"/>
      <c r="AC63" s="633"/>
      <c r="AD63" s="633"/>
      <c r="AE63" s="633"/>
      <c r="AF63" s="633"/>
      <c r="AG63" s="633"/>
      <c r="AH63" s="479"/>
    </row>
    <row r="64" spans="1:35" hidden="1" x14ac:dyDescent="0.25">
      <c r="I64" s="1050"/>
      <c r="J64" s="1050"/>
      <c r="K64" s="1050"/>
      <c r="L64" s="1050"/>
      <c r="M64" s="15"/>
      <c r="N64" s="15"/>
      <c r="O64" s="15"/>
      <c r="P64" s="15"/>
      <c r="Q64" s="1050"/>
      <c r="R64" s="1050"/>
      <c r="S64" s="1050"/>
      <c r="T64" s="1050"/>
      <c r="U64" s="15"/>
      <c r="V64" s="15"/>
      <c r="W64" s="15"/>
      <c r="X64" s="15"/>
      <c r="Y64" s="1050"/>
      <c r="Z64" s="1050"/>
      <c r="AA64" s="1050"/>
      <c r="AB64" s="1050"/>
      <c r="AC64" s="1050"/>
      <c r="AD64" s="448"/>
      <c r="AE64" s="448"/>
      <c r="AF64" s="448"/>
      <c r="AG64" s="448"/>
    </row>
    <row r="65" spans="9:34" ht="15" hidden="1" customHeight="1" x14ac:dyDescent="0.25">
      <c r="I65" s="1377" t="str">
        <f>+'Presup '!F118</f>
        <v xml:space="preserve">ING. MIGUEL ANTONIO VILLACRES MARTINEZ. </v>
      </c>
      <c r="J65" s="1377"/>
      <c r="K65" s="1377"/>
      <c r="L65" s="1377"/>
      <c r="M65" s="1375" t="str">
        <f>+I65</f>
        <v xml:space="preserve">ING. MIGUEL ANTONIO VILLACRES MARTINEZ. </v>
      </c>
      <c r="N65" s="1375"/>
      <c r="O65" s="1375"/>
      <c r="P65" s="1375"/>
      <c r="Q65" s="1377" t="str">
        <f>+I65</f>
        <v xml:space="preserve">ING. MIGUEL ANTONIO VILLACRES MARTINEZ. </v>
      </c>
      <c r="R65" s="1377"/>
      <c r="S65" s="1377"/>
      <c r="T65" s="1377"/>
      <c r="U65" s="1375" t="str">
        <f>+I65</f>
        <v xml:space="preserve">ING. MIGUEL ANTONIO VILLACRES MARTINEZ. </v>
      </c>
      <c r="V65" s="1375"/>
      <c r="W65" s="1375"/>
      <c r="X65" s="1375"/>
      <c r="Y65" s="1377" t="str">
        <f>+I65</f>
        <v xml:space="preserve">ING. MIGUEL ANTONIO VILLACRES MARTINEZ. </v>
      </c>
      <c r="Z65" s="1377"/>
      <c r="AA65" s="1377"/>
      <c r="AB65" s="1377"/>
      <c r="AC65" s="1139" t="e">
        <f>+#REF!</f>
        <v>#REF!</v>
      </c>
      <c r="AD65" s="1391" t="e">
        <f>+#REF!</f>
        <v>#REF!</v>
      </c>
      <c r="AE65" s="1391"/>
      <c r="AF65" s="1391"/>
      <c r="AG65" s="1391"/>
      <c r="AH65" s="1052"/>
    </row>
    <row r="66" spans="9:34" ht="15" hidden="1" customHeight="1" x14ac:dyDescent="0.25">
      <c r="I66" s="1377" t="str">
        <f>+'Presup '!F119</f>
        <v>M.P. 52202-090508 NRÑ</v>
      </c>
      <c r="J66" s="1377"/>
      <c r="K66" s="1377"/>
      <c r="L66" s="1377"/>
      <c r="M66" s="1376" t="str">
        <f>+I66</f>
        <v>M.P. 52202-090508 NRÑ</v>
      </c>
      <c r="N66" s="1376"/>
      <c r="O66" s="1376"/>
      <c r="P66" s="1376"/>
      <c r="Q66" s="1377" t="str">
        <f>+I66</f>
        <v>M.P. 52202-090508 NRÑ</v>
      </c>
      <c r="R66" s="1377"/>
      <c r="S66" s="1377"/>
      <c r="T66" s="1377"/>
      <c r="U66" s="1376" t="str">
        <f>+I66</f>
        <v>M.P. 52202-090508 NRÑ</v>
      </c>
      <c r="V66" s="1376"/>
      <c r="W66" s="1376"/>
      <c r="X66" s="1376"/>
      <c r="Y66" s="1377" t="str">
        <f>+I66</f>
        <v>M.P. 52202-090508 NRÑ</v>
      </c>
      <c r="Z66" s="1377"/>
      <c r="AA66" s="1377"/>
      <c r="AB66" s="1377"/>
      <c r="AC66" s="1141" t="e">
        <f>+#REF!</f>
        <v>#REF!</v>
      </c>
      <c r="AD66" s="1376" t="e">
        <f>+#REF!</f>
        <v>#REF!</v>
      </c>
      <c r="AE66" s="1376"/>
      <c r="AF66" s="1376"/>
      <c r="AG66" s="1376"/>
      <c r="AH66" s="1052"/>
    </row>
  </sheetData>
  <mergeCells count="72">
    <mergeCell ref="F23:F25"/>
    <mergeCell ref="E23:E25"/>
    <mergeCell ref="A62:F62"/>
    <mergeCell ref="A63:F63"/>
    <mergeCell ref="F31:F33"/>
    <mergeCell ref="A34:D36"/>
    <mergeCell ref="F34:F36"/>
    <mergeCell ref="A42:D42"/>
    <mergeCell ref="E37:E39"/>
    <mergeCell ref="F37:F39"/>
    <mergeCell ref="A31:D33"/>
    <mergeCell ref="E31:E33"/>
    <mergeCell ref="A37:D39"/>
    <mergeCell ref="A43:D43"/>
    <mergeCell ref="A40:D40"/>
    <mergeCell ref="A23:D25"/>
    <mergeCell ref="AD65:AG65"/>
    <mergeCell ref="AD66:AG66"/>
    <mergeCell ref="E34:E36"/>
    <mergeCell ref="A41:D41"/>
    <mergeCell ref="I66:L66"/>
    <mergeCell ref="Q65:T65"/>
    <mergeCell ref="Q66:T66"/>
    <mergeCell ref="E49:E50"/>
    <mergeCell ref="F49:F50"/>
    <mergeCell ref="E52:E53"/>
    <mergeCell ref="F52:F53"/>
    <mergeCell ref="E55:E56"/>
    <mergeCell ref="E57:E58"/>
    <mergeCell ref="E45:E46"/>
    <mergeCell ref="F45:F46"/>
    <mergeCell ref="I65:L65"/>
    <mergeCell ref="A17:D19"/>
    <mergeCell ref="E17:E19"/>
    <mergeCell ref="F17:F19"/>
    <mergeCell ref="A20:D22"/>
    <mergeCell ref="E20:E22"/>
    <mergeCell ref="F20:F22"/>
    <mergeCell ref="A1:F1"/>
    <mergeCell ref="A2:F2"/>
    <mergeCell ref="A3:F3"/>
    <mergeCell ref="A4:F4"/>
    <mergeCell ref="A5:F5"/>
    <mergeCell ref="A6:F6"/>
    <mergeCell ref="A7:F7"/>
    <mergeCell ref="A8:F8"/>
    <mergeCell ref="A9:F9"/>
    <mergeCell ref="A14:D16"/>
    <mergeCell ref="E14:E16"/>
    <mergeCell ref="F14:F16"/>
    <mergeCell ref="A13:D13"/>
    <mergeCell ref="Y11:AB11"/>
    <mergeCell ref="A11:D12"/>
    <mergeCell ref="E11:E12"/>
    <mergeCell ref="F11:F12"/>
    <mergeCell ref="AC11:AF11"/>
    <mergeCell ref="I11:L11"/>
    <mergeCell ref="Q11:T11"/>
    <mergeCell ref="M11:P11"/>
    <mergeCell ref="U11:X11"/>
    <mergeCell ref="A26:D27"/>
    <mergeCell ref="E26:E27"/>
    <mergeCell ref="F26:F27"/>
    <mergeCell ref="A28:D30"/>
    <mergeCell ref="E28:E30"/>
    <mergeCell ref="F28:F30"/>
    <mergeCell ref="M65:P65"/>
    <mergeCell ref="M66:P66"/>
    <mergeCell ref="U65:X65"/>
    <mergeCell ref="Y65:AB65"/>
    <mergeCell ref="Y66:AB66"/>
    <mergeCell ref="U66:X6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125" scale="90" orientation="landscape" r:id="rId1"/>
  <colBreaks count="3" manualBreakCount="3">
    <brk id="16" max="68" man="1"/>
    <brk id="24" max="68" man="1"/>
    <brk id="28" max="6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AU70"/>
  <sheetViews>
    <sheetView view="pageBreakPreview" topLeftCell="A33" zoomScale="70" zoomScaleNormal="70" zoomScaleSheetLayoutView="70" workbookViewId="0">
      <selection activeCell="E20" sqref="E20:E22"/>
    </sheetView>
  </sheetViews>
  <sheetFormatPr baseColWidth="10" defaultRowHeight="15" x14ac:dyDescent="0.25"/>
  <cols>
    <col min="1" max="4" width="8.140625" customWidth="1"/>
    <col min="5" max="5" width="20.42578125" customWidth="1"/>
    <col min="6" max="6" width="18.42578125" customWidth="1"/>
    <col min="7" max="8" width="7.28515625" customWidth="1"/>
    <col min="9" max="9" width="13.140625" customWidth="1"/>
    <col min="10" max="10" width="13.7109375" customWidth="1"/>
    <col min="11" max="11" width="14" customWidth="1"/>
    <col min="12" max="16" width="14.28515625" customWidth="1"/>
    <col min="17" max="17" width="13.85546875" customWidth="1"/>
    <col min="18" max="18" width="14" customWidth="1"/>
    <col min="19" max="28" width="13.5703125" customWidth="1"/>
    <col min="29" max="29" width="13.28515625" customWidth="1"/>
    <col min="30" max="31" width="13.140625" customWidth="1"/>
    <col min="32" max="37" width="13.28515625" customWidth="1"/>
    <col min="38" max="38" width="13.5703125" customWidth="1"/>
    <col min="39" max="40" width="13.85546875" customWidth="1"/>
    <col min="41" max="42" width="7.7109375" customWidth="1"/>
    <col min="43" max="43" width="21.5703125" customWidth="1"/>
    <col min="46" max="46" width="12.42578125" customWidth="1"/>
  </cols>
  <sheetData>
    <row r="1" spans="1:47" x14ac:dyDescent="0.25">
      <c r="A1" s="1415" t="str">
        <f>+'Presup '!B1</f>
        <v>REPUBLICA DE COLOMBIA</v>
      </c>
      <c r="B1" s="1416"/>
      <c r="C1" s="1416"/>
      <c r="D1" s="1416"/>
      <c r="E1" s="1416"/>
      <c r="F1" s="1416"/>
      <c r="G1" s="1000"/>
      <c r="H1" s="1000"/>
    </row>
    <row r="2" spans="1:47" x14ac:dyDescent="0.25">
      <c r="A2" s="1415" t="str">
        <f>+'Presup '!B2</f>
        <v>DEPARTAMENTO DE NARIÑO</v>
      </c>
      <c r="B2" s="1416"/>
      <c r="C2" s="1416"/>
      <c r="D2" s="1416"/>
      <c r="E2" s="1416"/>
      <c r="F2" s="1416"/>
      <c r="G2" s="1000"/>
      <c r="H2" s="1000"/>
    </row>
    <row r="3" spans="1:47" x14ac:dyDescent="0.25">
      <c r="A3" s="1415" t="str">
        <f>+'Presup '!B3</f>
        <v>ALCALDÍA MUNICIPAL DE SAN LORENZO</v>
      </c>
      <c r="B3" s="1416"/>
      <c r="C3" s="1416"/>
      <c r="D3" s="1416"/>
      <c r="E3" s="1416"/>
      <c r="F3" s="1416"/>
      <c r="G3" s="1000"/>
      <c r="H3" s="1000"/>
    </row>
    <row r="4" spans="1:47" ht="3" customHeight="1" x14ac:dyDescent="0.25">
      <c r="A4" s="1415"/>
      <c r="B4" s="1416"/>
      <c r="C4" s="1416"/>
      <c r="D4" s="1416"/>
      <c r="E4" s="1416"/>
      <c r="F4" s="1416"/>
      <c r="G4" s="1000"/>
      <c r="H4" s="1000"/>
    </row>
    <row r="5" spans="1:47" ht="15.75" x14ac:dyDescent="0.25">
      <c r="A5" s="1417" t="str">
        <f>+'Presup '!B5</f>
        <v>MEJORAMIENTO VÍA LA LAGUNA, SALINAS, LOS OLIVOS</v>
      </c>
      <c r="B5" s="1418"/>
      <c r="C5" s="1418"/>
      <c r="D5" s="1418"/>
      <c r="E5" s="1418"/>
      <c r="F5" s="1418"/>
      <c r="G5" s="1002"/>
      <c r="H5" s="1002"/>
    </row>
    <row r="6" spans="1:47" ht="6" customHeight="1" x14ac:dyDescent="0.25">
      <c r="A6" s="1415"/>
      <c r="B6" s="1416"/>
      <c r="C6" s="1416"/>
      <c r="D6" s="1416"/>
      <c r="E6" s="1416"/>
      <c r="F6" s="1416"/>
      <c r="G6" s="1000"/>
      <c r="H6" s="1000"/>
    </row>
    <row r="7" spans="1:47" x14ac:dyDescent="0.25">
      <c r="A7" s="1415"/>
      <c r="B7" s="1416"/>
      <c r="C7" s="1416"/>
      <c r="D7" s="1416"/>
      <c r="E7" s="1416"/>
      <c r="F7" s="1416"/>
      <c r="G7" s="1000"/>
      <c r="H7" s="1000"/>
    </row>
    <row r="8" spans="1:47" ht="4.5" customHeight="1" x14ac:dyDescent="0.25">
      <c r="A8" s="1415"/>
      <c r="B8" s="1416"/>
      <c r="C8" s="1416"/>
      <c r="D8" s="1416"/>
      <c r="E8" s="1416"/>
      <c r="F8" s="1416"/>
      <c r="G8" s="1000"/>
      <c r="H8" s="1000"/>
    </row>
    <row r="9" spans="1:47" ht="15.75" x14ac:dyDescent="0.25">
      <c r="A9" s="1343" t="s">
        <v>871</v>
      </c>
      <c r="B9" s="1419"/>
      <c r="C9" s="1419"/>
      <c r="D9" s="1419"/>
      <c r="E9" s="1419"/>
      <c r="F9" s="1419"/>
      <c r="G9" s="1000"/>
      <c r="H9" s="1000"/>
    </row>
    <row r="10" spans="1:47" ht="3" customHeight="1" x14ac:dyDescent="0.25"/>
    <row r="11" spans="1:47" ht="28.5" x14ac:dyDescent="0.25">
      <c r="A11" s="1385" t="s">
        <v>1108</v>
      </c>
      <c r="B11" s="1385"/>
      <c r="C11" s="1385"/>
      <c r="D11" s="1385"/>
      <c r="E11" s="1385" t="s">
        <v>772</v>
      </c>
      <c r="F11" s="1385" t="s">
        <v>773</v>
      </c>
      <c r="G11" s="999" t="s">
        <v>846</v>
      </c>
      <c r="H11" s="999" t="s">
        <v>847</v>
      </c>
      <c r="I11" s="1382" t="s">
        <v>848</v>
      </c>
      <c r="J11" s="1383"/>
      <c r="K11" s="1383"/>
      <c r="L11" s="1384"/>
      <c r="M11" s="1382" t="s">
        <v>849</v>
      </c>
      <c r="N11" s="1383"/>
      <c r="O11" s="1383"/>
      <c r="P11" s="1384"/>
      <c r="Q11" s="1382" t="s">
        <v>867</v>
      </c>
      <c r="R11" s="1383"/>
      <c r="S11" s="1383"/>
      <c r="T11" s="1384"/>
      <c r="U11" s="1382" t="s">
        <v>868</v>
      </c>
      <c r="V11" s="1383"/>
      <c r="W11" s="1383"/>
      <c r="X11" s="1384"/>
      <c r="Y11" s="1382" t="s">
        <v>869</v>
      </c>
      <c r="Z11" s="1383"/>
      <c r="AA11" s="1383"/>
      <c r="AB11" s="1384"/>
      <c r="AC11" s="1382" t="s">
        <v>870</v>
      </c>
      <c r="AD11" s="1383"/>
      <c r="AE11" s="1383"/>
      <c r="AF11" s="1384"/>
      <c r="AG11" s="1382" t="s">
        <v>1059</v>
      </c>
      <c r="AH11" s="1383"/>
      <c r="AI11" s="1383"/>
      <c r="AJ11" s="1384"/>
      <c r="AK11" s="1382" t="s">
        <v>1060</v>
      </c>
      <c r="AL11" s="1383"/>
      <c r="AM11" s="1383"/>
      <c r="AN11" s="1384"/>
      <c r="AO11" s="999" t="s">
        <v>1061</v>
      </c>
      <c r="AP11" s="1001" t="s">
        <v>1062</v>
      </c>
      <c r="AQ11" t="s">
        <v>845</v>
      </c>
    </row>
    <row r="12" spans="1:47" ht="29.25" customHeight="1" x14ac:dyDescent="0.25">
      <c r="A12" s="1385"/>
      <c r="B12" s="1385"/>
      <c r="C12" s="1385"/>
      <c r="D12" s="1385"/>
      <c r="E12" s="1385"/>
      <c r="F12" s="1385"/>
      <c r="G12" s="1001"/>
      <c r="H12" s="1001"/>
      <c r="I12" s="1001" t="s">
        <v>829</v>
      </c>
      <c r="J12" s="1001" t="s">
        <v>830</v>
      </c>
      <c r="K12" s="1001" t="s">
        <v>831</v>
      </c>
      <c r="L12" s="1001" t="s">
        <v>832</v>
      </c>
      <c r="M12" s="1001" t="s">
        <v>833</v>
      </c>
      <c r="N12" s="1001" t="s">
        <v>834</v>
      </c>
      <c r="O12" s="1001" t="s">
        <v>835</v>
      </c>
      <c r="P12" s="1001" t="s">
        <v>836</v>
      </c>
      <c r="Q12" s="1001" t="s">
        <v>837</v>
      </c>
      <c r="R12" s="1001" t="s">
        <v>838</v>
      </c>
      <c r="S12" s="1001" t="s">
        <v>839</v>
      </c>
      <c r="T12" s="1001" t="s">
        <v>840</v>
      </c>
      <c r="U12" s="1001" t="s">
        <v>841</v>
      </c>
      <c r="V12" s="1001" t="s">
        <v>842</v>
      </c>
      <c r="W12" s="1001" t="s">
        <v>843</v>
      </c>
      <c r="X12" s="1001" t="s">
        <v>844</v>
      </c>
      <c r="Y12" s="1001" t="s">
        <v>1063</v>
      </c>
      <c r="Z12" s="1001" t="s">
        <v>1064</v>
      </c>
      <c r="AA12" s="1001" t="s">
        <v>1065</v>
      </c>
      <c r="AB12" s="1001" t="s">
        <v>1066</v>
      </c>
      <c r="AC12" s="1001" t="s">
        <v>1067</v>
      </c>
      <c r="AD12" s="1001" t="s">
        <v>1068</v>
      </c>
      <c r="AE12" s="1001" t="s">
        <v>1069</v>
      </c>
      <c r="AF12" s="1001" t="s">
        <v>1070</v>
      </c>
      <c r="AG12" s="1001" t="s">
        <v>1071</v>
      </c>
      <c r="AH12" s="1001" t="s">
        <v>1072</v>
      </c>
      <c r="AI12" s="1001" t="s">
        <v>1073</v>
      </c>
      <c r="AJ12" s="1001" t="s">
        <v>1074</v>
      </c>
      <c r="AK12" s="1001" t="s">
        <v>1075</v>
      </c>
      <c r="AL12" s="1001" t="s">
        <v>1076</v>
      </c>
      <c r="AM12" s="1001" t="s">
        <v>1077</v>
      </c>
      <c r="AN12" s="1001" t="s">
        <v>1078</v>
      </c>
      <c r="AO12" s="1001"/>
      <c r="AP12" s="1001"/>
      <c r="AQ12">
        <v>32</v>
      </c>
      <c r="AT12" s="511"/>
    </row>
    <row r="13" spans="1:47" ht="6.75" customHeight="1" x14ac:dyDescent="0.25">
      <c r="A13" s="1388"/>
      <c r="B13" s="1388"/>
      <c r="C13" s="1388"/>
      <c r="D13" s="1388"/>
      <c r="E13" s="480"/>
      <c r="F13" s="481"/>
      <c r="G13" s="481"/>
      <c r="H13" s="481"/>
      <c r="I13" s="996"/>
      <c r="J13" s="996"/>
      <c r="K13" s="996"/>
      <c r="L13" s="996"/>
      <c r="M13" s="996"/>
      <c r="N13" s="996"/>
      <c r="O13" s="996"/>
      <c r="P13" s="996"/>
      <c r="Q13" s="996"/>
      <c r="R13" s="996"/>
      <c r="S13" s="996"/>
      <c r="T13" s="996"/>
      <c r="U13" s="996"/>
      <c r="V13" s="996"/>
      <c r="W13" s="996"/>
      <c r="X13" s="996"/>
      <c r="Y13" s="996"/>
      <c r="Z13" s="996"/>
      <c r="AA13" s="996"/>
      <c r="AB13" s="996"/>
      <c r="AC13" s="996"/>
      <c r="AD13" s="482"/>
      <c r="AE13" s="482"/>
      <c r="AF13" s="482"/>
      <c r="AG13" s="482"/>
      <c r="AH13" s="482"/>
      <c r="AI13" s="482"/>
      <c r="AJ13" s="482"/>
      <c r="AK13" s="482"/>
      <c r="AL13" s="482"/>
      <c r="AM13" s="482"/>
      <c r="AN13" s="482"/>
      <c r="AO13" s="481"/>
      <c r="AP13" s="481"/>
      <c r="AT13" s="511"/>
    </row>
    <row r="14" spans="1:47" hidden="1" x14ac:dyDescent="0.25">
      <c r="A14" s="1378" t="str">
        <f>+CRONOG!A14</f>
        <v>No.1. EXPLANACIÓN</v>
      </c>
      <c r="B14" s="1378"/>
      <c r="C14" s="1378"/>
      <c r="D14" s="1378"/>
      <c r="E14" s="1379">
        <f>+'Presup '!I24</f>
        <v>54623901</v>
      </c>
      <c r="F14" s="1420">
        <f>+E14/$E$49</f>
        <v>7.0611599696836488E-2</v>
      </c>
      <c r="G14" s="997"/>
      <c r="H14" s="997"/>
      <c r="I14" s="678"/>
      <c r="J14" s="678"/>
      <c r="K14" s="979"/>
      <c r="L14" s="979"/>
      <c r="M14" s="979"/>
      <c r="N14" s="979"/>
      <c r="O14" s="979"/>
      <c r="P14" s="979"/>
      <c r="Q14" s="979"/>
      <c r="R14" s="979"/>
      <c r="S14" s="979"/>
      <c r="T14" s="979"/>
      <c r="U14" s="979"/>
      <c r="V14" s="979"/>
      <c r="W14" s="678"/>
      <c r="X14" s="678"/>
      <c r="Y14" s="678"/>
      <c r="Z14" s="678"/>
      <c r="AA14" s="678"/>
      <c r="AB14" s="678"/>
      <c r="AC14" s="678"/>
      <c r="AD14" s="678"/>
      <c r="AE14" s="678"/>
      <c r="AF14" s="678"/>
      <c r="AG14" s="678"/>
      <c r="AH14" s="678"/>
      <c r="AI14" s="678"/>
      <c r="AJ14" s="678"/>
      <c r="AK14" s="678"/>
      <c r="AL14" s="678"/>
      <c r="AM14" s="676"/>
      <c r="AN14" s="676"/>
      <c r="AO14" s="676"/>
      <c r="AP14" s="676"/>
      <c r="AT14" s="511"/>
    </row>
    <row r="15" spans="1:47" x14ac:dyDescent="0.25">
      <c r="A15" s="1378"/>
      <c r="B15" s="1378"/>
      <c r="C15" s="1378"/>
      <c r="D15" s="1378"/>
      <c r="E15" s="1379"/>
      <c r="F15" s="1420"/>
      <c r="G15" s="997"/>
      <c r="H15" s="997"/>
      <c r="I15" s="678"/>
      <c r="J15" s="678"/>
      <c r="K15" s="678">
        <f>+'%'!$E2</f>
        <v>9.0527691919021136E-4</v>
      </c>
      <c r="L15" s="678">
        <f>+'%'!$E3</f>
        <v>1.8105538383804227E-3</v>
      </c>
      <c r="M15" s="678">
        <f>+'%'!$E4</f>
        <v>2.7158307575706341E-3</v>
      </c>
      <c r="N15" s="678">
        <f>+'%'!$E5</f>
        <v>3.6211076767608454E-3</v>
      </c>
      <c r="O15" s="678">
        <f>+'%'!$E6</f>
        <v>4.5263845959510572E-3</v>
      </c>
      <c r="P15" s="678">
        <f>+'%'!$E7</f>
        <v>5.431661515141269E-3</v>
      </c>
      <c r="Q15" s="678">
        <f>+'%'!$E8</f>
        <v>6.3369384343314808E-3</v>
      </c>
      <c r="R15" s="678">
        <f>+'%'!$E9</f>
        <v>7.2422153535216926E-3</v>
      </c>
      <c r="S15" s="678">
        <f>+'%'!$E10</f>
        <v>8.1474922727119044E-3</v>
      </c>
      <c r="T15" s="678">
        <f>+'%'!$E11</f>
        <v>9.0527691919021162E-3</v>
      </c>
      <c r="U15" s="678">
        <f>+'%'!$E12</f>
        <v>9.958046111092328E-3</v>
      </c>
      <c r="V15" s="678">
        <f>+'%'!$E13</f>
        <v>1.086332303028254E-2</v>
      </c>
      <c r="W15" s="678"/>
      <c r="X15" s="678"/>
      <c r="Y15" s="678"/>
      <c r="Z15" s="678"/>
      <c r="AA15" s="678"/>
      <c r="AB15" s="678"/>
      <c r="AC15" s="678"/>
      <c r="AD15" s="678"/>
      <c r="AE15" s="678"/>
      <c r="AF15" s="678"/>
      <c r="AG15" s="678"/>
      <c r="AH15" s="678"/>
      <c r="AI15" s="678"/>
      <c r="AJ15" s="678"/>
      <c r="AK15" s="678"/>
      <c r="AL15" s="678"/>
      <c r="AM15" s="980"/>
      <c r="AN15" s="980"/>
      <c r="AO15" s="676"/>
      <c r="AP15" s="676"/>
      <c r="AQ15" s="511"/>
      <c r="AR15" s="514"/>
      <c r="AT15" s="511"/>
    </row>
    <row r="16" spans="1:47" x14ac:dyDescent="0.25">
      <c r="A16" s="1378"/>
      <c r="B16" s="1378"/>
      <c r="C16" s="1378"/>
      <c r="D16" s="1378"/>
      <c r="E16" s="1379"/>
      <c r="F16" s="1420"/>
      <c r="G16" s="997"/>
      <c r="H16" s="997"/>
      <c r="I16" s="981"/>
      <c r="J16" s="981"/>
      <c r="K16" s="982">
        <f>+K15*$E$49</f>
        <v>700306.42307692301</v>
      </c>
      <c r="L16" s="982">
        <f>+L15*$E$49</f>
        <v>1400612.846153846</v>
      </c>
      <c r="M16" s="982">
        <f t="shared" ref="M16:V16" si="0">+M15*$E$49</f>
        <v>2100919.269230769</v>
      </c>
      <c r="N16" s="982">
        <f t="shared" si="0"/>
        <v>2801225.692307692</v>
      </c>
      <c r="O16" s="982">
        <f t="shared" si="0"/>
        <v>3501532.1153846155</v>
      </c>
      <c r="P16" s="982">
        <f t="shared" si="0"/>
        <v>4201838.538461539</v>
      </c>
      <c r="Q16" s="982">
        <f t="shared" si="0"/>
        <v>4902144.961538462</v>
      </c>
      <c r="R16" s="982">
        <f t="shared" si="0"/>
        <v>5602451.3846153859</v>
      </c>
      <c r="S16" s="982">
        <f t="shared" si="0"/>
        <v>6302757.8076923089</v>
      </c>
      <c r="T16" s="982">
        <f t="shared" si="0"/>
        <v>7003064.2307692328</v>
      </c>
      <c r="U16" s="982">
        <f t="shared" si="0"/>
        <v>7703370.6538461559</v>
      </c>
      <c r="V16" s="982">
        <f t="shared" si="0"/>
        <v>8403677.0769230798</v>
      </c>
      <c r="W16" s="982"/>
      <c r="X16" s="982"/>
      <c r="Y16" s="982"/>
      <c r="Z16" s="982"/>
      <c r="AA16" s="982"/>
      <c r="AB16" s="982"/>
      <c r="AC16" s="982"/>
      <c r="AD16" s="982"/>
      <c r="AE16" s="982"/>
      <c r="AF16" s="982"/>
      <c r="AG16" s="982"/>
      <c r="AH16" s="982"/>
      <c r="AI16" s="982"/>
      <c r="AJ16" s="982"/>
      <c r="AK16" s="982"/>
      <c r="AL16" s="982"/>
      <c r="AM16" s="676"/>
      <c r="AN16" s="676"/>
      <c r="AO16" s="676"/>
      <c r="AP16" s="676"/>
      <c r="AR16" s="514"/>
      <c r="AT16" s="511"/>
      <c r="AU16" s="511"/>
    </row>
    <row r="17" spans="1:47" hidden="1" x14ac:dyDescent="0.25">
      <c r="A17" s="1378" t="str">
        <f>+CRONOG!A17</f>
        <v xml:space="preserve">No.2. AFIRMADO Y SUBBASE  </v>
      </c>
      <c r="B17" s="1378"/>
      <c r="C17" s="1378"/>
      <c r="D17" s="1378"/>
      <c r="E17" s="1379">
        <f>+'Presup '!I30</f>
        <v>78303375</v>
      </c>
      <c r="F17" s="1420">
        <f>+E17/$E$49</f>
        <v>0.10122174486240508</v>
      </c>
      <c r="G17" s="997"/>
      <c r="H17" s="997"/>
      <c r="I17" s="678"/>
      <c r="J17" s="678"/>
      <c r="K17" s="983"/>
      <c r="L17" s="983"/>
      <c r="M17" s="983"/>
      <c r="N17" s="983"/>
      <c r="O17" s="983"/>
      <c r="P17" s="983"/>
      <c r="Q17" s="983"/>
      <c r="R17" s="984"/>
      <c r="S17" s="984"/>
      <c r="T17" s="984"/>
      <c r="U17" s="984"/>
      <c r="V17" s="984"/>
      <c r="W17" s="984"/>
      <c r="X17" s="984"/>
      <c r="Y17" s="984"/>
      <c r="Z17" s="984"/>
      <c r="AA17" s="983"/>
      <c r="AB17" s="983"/>
      <c r="AC17" s="983"/>
      <c r="AD17" s="676"/>
      <c r="AE17" s="676"/>
      <c r="AF17" s="676"/>
      <c r="AG17" s="676"/>
      <c r="AH17" s="676"/>
      <c r="AI17" s="676"/>
      <c r="AJ17" s="676"/>
      <c r="AK17" s="676"/>
      <c r="AL17" s="676"/>
      <c r="AM17" s="676"/>
      <c r="AN17" s="676"/>
      <c r="AO17" s="676"/>
      <c r="AP17" s="676"/>
      <c r="AR17" s="512"/>
      <c r="AT17" s="511"/>
      <c r="AU17" s="511"/>
    </row>
    <row r="18" spans="1:47" x14ac:dyDescent="0.25">
      <c r="A18" s="1378"/>
      <c r="B18" s="1378"/>
      <c r="C18" s="1378"/>
      <c r="D18" s="1378"/>
      <c r="E18" s="1379" t="e">
        <f>SUM('[21]PRESUPUESTO DE OBRA'!I8:I9)</f>
        <v>#REF!</v>
      </c>
      <c r="F18" s="1420"/>
      <c r="G18" s="997"/>
      <c r="H18" s="997"/>
      <c r="I18" s="678"/>
      <c r="J18" s="678"/>
      <c r="K18" s="678"/>
      <c r="L18" s="678"/>
      <c r="M18" s="678"/>
      <c r="N18" s="678"/>
      <c r="O18" s="678"/>
      <c r="P18" s="678"/>
      <c r="Q18" s="678"/>
      <c r="R18" s="678">
        <f>+'%'!$E22</f>
        <v>2.2493721080534463E-3</v>
      </c>
      <c r="S18" s="678">
        <f>+'%'!$E23</f>
        <v>4.4987442161068926E-3</v>
      </c>
      <c r="T18" s="678">
        <f>+'%'!$E24</f>
        <v>6.7481163241603394E-3</v>
      </c>
      <c r="U18" s="678">
        <f>+'%'!$E25</f>
        <v>8.9974884322137853E-3</v>
      </c>
      <c r="V18" s="678">
        <f>+'%'!$E26</f>
        <v>1.1246860540267231E-2</v>
      </c>
      <c r="W18" s="678">
        <f>+'%'!$E27</f>
        <v>1.3496232648320677E-2</v>
      </c>
      <c r="X18" s="678">
        <f>+'%'!$E28</f>
        <v>1.5745604756374123E-2</v>
      </c>
      <c r="Y18" s="678">
        <f>+'%'!$E29</f>
        <v>1.7994976864427571E-2</v>
      </c>
      <c r="Z18" s="678">
        <f>+'%'!$E30</f>
        <v>2.0244348972481018E-2</v>
      </c>
      <c r="AA18" s="678"/>
      <c r="AB18" s="678"/>
      <c r="AC18" s="623"/>
      <c r="AD18" s="623"/>
      <c r="AE18" s="623"/>
      <c r="AF18" s="623"/>
      <c r="AG18" s="678"/>
      <c r="AH18" s="678"/>
      <c r="AI18" s="678"/>
      <c r="AJ18" s="678"/>
      <c r="AK18" s="623"/>
      <c r="AL18" s="623"/>
      <c r="AM18" s="980"/>
      <c r="AN18" s="980"/>
      <c r="AO18" s="676"/>
      <c r="AP18" s="676"/>
      <c r="AR18" s="512"/>
      <c r="AT18" s="511"/>
      <c r="AU18" s="511"/>
    </row>
    <row r="19" spans="1:47" x14ac:dyDescent="0.25">
      <c r="A19" s="1378" t="s">
        <v>774</v>
      </c>
      <c r="B19" s="1378"/>
      <c r="C19" s="1378"/>
      <c r="D19" s="1378"/>
      <c r="E19" s="1379"/>
      <c r="F19" s="1420"/>
      <c r="G19" s="997"/>
      <c r="H19" s="997"/>
      <c r="I19" s="981"/>
      <c r="J19" s="981"/>
      <c r="K19" s="983"/>
      <c r="L19" s="983"/>
      <c r="M19" s="983"/>
      <c r="N19" s="983"/>
      <c r="O19" s="983"/>
      <c r="P19" s="983"/>
      <c r="Q19" s="983"/>
      <c r="R19" s="985">
        <f>ROUNDDOWN(R18*$E$49,0)</f>
        <v>1740075</v>
      </c>
      <c r="S19" s="985">
        <f t="shared" ref="S19:Z19" si="1">ROUND(S18*$E$49,0)</f>
        <v>3480150</v>
      </c>
      <c r="T19" s="985">
        <f t="shared" si="1"/>
        <v>5220225</v>
      </c>
      <c r="U19" s="985">
        <f t="shared" si="1"/>
        <v>6960300</v>
      </c>
      <c r="V19" s="985">
        <f t="shared" si="1"/>
        <v>8700375</v>
      </c>
      <c r="W19" s="985">
        <f t="shared" si="1"/>
        <v>10440450</v>
      </c>
      <c r="X19" s="985">
        <f t="shared" si="1"/>
        <v>12180525</v>
      </c>
      <c r="Y19" s="985">
        <f t="shared" si="1"/>
        <v>13920600</v>
      </c>
      <c r="Z19" s="985">
        <f t="shared" si="1"/>
        <v>15660675</v>
      </c>
      <c r="AA19" s="985"/>
      <c r="AB19" s="985"/>
      <c r="AC19" s="623"/>
      <c r="AD19" s="623"/>
      <c r="AE19" s="623"/>
      <c r="AF19" s="623"/>
      <c r="AG19" s="985"/>
      <c r="AH19" s="985"/>
      <c r="AI19" s="985"/>
      <c r="AJ19" s="985"/>
      <c r="AK19" s="623"/>
      <c r="AL19" s="623"/>
      <c r="AM19" s="676"/>
      <c r="AN19" s="676"/>
      <c r="AO19" s="676"/>
      <c r="AP19" s="676"/>
      <c r="AT19" s="511"/>
      <c r="AU19" s="511"/>
    </row>
    <row r="20" spans="1:47" hidden="1" x14ac:dyDescent="0.25">
      <c r="A20" s="1378" t="str">
        <f>+CRONOG!A20</f>
        <v>No.3. PAVIMENTO  PLACA HUELLA</v>
      </c>
      <c r="B20" s="1378"/>
      <c r="C20" s="1378"/>
      <c r="D20" s="1378"/>
      <c r="E20" s="1379">
        <f>+'Presup '!I35</f>
        <v>40713408</v>
      </c>
      <c r="F20" s="1420">
        <f>+E20/$E$49</f>
        <v>5.2629688018619912E-2</v>
      </c>
      <c r="G20" s="997"/>
      <c r="H20" s="997"/>
      <c r="I20" s="678"/>
      <c r="J20" s="678"/>
      <c r="K20" s="983"/>
      <c r="L20" s="983"/>
      <c r="M20" s="983"/>
      <c r="N20" s="983"/>
      <c r="O20" s="983"/>
      <c r="P20" s="983"/>
      <c r="Q20" s="983"/>
      <c r="R20" s="983"/>
      <c r="S20" s="623"/>
      <c r="T20" s="623"/>
      <c r="U20" s="983"/>
      <c r="V20" s="983"/>
      <c r="W20" s="983"/>
      <c r="X20" s="983"/>
      <c r="Y20" s="984"/>
      <c r="Z20" s="984"/>
      <c r="AA20" s="984"/>
      <c r="AB20" s="984"/>
      <c r="AC20" s="984"/>
      <c r="AD20" s="986"/>
      <c r="AE20" s="986"/>
      <c r="AF20" s="986"/>
      <c r="AG20" s="986"/>
      <c r="AH20" s="676"/>
      <c r="AI20" s="676"/>
      <c r="AJ20" s="676"/>
      <c r="AK20" s="676"/>
      <c r="AL20" s="676"/>
      <c r="AM20" s="676"/>
      <c r="AN20" s="676"/>
      <c r="AO20" s="676"/>
      <c r="AP20" s="676"/>
      <c r="AR20" s="512"/>
      <c r="AS20" s="509"/>
      <c r="AT20" s="511"/>
      <c r="AU20" s="511"/>
    </row>
    <row r="21" spans="1:47" x14ac:dyDescent="0.25">
      <c r="A21" s="1378"/>
      <c r="B21" s="1378"/>
      <c r="C21" s="1378"/>
      <c r="D21" s="1378"/>
      <c r="E21" s="1379"/>
      <c r="F21" s="1420"/>
      <c r="G21" s="997"/>
      <c r="H21" s="997"/>
      <c r="I21" s="678"/>
      <c r="J21" s="678"/>
      <c r="K21" s="678"/>
      <c r="L21" s="678"/>
      <c r="M21" s="678"/>
      <c r="N21" s="678"/>
      <c r="O21" s="678"/>
      <c r="P21" s="678"/>
      <c r="Q21" s="678"/>
      <c r="R21" s="678"/>
      <c r="S21" s="623"/>
      <c r="T21" s="623"/>
      <c r="U21" s="678"/>
      <c r="V21" s="678"/>
      <c r="W21" s="678"/>
      <c r="X21" s="678"/>
      <c r="Y21" s="678">
        <f>+'%'!$E40</f>
        <v>1.169548622635998E-3</v>
      </c>
      <c r="Z21" s="678">
        <f>+'%'!$E41</f>
        <v>2.3390972452719959E-3</v>
      </c>
      <c r="AA21" s="678">
        <f>+'%'!$E42</f>
        <v>3.5086458679079941E-3</v>
      </c>
      <c r="AB21" s="678">
        <f>+'%'!$E43</f>
        <v>4.6781944905439918E-3</v>
      </c>
      <c r="AC21" s="678">
        <f>+'%'!$E44</f>
        <v>5.8477431131799896E-3</v>
      </c>
      <c r="AD21" s="678">
        <f>+'%'!$E45</f>
        <v>7.0172917358159873E-3</v>
      </c>
      <c r="AE21" s="678">
        <f>+'%'!$E46</f>
        <v>8.1868403584519859E-3</v>
      </c>
      <c r="AF21" s="678">
        <f>+'%'!$E47</f>
        <v>9.3563889810879836E-3</v>
      </c>
      <c r="AG21" s="678">
        <f>+'%'!$E48</f>
        <v>1.0525937603723981E-2</v>
      </c>
      <c r="AH21" s="678"/>
      <c r="AI21" s="678"/>
      <c r="AJ21" s="678"/>
      <c r="AK21" s="623"/>
      <c r="AL21" s="623"/>
      <c r="AM21" s="623"/>
      <c r="AN21" s="980"/>
      <c r="AO21" s="676"/>
      <c r="AP21" s="676"/>
      <c r="AR21" s="512"/>
      <c r="AS21" s="509"/>
      <c r="AT21" s="511"/>
      <c r="AU21" s="511"/>
    </row>
    <row r="22" spans="1:47" x14ac:dyDescent="0.25">
      <c r="A22" s="1378"/>
      <c r="B22" s="1378"/>
      <c r="C22" s="1378"/>
      <c r="D22" s="1378"/>
      <c r="E22" s="1379"/>
      <c r="F22" s="1420"/>
      <c r="G22" s="997"/>
      <c r="H22" s="997"/>
      <c r="I22" s="981"/>
      <c r="J22" s="981"/>
      <c r="K22" s="983"/>
      <c r="L22" s="983"/>
      <c r="M22" s="983"/>
      <c r="N22" s="983"/>
      <c r="O22" s="983"/>
      <c r="P22" s="983"/>
      <c r="Q22" s="983"/>
      <c r="R22" s="983"/>
      <c r="S22" s="623"/>
      <c r="T22" s="623"/>
      <c r="U22" s="985"/>
      <c r="V22" s="985"/>
      <c r="W22" s="985"/>
      <c r="X22" s="985"/>
      <c r="Y22" s="985">
        <f>ROUNDDOWN(Y21*$E$49,0)</f>
        <v>904742</v>
      </c>
      <c r="Z22" s="985">
        <f t="shared" ref="Z22:AG22" si="2">ROUND(Z21*$E$49,0)</f>
        <v>1809485</v>
      </c>
      <c r="AA22" s="985">
        <f t="shared" si="2"/>
        <v>2714227</v>
      </c>
      <c r="AB22" s="985">
        <f t="shared" si="2"/>
        <v>3618970</v>
      </c>
      <c r="AC22" s="985">
        <f t="shared" si="2"/>
        <v>4523712</v>
      </c>
      <c r="AD22" s="985">
        <f t="shared" si="2"/>
        <v>5428454</v>
      </c>
      <c r="AE22" s="985">
        <f t="shared" si="2"/>
        <v>6333197</v>
      </c>
      <c r="AF22" s="985">
        <f t="shared" si="2"/>
        <v>7237939</v>
      </c>
      <c r="AG22" s="985">
        <f t="shared" si="2"/>
        <v>8142682</v>
      </c>
      <c r="AH22" s="985"/>
      <c r="AI22" s="985"/>
      <c r="AJ22" s="985"/>
      <c r="AK22" s="623"/>
      <c r="AL22" s="623"/>
      <c r="AM22" s="623"/>
      <c r="AN22" s="676"/>
      <c r="AO22" s="676"/>
      <c r="AP22" s="676"/>
      <c r="AR22" s="512"/>
      <c r="AS22" s="509"/>
      <c r="AT22" s="511"/>
      <c r="AU22" s="511"/>
    </row>
    <row r="23" spans="1:47" hidden="1" x14ac:dyDescent="0.25">
      <c r="A23" s="1378" t="str">
        <f>+CRONOG!A23</f>
        <v>No.4. ESTRUCTURAS Y DRENAJES</v>
      </c>
      <c r="B23" s="1378"/>
      <c r="C23" s="1378"/>
      <c r="D23" s="1378"/>
      <c r="E23" s="1379">
        <f>+'Presup '!I68</f>
        <v>574548304</v>
      </c>
      <c r="F23" s="1420">
        <f>+E23/$E$49</f>
        <v>0.74271104966568247</v>
      </c>
      <c r="G23" s="997"/>
      <c r="H23" s="997"/>
      <c r="I23" s="678"/>
      <c r="J23" s="678"/>
      <c r="K23" s="678"/>
      <c r="L23" s="678"/>
      <c r="M23" s="678"/>
      <c r="N23" s="678"/>
      <c r="O23" s="678"/>
      <c r="P23" s="678"/>
      <c r="Q23" s="623"/>
      <c r="R23" s="623"/>
      <c r="S23" s="623"/>
      <c r="T23" s="623"/>
      <c r="U23" s="979"/>
      <c r="V23" s="979"/>
      <c r="W23" s="979"/>
      <c r="X23" s="979"/>
      <c r="Y23" s="979"/>
      <c r="Z23" s="979"/>
      <c r="AA23" s="979"/>
      <c r="AB23" s="979"/>
      <c r="AC23" s="979"/>
      <c r="AD23" s="979"/>
      <c r="AE23" s="979"/>
      <c r="AF23" s="979"/>
      <c r="AG23" s="979"/>
      <c r="AH23" s="979"/>
      <c r="AI23" s="979"/>
      <c r="AJ23" s="979"/>
      <c r="AK23" s="979"/>
      <c r="AL23" s="979"/>
      <c r="AM23" s="678"/>
      <c r="AN23" s="676"/>
      <c r="AO23" s="676"/>
      <c r="AP23" s="676"/>
      <c r="AR23" s="512"/>
      <c r="AS23" s="509"/>
      <c r="AT23" s="511"/>
      <c r="AU23" s="511"/>
    </row>
    <row r="24" spans="1:47" x14ac:dyDescent="0.25">
      <c r="A24" s="1378"/>
      <c r="B24" s="1378"/>
      <c r="C24" s="1378"/>
      <c r="D24" s="1378"/>
      <c r="E24" s="1379"/>
      <c r="F24" s="1420"/>
      <c r="G24" s="997"/>
      <c r="H24" s="997"/>
      <c r="I24" s="678"/>
      <c r="J24" s="678"/>
      <c r="K24" s="678"/>
      <c r="L24" s="678"/>
      <c r="M24" s="678"/>
      <c r="N24" s="678"/>
      <c r="O24" s="678"/>
      <c r="P24" s="678"/>
      <c r="Q24" s="623"/>
      <c r="R24" s="623"/>
      <c r="S24" s="623"/>
      <c r="T24" s="623"/>
      <c r="U24" s="678">
        <f>+'%'!$E58</f>
        <v>4.3433394717291374E-3</v>
      </c>
      <c r="V24" s="678">
        <f>+'%'!$E59</f>
        <v>8.6866789434582748E-3</v>
      </c>
      <c r="W24" s="678">
        <f>+'%'!$E60</f>
        <v>1.3030018415187413E-2</v>
      </c>
      <c r="X24" s="678">
        <f>+'%'!$E61</f>
        <v>1.737335788691655E-2</v>
      </c>
      <c r="Y24" s="678">
        <f>+'%'!$E62</f>
        <v>2.1716697358645686E-2</v>
      </c>
      <c r="Z24" s="678">
        <f>+'%'!$E63</f>
        <v>2.6060036830374823E-2</v>
      </c>
      <c r="AA24" s="678">
        <f>+'%'!$E64</f>
        <v>3.0403376302103959E-2</v>
      </c>
      <c r="AB24" s="678">
        <f>+'%'!$E65</f>
        <v>3.4746715773833099E-2</v>
      </c>
      <c r="AC24" s="678">
        <f>+'%'!$E66</f>
        <v>3.9090055245562236E-2</v>
      </c>
      <c r="AD24" s="678">
        <f>+'%'!$E67</f>
        <v>4.3433394717291372E-2</v>
      </c>
      <c r="AE24" s="678">
        <f>+'%'!$E68</f>
        <v>4.7776734189020509E-2</v>
      </c>
      <c r="AF24" s="678">
        <f>+'%'!$E69</f>
        <v>5.2120073660749645E-2</v>
      </c>
      <c r="AG24" s="678">
        <f>+'%'!$E70</f>
        <v>5.6463413132478782E-2</v>
      </c>
      <c r="AH24" s="678">
        <f>+'%'!$E71</f>
        <v>6.0806752604207918E-2</v>
      </c>
      <c r="AI24" s="678">
        <f>+'%'!$E72</f>
        <v>6.5150092075937055E-2</v>
      </c>
      <c r="AJ24" s="678">
        <f>+'%'!$E73</f>
        <v>6.9493431547666198E-2</v>
      </c>
      <c r="AK24" s="678">
        <f>+'%'!$E74</f>
        <v>7.3836771019395342E-2</v>
      </c>
      <c r="AL24" s="678">
        <f>+'%'!$E75</f>
        <v>7.8180110491124485E-2</v>
      </c>
      <c r="AM24" s="678"/>
      <c r="AN24" s="678"/>
      <c r="AO24" s="676"/>
      <c r="AP24" s="676"/>
      <c r="AR24" s="512"/>
      <c r="AS24" s="509"/>
      <c r="AT24" s="511"/>
    </row>
    <row r="25" spans="1:47" x14ac:dyDescent="0.25">
      <c r="A25" s="1378"/>
      <c r="B25" s="1378"/>
      <c r="C25" s="1378"/>
      <c r="D25" s="1378"/>
      <c r="E25" s="1379"/>
      <c r="F25" s="1420"/>
      <c r="G25" s="997"/>
      <c r="H25" s="997"/>
      <c r="I25" s="981"/>
      <c r="J25" s="981"/>
      <c r="K25" s="985"/>
      <c r="L25" s="985"/>
      <c r="M25" s="985"/>
      <c r="N25" s="985"/>
      <c r="O25" s="985"/>
      <c r="P25" s="985"/>
      <c r="Q25" s="623"/>
      <c r="R25" s="623"/>
      <c r="S25" s="623"/>
      <c r="T25" s="623"/>
      <c r="U25" s="985">
        <f>ROUNDDOWN(U24*$E$49,0)</f>
        <v>3359931</v>
      </c>
      <c r="V25" s="985">
        <f>ROUND(V24*$E$49,0)</f>
        <v>6719863</v>
      </c>
      <c r="W25" s="985">
        <f t="shared" ref="W25:AL25" si="3">ROUND(W24*$E$49,0)</f>
        <v>10079795</v>
      </c>
      <c r="X25" s="985">
        <f t="shared" si="3"/>
        <v>13439726</v>
      </c>
      <c r="Y25" s="985">
        <f t="shared" si="3"/>
        <v>16799658</v>
      </c>
      <c r="Z25" s="985">
        <f t="shared" si="3"/>
        <v>20159590</v>
      </c>
      <c r="AA25" s="985">
        <f t="shared" si="3"/>
        <v>23519521</v>
      </c>
      <c r="AB25" s="985">
        <f t="shared" si="3"/>
        <v>26879453</v>
      </c>
      <c r="AC25" s="985">
        <f t="shared" si="3"/>
        <v>30239384</v>
      </c>
      <c r="AD25" s="985">
        <f t="shared" si="3"/>
        <v>33599316</v>
      </c>
      <c r="AE25" s="985">
        <f t="shared" si="3"/>
        <v>36959248</v>
      </c>
      <c r="AF25" s="985">
        <f t="shared" si="3"/>
        <v>40319179</v>
      </c>
      <c r="AG25" s="985">
        <f t="shared" si="3"/>
        <v>43679111</v>
      </c>
      <c r="AH25" s="985">
        <f t="shared" si="3"/>
        <v>47039042</v>
      </c>
      <c r="AI25" s="985">
        <f t="shared" si="3"/>
        <v>50398974</v>
      </c>
      <c r="AJ25" s="985">
        <f t="shared" si="3"/>
        <v>53758906</v>
      </c>
      <c r="AK25" s="985">
        <f t="shared" si="3"/>
        <v>57118837</v>
      </c>
      <c r="AL25" s="985">
        <f t="shared" si="3"/>
        <v>60478769</v>
      </c>
      <c r="AM25" s="985"/>
      <c r="AN25" s="676"/>
      <c r="AO25" s="676"/>
      <c r="AP25" s="676"/>
      <c r="AR25" s="512"/>
      <c r="AS25" s="509"/>
      <c r="AT25" s="511"/>
    </row>
    <row r="26" spans="1:47" hidden="1" x14ac:dyDescent="0.25">
      <c r="A26" s="1378"/>
      <c r="B26" s="1378"/>
      <c r="C26" s="1378"/>
      <c r="D26" s="1378"/>
      <c r="E26" s="1379"/>
      <c r="F26" s="1420"/>
      <c r="G26" s="997"/>
      <c r="H26" s="997"/>
      <c r="I26" s="678"/>
      <c r="J26" s="678"/>
      <c r="K26" s="983"/>
      <c r="L26" s="983"/>
      <c r="M26" s="983"/>
      <c r="N26" s="983"/>
      <c r="O26" s="983"/>
      <c r="P26" s="983"/>
      <c r="Q26" s="983"/>
      <c r="R26" s="983"/>
      <c r="S26" s="983"/>
      <c r="T26" s="983"/>
      <c r="U26" s="983"/>
      <c r="V26" s="983"/>
      <c r="W26" s="983"/>
      <c r="X26" s="983"/>
      <c r="Y26" s="983"/>
      <c r="Z26" s="983"/>
      <c r="AA26" s="983"/>
      <c r="AB26" s="983"/>
      <c r="AC26" s="983"/>
      <c r="AD26" s="676"/>
      <c r="AE26" s="676"/>
      <c r="AF26" s="676"/>
      <c r="AG26" s="676"/>
      <c r="AH26" s="676"/>
      <c r="AI26" s="676"/>
      <c r="AJ26" s="676"/>
      <c r="AK26" s="676"/>
      <c r="AL26" s="979"/>
      <c r="AM26" s="979"/>
      <c r="AN26" s="979"/>
      <c r="AO26" s="676"/>
      <c r="AP26" s="676"/>
      <c r="AR26" s="512"/>
      <c r="AS26" s="509"/>
      <c r="AT26" s="511"/>
    </row>
    <row r="27" spans="1:47" x14ac:dyDescent="0.25">
      <c r="A27" s="1378"/>
      <c r="B27" s="1378"/>
      <c r="C27" s="1378"/>
      <c r="D27" s="1378"/>
      <c r="E27" s="1379"/>
      <c r="F27" s="1420"/>
      <c r="G27" s="997"/>
      <c r="H27" s="997"/>
      <c r="I27" s="678"/>
      <c r="J27" s="678"/>
      <c r="K27" s="678"/>
      <c r="L27" s="678"/>
      <c r="M27" s="678"/>
      <c r="N27" s="678"/>
      <c r="O27" s="678"/>
      <c r="P27" s="678"/>
      <c r="Q27" s="678"/>
      <c r="R27" s="678"/>
      <c r="S27" s="678"/>
      <c r="T27" s="678"/>
      <c r="U27" s="678"/>
      <c r="V27" s="678"/>
      <c r="W27" s="678"/>
      <c r="X27" s="678"/>
      <c r="Y27" s="678"/>
      <c r="Z27" s="678"/>
      <c r="AA27" s="678"/>
      <c r="AB27" s="678"/>
      <c r="AC27" s="678"/>
      <c r="AD27" s="678"/>
      <c r="AE27" s="678"/>
      <c r="AF27" s="678"/>
      <c r="AG27" s="678"/>
      <c r="AH27" s="678"/>
      <c r="AI27" s="678"/>
      <c r="AJ27" s="678"/>
      <c r="AK27" s="678"/>
      <c r="AL27" s="678">
        <f>+'%'!E86</f>
        <v>0</v>
      </c>
      <c r="AM27" s="678">
        <f>+'%'!E87</f>
        <v>0</v>
      </c>
      <c r="AN27" s="678">
        <f>+'%'!E88</f>
        <v>0</v>
      </c>
      <c r="AO27" s="676"/>
      <c r="AP27" s="676"/>
      <c r="AR27" s="512"/>
      <c r="AS27" s="509"/>
      <c r="AT27" s="511"/>
    </row>
    <row r="28" spans="1:47" x14ac:dyDescent="0.25">
      <c r="A28" s="1378"/>
      <c r="B28" s="1378"/>
      <c r="C28" s="1378"/>
      <c r="D28" s="1378"/>
      <c r="E28" s="1379"/>
      <c r="F28" s="1420"/>
      <c r="G28" s="997"/>
      <c r="H28" s="997"/>
      <c r="I28" s="981"/>
      <c r="J28" s="981"/>
      <c r="K28" s="983"/>
      <c r="L28" s="983"/>
      <c r="M28" s="983"/>
      <c r="N28" s="983"/>
      <c r="O28" s="983"/>
      <c r="P28" s="983"/>
      <c r="Q28" s="983"/>
      <c r="R28" s="983"/>
      <c r="S28" s="983"/>
      <c r="T28" s="983"/>
      <c r="U28" s="983"/>
      <c r="V28" s="983"/>
      <c r="W28" s="983"/>
      <c r="X28" s="983"/>
      <c r="Y28" s="983"/>
      <c r="Z28" s="983"/>
      <c r="AA28" s="983"/>
      <c r="AB28" s="983"/>
      <c r="AC28" s="983"/>
      <c r="AD28" s="676"/>
      <c r="AE28" s="676"/>
      <c r="AF28" s="676"/>
      <c r="AG28" s="676"/>
      <c r="AH28" s="676"/>
      <c r="AI28" s="676"/>
      <c r="AJ28" s="676"/>
      <c r="AK28" s="676"/>
      <c r="AL28" s="985">
        <f>ROUNDDOWN(AL27*$E$49,0)</f>
        <v>0</v>
      </c>
      <c r="AM28" s="985">
        <f>ROUND(AM27*$E$49,0)</f>
        <v>0</v>
      </c>
      <c r="AN28" s="985">
        <f>ROUND(AN27*$E$49,0)</f>
        <v>0</v>
      </c>
      <c r="AO28" s="676"/>
      <c r="AP28" s="676"/>
      <c r="AT28" s="511"/>
    </row>
    <row r="29" spans="1:47" hidden="1" x14ac:dyDescent="0.25">
      <c r="A29" s="1378"/>
      <c r="B29" s="1378"/>
      <c r="C29" s="1378"/>
      <c r="D29" s="1378"/>
      <c r="E29" s="1379"/>
      <c r="F29" s="1420"/>
      <c r="G29" s="997"/>
      <c r="H29" s="997"/>
      <c r="I29" s="678"/>
      <c r="J29" s="678"/>
      <c r="K29" s="678"/>
      <c r="L29" s="678"/>
      <c r="M29" s="678"/>
      <c r="N29" s="678"/>
      <c r="O29" s="678"/>
      <c r="P29" s="678"/>
      <c r="Q29" s="678"/>
      <c r="R29" s="678"/>
      <c r="S29" s="678"/>
      <c r="T29" s="678"/>
      <c r="U29" s="678"/>
      <c r="V29" s="678"/>
      <c r="W29" s="678"/>
      <c r="X29" s="678"/>
      <c r="Y29" s="678"/>
      <c r="Z29" s="678"/>
      <c r="AA29" s="678"/>
      <c r="AB29" s="678"/>
      <c r="AC29" s="678"/>
      <c r="AD29" s="623"/>
      <c r="AE29" s="623"/>
      <c r="AF29" s="623"/>
      <c r="AG29" s="678"/>
      <c r="AH29" s="979"/>
      <c r="AI29" s="979"/>
      <c r="AJ29" s="979"/>
      <c r="AK29" s="979"/>
      <c r="AL29" s="979"/>
      <c r="AM29" s="979"/>
      <c r="AN29" s="676"/>
      <c r="AO29" s="676"/>
      <c r="AP29" s="676"/>
      <c r="AS29" s="509"/>
      <c r="AT29" s="511"/>
    </row>
    <row r="30" spans="1:47" x14ac:dyDescent="0.25">
      <c r="A30" s="1378"/>
      <c r="B30" s="1378"/>
      <c r="C30" s="1378"/>
      <c r="D30" s="1378"/>
      <c r="E30" s="1379"/>
      <c r="F30" s="1420"/>
      <c r="G30" s="997"/>
      <c r="H30" s="997"/>
      <c r="I30" s="678"/>
      <c r="J30" s="678"/>
      <c r="K30" s="678"/>
      <c r="L30" s="678"/>
      <c r="M30" s="678"/>
      <c r="N30" s="678"/>
      <c r="O30" s="678"/>
      <c r="P30" s="678"/>
      <c r="Q30" s="678"/>
      <c r="R30" s="678"/>
      <c r="S30" s="678"/>
      <c r="T30" s="678"/>
      <c r="U30" s="678"/>
      <c r="V30" s="678"/>
      <c r="W30" s="678"/>
      <c r="X30" s="678"/>
      <c r="Y30" s="678"/>
      <c r="Z30" s="678"/>
      <c r="AA30" s="678"/>
      <c r="AB30" s="678"/>
      <c r="AC30" s="678"/>
      <c r="AD30" s="623"/>
      <c r="AE30" s="623"/>
      <c r="AF30" s="623"/>
      <c r="AG30" s="678"/>
      <c r="AH30" s="678">
        <f>+'%'!$E104</f>
        <v>0</v>
      </c>
      <c r="AI30" s="678">
        <f>+'%'!$E105</f>
        <v>0</v>
      </c>
      <c r="AJ30" s="678">
        <f>+'%'!$E106</f>
        <v>0</v>
      </c>
      <c r="AK30" s="678">
        <f>+'%'!$E107</f>
        <v>0</v>
      </c>
      <c r="AL30" s="678">
        <f>+'%'!$E108</f>
        <v>0</v>
      </c>
      <c r="AM30" s="678">
        <f>+'%'!$E109</f>
        <v>0</v>
      </c>
      <c r="AN30" s="980"/>
      <c r="AO30" s="676"/>
      <c r="AP30" s="676"/>
      <c r="AT30" s="511"/>
    </row>
    <row r="31" spans="1:47" x14ac:dyDescent="0.25">
      <c r="A31" s="1378"/>
      <c r="B31" s="1378"/>
      <c r="C31" s="1378"/>
      <c r="D31" s="1378"/>
      <c r="E31" s="1379"/>
      <c r="F31" s="1420"/>
      <c r="G31" s="997"/>
      <c r="H31" s="997"/>
      <c r="I31" s="981"/>
      <c r="J31" s="981"/>
      <c r="K31" s="985"/>
      <c r="L31" s="985"/>
      <c r="M31" s="985"/>
      <c r="N31" s="985"/>
      <c r="O31" s="985"/>
      <c r="P31" s="985"/>
      <c r="Q31" s="985"/>
      <c r="R31" s="985"/>
      <c r="S31" s="985"/>
      <c r="T31" s="985"/>
      <c r="U31" s="985"/>
      <c r="V31" s="985"/>
      <c r="W31" s="985"/>
      <c r="X31" s="985"/>
      <c r="Y31" s="985"/>
      <c r="Z31" s="985"/>
      <c r="AA31" s="985"/>
      <c r="AB31" s="985"/>
      <c r="AC31" s="985"/>
      <c r="AD31" s="623"/>
      <c r="AE31" s="623"/>
      <c r="AF31" s="623"/>
      <c r="AG31" s="985"/>
      <c r="AH31" s="985">
        <f>ROUND(AH30*$E$49,0)</f>
        <v>0</v>
      </c>
      <c r="AI31" s="985">
        <f>ROUND(AI30*$E$49,0)</f>
        <v>0</v>
      </c>
      <c r="AJ31" s="985">
        <f>ROUND(AJ30*$E$49,0)</f>
        <v>0</v>
      </c>
      <c r="AK31" s="985">
        <f t="shared" ref="AK31" si="4">ROUND(AK30*$E$49,0)</f>
        <v>0</v>
      </c>
      <c r="AL31" s="985">
        <f>ROUND(AL30*$E$49,0)</f>
        <v>0</v>
      </c>
      <c r="AM31" s="985">
        <f>ROUND(AM30*$E$49,0)</f>
        <v>0</v>
      </c>
      <c r="AN31" s="676"/>
      <c r="AO31" s="676"/>
      <c r="AP31" s="676"/>
      <c r="AT31" s="511"/>
    </row>
    <row r="32" spans="1:47" hidden="1" x14ac:dyDescent="0.25">
      <c r="A32" s="1378" t="str">
        <f>+CRONOG!A28</f>
        <v>No.6. ESPECIFICACIONES PARTICULARES (OBRAS AMBIENTALES)</v>
      </c>
      <c r="B32" s="1378"/>
      <c r="C32" s="1378"/>
      <c r="D32" s="1378"/>
      <c r="E32" s="1379">
        <f>+'Presup '!I78</f>
        <v>4465565</v>
      </c>
      <c r="F32" s="1421">
        <f>+E32/$E$49</f>
        <v>5.7725772496585994E-3</v>
      </c>
      <c r="G32" s="998"/>
      <c r="H32" s="998"/>
      <c r="I32" s="678"/>
      <c r="J32" s="678"/>
      <c r="K32" s="984"/>
      <c r="L32" s="984"/>
      <c r="M32" s="984"/>
      <c r="N32" s="984"/>
      <c r="O32" s="984"/>
      <c r="P32" s="984"/>
      <c r="Q32" s="984"/>
      <c r="R32" s="984"/>
      <c r="S32" s="984"/>
      <c r="T32" s="984"/>
      <c r="U32" s="984"/>
      <c r="V32" s="984"/>
      <c r="W32" s="984"/>
      <c r="X32" s="984"/>
      <c r="Y32" s="984"/>
      <c r="Z32" s="984"/>
      <c r="AA32" s="984"/>
      <c r="AB32" s="984"/>
      <c r="AC32" s="984"/>
      <c r="AD32" s="986"/>
      <c r="AE32" s="986"/>
      <c r="AF32" s="986"/>
      <c r="AG32" s="986"/>
      <c r="AH32" s="986"/>
      <c r="AI32" s="986"/>
      <c r="AJ32" s="986"/>
      <c r="AK32" s="986"/>
      <c r="AL32" s="986"/>
      <c r="AM32" s="986"/>
      <c r="AN32" s="676"/>
      <c r="AO32" s="676"/>
      <c r="AP32" s="676"/>
      <c r="AT32" s="511"/>
    </row>
    <row r="33" spans="1:46" x14ac:dyDescent="0.25">
      <c r="A33" s="1378"/>
      <c r="B33" s="1378"/>
      <c r="C33" s="1378"/>
      <c r="D33" s="1378"/>
      <c r="E33" s="1379"/>
      <c r="F33" s="1421"/>
      <c r="G33" s="998"/>
      <c r="H33" s="998"/>
      <c r="I33" s="678"/>
      <c r="J33" s="678"/>
      <c r="K33" s="987">
        <f>+'%'!$E122</f>
        <v>1.3270292527950803E-5</v>
      </c>
      <c r="L33" s="987">
        <f>+'%'!$E123</f>
        <v>2.6540585055901607E-5</v>
      </c>
      <c r="M33" s="987">
        <f>+'%'!$E124</f>
        <v>3.981087758385241E-5</v>
      </c>
      <c r="N33" s="987">
        <f>+'%'!$E125</f>
        <v>5.3081170111803213E-5</v>
      </c>
      <c r="O33" s="987">
        <f>+'%'!$E126</f>
        <v>6.635146263975401E-5</v>
      </c>
      <c r="P33" s="987">
        <f>+'%'!$E127</f>
        <v>7.9621755167704806E-5</v>
      </c>
      <c r="Q33" s="987">
        <f>+'%'!$E128</f>
        <v>9.2892047695655603E-5</v>
      </c>
      <c r="R33" s="987">
        <f>+'%'!$E129</f>
        <v>1.061623402236064E-4</v>
      </c>
      <c r="S33" s="987">
        <f>+'%'!$E130</f>
        <v>1.194326327515572E-4</v>
      </c>
      <c r="T33" s="987">
        <f>+'%'!$E131</f>
        <v>1.3270292527950799E-4</v>
      </c>
      <c r="U33" s="987">
        <f>+'%'!$E132</f>
        <v>1.4597321780745879E-4</v>
      </c>
      <c r="V33" s="987">
        <f>+'%'!$E133</f>
        <v>1.5924351033540959E-4</v>
      </c>
      <c r="W33" s="987">
        <f>+'%'!$E134</f>
        <v>1.7251380286336038E-4</v>
      </c>
      <c r="X33" s="987">
        <f>+'%'!$E135</f>
        <v>1.8578409539131118E-4</v>
      </c>
      <c r="Y33" s="987">
        <f>+'%'!$E136</f>
        <v>1.9905438791926197E-4</v>
      </c>
      <c r="Z33" s="987">
        <f>+'%'!$E137</f>
        <v>2.1232468044721277E-4</v>
      </c>
      <c r="AA33" s="987">
        <f>+'%'!$E138</f>
        <v>2.2559497297516357E-4</v>
      </c>
      <c r="AB33" s="987">
        <f>+'%'!$E139</f>
        <v>2.3886526550311436E-4</v>
      </c>
      <c r="AC33" s="987">
        <f>+'%'!$E140</f>
        <v>2.5213555803106516E-4</v>
      </c>
      <c r="AD33" s="987">
        <f>+'%'!$E141</f>
        <v>2.6540585055901598E-4</v>
      </c>
      <c r="AE33" s="987">
        <f>+'%'!$E142</f>
        <v>2.7867614308696681E-4</v>
      </c>
      <c r="AF33" s="987">
        <f>+'%'!$E143</f>
        <v>2.9194643561491763E-4</v>
      </c>
      <c r="AG33" s="987">
        <f>+'%'!$E144</f>
        <v>3.0521672814286846E-4</v>
      </c>
      <c r="AH33" s="987">
        <f>+'%'!$E145</f>
        <v>3.1848702067081928E-4</v>
      </c>
      <c r="AI33" s="987">
        <f>+'%'!$E146</f>
        <v>3.317573131987701E-4</v>
      </c>
      <c r="AJ33" s="987">
        <f>+'%'!$E147</f>
        <v>3.4502760572672093E-4</v>
      </c>
      <c r="AK33" s="987">
        <f>+'%'!$E148</f>
        <v>3.5829789825467175E-4</v>
      </c>
      <c r="AL33" s="987">
        <f>+'%'!$E149</f>
        <v>3.7156819078262257E-4</v>
      </c>
      <c r="AM33" s="987">
        <f>+'%'!$E150</f>
        <v>3.848384833105734E-4</v>
      </c>
      <c r="AN33" s="980"/>
      <c r="AO33" s="676"/>
      <c r="AP33" s="676"/>
      <c r="AT33" s="511"/>
    </row>
    <row r="34" spans="1:46" ht="29.25" customHeight="1" x14ac:dyDescent="0.25">
      <c r="A34" s="1378"/>
      <c r="B34" s="1378"/>
      <c r="C34" s="1378"/>
      <c r="D34" s="1378"/>
      <c r="E34" s="1379"/>
      <c r="F34" s="1421"/>
      <c r="G34" s="998"/>
      <c r="H34" s="998"/>
      <c r="I34" s="981"/>
      <c r="J34" s="981"/>
      <c r="K34" s="985">
        <f>ROUNDDOWN(K33*$E$49,0)</f>
        <v>10265</v>
      </c>
      <c r="L34" s="985">
        <f>ROUND(L33*$E$49,0)</f>
        <v>20531</v>
      </c>
      <c r="M34" s="985">
        <f t="shared" ref="M34:AM34" si="5">ROUND(M33*$E$49,0)</f>
        <v>30797</v>
      </c>
      <c r="N34" s="985">
        <f t="shared" si="5"/>
        <v>41063</v>
      </c>
      <c r="O34" s="985">
        <f t="shared" si="5"/>
        <v>51328</v>
      </c>
      <c r="P34" s="985">
        <f t="shared" si="5"/>
        <v>61594</v>
      </c>
      <c r="Q34" s="985">
        <f t="shared" si="5"/>
        <v>71860</v>
      </c>
      <c r="R34" s="985">
        <f t="shared" si="5"/>
        <v>82125</v>
      </c>
      <c r="S34" s="985">
        <f t="shared" si="5"/>
        <v>92391</v>
      </c>
      <c r="T34" s="985">
        <f t="shared" si="5"/>
        <v>102657</v>
      </c>
      <c r="U34" s="985">
        <f t="shared" si="5"/>
        <v>112922</v>
      </c>
      <c r="V34" s="985">
        <f t="shared" si="5"/>
        <v>123188</v>
      </c>
      <c r="W34" s="985">
        <f t="shared" si="5"/>
        <v>133454</v>
      </c>
      <c r="X34" s="985">
        <f t="shared" si="5"/>
        <v>143719</v>
      </c>
      <c r="Y34" s="985">
        <f t="shared" si="5"/>
        <v>153985</v>
      </c>
      <c r="Z34" s="985">
        <f t="shared" si="5"/>
        <v>164251</v>
      </c>
      <c r="AA34" s="985">
        <f t="shared" si="5"/>
        <v>174516</v>
      </c>
      <c r="AB34" s="985">
        <f t="shared" si="5"/>
        <v>184782</v>
      </c>
      <c r="AC34" s="985">
        <f t="shared" si="5"/>
        <v>195048</v>
      </c>
      <c r="AD34" s="985">
        <f t="shared" si="5"/>
        <v>205313</v>
      </c>
      <c r="AE34" s="985">
        <f t="shared" si="5"/>
        <v>215579</v>
      </c>
      <c r="AF34" s="985">
        <f t="shared" si="5"/>
        <v>225845</v>
      </c>
      <c r="AG34" s="985">
        <f t="shared" si="5"/>
        <v>236110</v>
      </c>
      <c r="AH34" s="985">
        <f t="shared" si="5"/>
        <v>246376</v>
      </c>
      <c r="AI34" s="985">
        <f t="shared" si="5"/>
        <v>256642</v>
      </c>
      <c r="AJ34" s="985">
        <f t="shared" si="5"/>
        <v>266907</v>
      </c>
      <c r="AK34" s="985">
        <f t="shared" si="5"/>
        <v>277173</v>
      </c>
      <c r="AL34" s="985">
        <f t="shared" si="5"/>
        <v>287439</v>
      </c>
      <c r="AM34" s="985">
        <f t="shared" si="5"/>
        <v>297704</v>
      </c>
      <c r="AN34" s="676"/>
      <c r="AO34" s="676"/>
      <c r="AP34" s="676"/>
      <c r="AT34" s="511"/>
    </row>
    <row r="35" spans="1:46" hidden="1" x14ac:dyDescent="0.25">
      <c r="A35" s="1378" t="str">
        <f>+CRONOG!A31</f>
        <v>No.7. TRANSPORTE</v>
      </c>
      <c r="B35" s="1378"/>
      <c r="C35" s="1378"/>
      <c r="D35" s="1378"/>
      <c r="E35" s="1379">
        <f>+'Presup '!I83</f>
        <v>512556</v>
      </c>
      <c r="F35" s="1422">
        <f>+E35/$E$49</f>
        <v>6.6257441214628236E-4</v>
      </c>
      <c r="G35" s="998"/>
      <c r="H35" s="998"/>
      <c r="I35" s="678"/>
      <c r="J35" s="678"/>
      <c r="K35" s="979"/>
      <c r="L35" s="979"/>
      <c r="M35" s="979"/>
      <c r="N35" s="979"/>
      <c r="O35" s="979"/>
      <c r="P35" s="979"/>
      <c r="Q35" s="979"/>
      <c r="R35" s="979"/>
      <c r="S35" s="979"/>
      <c r="T35" s="979"/>
      <c r="U35" s="979"/>
      <c r="V35" s="979"/>
      <c r="W35" s="979"/>
      <c r="X35" s="979"/>
      <c r="Y35" s="979"/>
      <c r="Z35" s="979"/>
      <c r="AA35" s="979"/>
      <c r="AB35" s="979"/>
      <c r="AC35" s="979"/>
      <c r="AD35" s="979"/>
      <c r="AE35" s="979"/>
      <c r="AF35" s="979"/>
      <c r="AG35" s="979"/>
      <c r="AH35" s="979"/>
      <c r="AI35" s="979"/>
      <c r="AJ35" s="979"/>
      <c r="AK35" s="979"/>
      <c r="AL35" s="979"/>
      <c r="AM35" s="979"/>
      <c r="AN35" s="676"/>
      <c r="AO35" s="676"/>
      <c r="AP35" s="676"/>
      <c r="AT35" s="511"/>
    </row>
    <row r="36" spans="1:46" x14ac:dyDescent="0.25">
      <c r="A36" s="1378"/>
      <c r="B36" s="1378"/>
      <c r="C36" s="1378"/>
      <c r="D36" s="1378"/>
      <c r="E36" s="1379"/>
      <c r="F36" s="1423"/>
      <c r="G36" s="998"/>
      <c r="H36" s="998"/>
      <c r="I36" s="678"/>
      <c r="J36" s="678"/>
      <c r="K36" s="987">
        <f>+'%'!$E156</f>
        <v>1.5231595681523731E-6</v>
      </c>
      <c r="L36" s="987">
        <f>+'%'!$E157</f>
        <v>3.0463191363047463E-6</v>
      </c>
      <c r="M36" s="987">
        <f>+'%'!$E158</f>
        <v>4.5694787044571198E-6</v>
      </c>
      <c r="N36" s="987">
        <f>+'%'!$E159</f>
        <v>6.0926382726094925E-6</v>
      </c>
      <c r="O36" s="987">
        <f>+'%'!$E160</f>
        <v>7.6157978407618653E-6</v>
      </c>
      <c r="P36" s="987">
        <f>+'%'!$E161</f>
        <v>9.138957408914238E-6</v>
      </c>
      <c r="Q36" s="987">
        <f>+'%'!$E162</f>
        <v>1.0662116977066611E-5</v>
      </c>
      <c r="R36" s="987">
        <f>+'%'!$E163</f>
        <v>1.2185276545218983E-5</v>
      </c>
      <c r="S36" s="987">
        <f>+'%'!$E164</f>
        <v>1.3708436113371356E-5</v>
      </c>
      <c r="T36" s="987">
        <f>+'%'!$E165</f>
        <v>1.5231595681523729E-5</v>
      </c>
      <c r="U36" s="987">
        <f>+'%'!$E166</f>
        <v>1.6754755249676102E-5</v>
      </c>
      <c r="V36" s="987">
        <f>+'%'!$E167</f>
        <v>1.8277914817828476E-5</v>
      </c>
      <c r="W36" s="987">
        <f>+'%'!$E168</f>
        <v>1.980107438598085E-5</v>
      </c>
      <c r="X36" s="987">
        <f>+'%'!$E169</f>
        <v>2.1324233954133225E-5</v>
      </c>
      <c r="Y36" s="987">
        <f>+'%'!$E170</f>
        <v>2.2847393522285599E-5</v>
      </c>
      <c r="Z36" s="987">
        <f>+'%'!$E171</f>
        <v>2.4370553090437974E-5</v>
      </c>
      <c r="AA36" s="987">
        <f>+'%'!$E172</f>
        <v>2.5893712658590348E-5</v>
      </c>
      <c r="AB36" s="987">
        <f>+'%'!$E173</f>
        <v>2.7416872226742722E-5</v>
      </c>
      <c r="AC36" s="987">
        <f>+'%'!$E174</f>
        <v>2.8940031794895097E-5</v>
      </c>
      <c r="AD36" s="987">
        <f>+'%'!$E175</f>
        <v>3.0463191363047471E-5</v>
      </c>
      <c r="AE36" s="987">
        <f>+'%'!$E176</f>
        <v>3.1986350931199846E-5</v>
      </c>
      <c r="AF36" s="987">
        <f>+'%'!$E177</f>
        <v>3.3509510499352217E-5</v>
      </c>
      <c r="AG36" s="987">
        <f>+'%'!$E178</f>
        <v>3.5032670067504588E-5</v>
      </c>
      <c r="AH36" s="987">
        <f>+'%'!$E179</f>
        <v>3.6555829635656959E-5</v>
      </c>
      <c r="AI36" s="987">
        <f>+'%'!$E180</f>
        <v>3.807898920380933E-5</v>
      </c>
      <c r="AJ36" s="987">
        <f>+'%'!$E181</f>
        <v>3.9602148771961701E-5</v>
      </c>
      <c r="AK36" s="987">
        <f>+'%'!$E182</f>
        <v>4.1125308340114072E-5</v>
      </c>
      <c r="AL36" s="987">
        <f>+'%'!$E183</f>
        <v>4.2648467908266443E-5</v>
      </c>
      <c r="AM36" s="987">
        <f>+'%'!$E184</f>
        <v>4.4171627476418814E-5</v>
      </c>
      <c r="AN36" s="980"/>
      <c r="AO36" s="676"/>
      <c r="AP36" s="676"/>
    </row>
    <row r="37" spans="1:46" x14ac:dyDescent="0.25">
      <c r="A37" s="1378"/>
      <c r="B37" s="1378"/>
      <c r="C37" s="1378"/>
      <c r="D37" s="1378"/>
      <c r="E37" s="1379"/>
      <c r="F37" s="1424"/>
      <c r="G37" s="998"/>
      <c r="H37" s="998"/>
      <c r="I37" s="982"/>
      <c r="J37" s="982"/>
      <c r="K37" s="982">
        <f>ROUNDDOWN(K36*$E$49,0)</f>
        <v>1178</v>
      </c>
      <c r="L37" s="982">
        <f>ROUND(L36*$E$49,0)</f>
        <v>2357</v>
      </c>
      <c r="M37" s="982">
        <f>ROUND(M36*$E$49,0)</f>
        <v>3535</v>
      </c>
      <c r="N37" s="982">
        <f>ROUND(N36*$E$49,0)</f>
        <v>4713</v>
      </c>
      <c r="O37" s="982">
        <f t="shared" ref="O37:AM37" si="6">ROUND(O36*$E$49,0)</f>
        <v>5891</v>
      </c>
      <c r="P37" s="982">
        <f t="shared" si="6"/>
        <v>7070</v>
      </c>
      <c r="Q37" s="982">
        <f t="shared" si="6"/>
        <v>8248</v>
      </c>
      <c r="R37" s="982">
        <f t="shared" si="6"/>
        <v>9426</v>
      </c>
      <c r="S37" s="982">
        <f t="shared" si="6"/>
        <v>10605</v>
      </c>
      <c r="T37" s="982">
        <f t="shared" si="6"/>
        <v>11783</v>
      </c>
      <c r="U37" s="982">
        <f t="shared" si="6"/>
        <v>12961</v>
      </c>
      <c r="V37" s="982">
        <f t="shared" si="6"/>
        <v>14139</v>
      </c>
      <c r="W37" s="982">
        <f t="shared" si="6"/>
        <v>15318</v>
      </c>
      <c r="X37" s="982">
        <f t="shared" si="6"/>
        <v>16496</v>
      </c>
      <c r="Y37" s="982">
        <f t="shared" si="6"/>
        <v>17674</v>
      </c>
      <c r="Z37" s="982">
        <f t="shared" si="6"/>
        <v>18853</v>
      </c>
      <c r="AA37" s="982">
        <f t="shared" si="6"/>
        <v>20031</v>
      </c>
      <c r="AB37" s="982">
        <f t="shared" si="6"/>
        <v>21209</v>
      </c>
      <c r="AC37" s="982">
        <f t="shared" si="6"/>
        <v>22388</v>
      </c>
      <c r="AD37" s="982">
        <f t="shared" si="6"/>
        <v>23566</v>
      </c>
      <c r="AE37" s="982">
        <f t="shared" si="6"/>
        <v>24744</v>
      </c>
      <c r="AF37" s="982">
        <f t="shared" si="6"/>
        <v>25922</v>
      </c>
      <c r="AG37" s="982">
        <f t="shared" si="6"/>
        <v>27101</v>
      </c>
      <c r="AH37" s="982">
        <f t="shared" si="6"/>
        <v>28279</v>
      </c>
      <c r="AI37" s="982">
        <f t="shared" si="6"/>
        <v>29457</v>
      </c>
      <c r="AJ37" s="982">
        <f t="shared" si="6"/>
        <v>30636</v>
      </c>
      <c r="AK37" s="982">
        <f t="shared" si="6"/>
        <v>31814</v>
      </c>
      <c r="AL37" s="982">
        <f t="shared" si="6"/>
        <v>32992</v>
      </c>
      <c r="AM37" s="982">
        <f t="shared" si="6"/>
        <v>34170</v>
      </c>
      <c r="AN37" s="676"/>
      <c r="AO37" s="676"/>
      <c r="AP37" s="676"/>
    </row>
    <row r="38" spans="1:46" hidden="1" x14ac:dyDescent="0.25">
      <c r="A38" s="1378" t="s">
        <v>775</v>
      </c>
      <c r="B38" s="1378"/>
      <c r="C38" s="1378"/>
      <c r="D38" s="1378"/>
      <c r="E38" s="1379">
        <f>+'Presup '!I98+'Presup '!I101</f>
        <v>0</v>
      </c>
      <c r="F38" s="1425">
        <f>+E38/$E$49</f>
        <v>0</v>
      </c>
      <c r="G38" s="997"/>
      <c r="H38" s="997"/>
      <c r="I38" s="678"/>
      <c r="J38" s="678"/>
      <c r="K38" s="979"/>
      <c r="L38" s="979"/>
      <c r="M38" s="979"/>
      <c r="N38" s="979"/>
      <c r="O38" s="979"/>
      <c r="P38" s="979"/>
      <c r="Q38" s="979"/>
      <c r="R38" s="979"/>
      <c r="S38" s="979"/>
      <c r="T38" s="979"/>
      <c r="U38" s="979"/>
      <c r="V38" s="979"/>
      <c r="W38" s="979"/>
      <c r="X38" s="979"/>
      <c r="Y38" s="979"/>
      <c r="Z38" s="979"/>
      <c r="AA38" s="979"/>
      <c r="AB38" s="979"/>
      <c r="AC38" s="979"/>
      <c r="AD38" s="979"/>
      <c r="AE38" s="979"/>
      <c r="AF38" s="979"/>
      <c r="AG38" s="979"/>
      <c r="AH38" s="979"/>
      <c r="AI38" s="979"/>
      <c r="AJ38" s="979"/>
      <c r="AK38" s="979"/>
      <c r="AL38" s="979"/>
      <c r="AM38" s="979"/>
      <c r="AN38" s="979"/>
      <c r="AO38" s="676"/>
      <c r="AP38" s="676"/>
    </row>
    <row r="39" spans="1:46" x14ac:dyDescent="0.25">
      <c r="A39" s="1378"/>
      <c r="B39" s="1378"/>
      <c r="C39" s="1378"/>
      <c r="D39" s="1378"/>
      <c r="E39" s="1379"/>
      <c r="F39" s="1426"/>
      <c r="G39" s="997"/>
      <c r="H39" s="997"/>
      <c r="I39" s="678"/>
      <c r="J39" s="678"/>
      <c r="K39" s="678">
        <f>+'%'!$E189</f>
        <v>0</v>
      </c>
      <c r="L39" s="678">
        <f>+'%'!$E190</f>
        <v>0</v>
      </c>
      <c r="M39" s="678">
        <f>+'%'!$E191</f>
        <v>0</v>
      </c>
      <c r="N39" s="678">
        <f>+'%'!$E192</f>
        <v>0</v>
      </c>
      <c r="O39" s="678">
        <f>+'%'!$E193</f>
        <v>0</v>
      </c>
      <c r="P39" s="678">
        <f>+'%'!$E194</f>
        <v>0</v>
      </c>
      <c r="Q39" s="678">
        <f>+'%'!$E195</f>
        <v>0</v>
      </c>
      <c r="R39" s="678">
        <f>+'%'!$E196</f>
        <v>0</v>
      </c>
      <c r="S39" s="678">
        <f>+'%'!$E197</f>
        <v>0</v>
      </c>
      <c r="T39" s="678">
        <f>+'%'!$E198</f>
        <v>0</v>
      </c>
      <c r="U39" s="678">
        <f>+'%'!$E199</f>
        <v>0</v>
      </c>
      <c r="V39" s="678">
        <f>+'%'!$E200</f>
        <v>0</v>
      </c>
      <c r="W39" s="678">
        <f>+'%'!$E201</f>
        <v>0</v>
      </c>
      <c r="X39" s="678">
        <f>+'%'!$E202</f>
        <v>0</v>
      </c>
      <c r="Y39" s="678">
        <f>+'%'!$E203</f>
        <v>0</v>
      </c>
      <c r="Z39" s="678">
        <f>+'%'!$E204</f>
        <v>0</v>
      </c>
      <c r="AA39" s="678">
        <f>+'%'!$E205</f>
        <v>0</v>
      </c>
      <c r="AB39" s="678">
        <f>+'%'!$E206</f>
        <v>0</v>
      </c>
      <c r="AC39" s="678">
        <f>+'%'!$E207</f>
        <v>0</v>
      </c>
      <c r="AD39" s="678">
        <f>+'%'!$E208</f>
        <v>0</v>
      </c>
      <c r="AE39" s="678">
        <f>+'%'!$E209</f>
        <v>0</v>
      </c>
      <c r="AF39" s="678">
        <f>+'%'!$E210</f>
        <v>0</v>
      </c>
      <c r="AG39" s="678">
        <f>+'%'!$E211</f>
        <v>0</v>
      </c>
      <c r="AH39" s="678">
        <f>+'%'!$E212</f>
        <v>0</v>
      </c>
      <c r="AI39" s="678">
        <f>+'%'!$E213</f>
        <v>0</v>
      </c>
      <c r="AJ39" s="678">
        <f>+'%'!$E214</f>
        <v>0</v>
      </c>
      <c r="AK39" s="678">
        <f>+'%'!$E215</f>
        <v>0</v>
      </c>
      <c r="AL39" s="678">
        <f>+'%'!$E216</f>
        <v>0</v>
      </c>
      <c r="AM39" s="678">
        <f>+'%'!$E217</f>
        <v>0</v>
      </c>
      <c r="AN39" s="678">
        <f>+'%'!$E218</f>
        <v>0</v>
      </c>
      <c r="AO39" s="676"/>
      <c r="AP39" s="676"/>
    </row>
    <row r="40" spans="1:46" x14ac:dyDescent="0.25">
      <c r="A40" s="1378"/>
      <c r="B40" s="1378"/>
      <c r="C40" s="1378"/>
      <c r="D40" s="1378"/>
      <c r="E40" s="1379"/>
      <c r="F40" s="1427"/>
      <c r="G40" s="997"/>
      <c r="H40" s="997"/>
      <c r="I40" s="982"/>
      <c r="J40" s="982"/>
      <c r="K40" s="982">
        <f>ROUND(K39*$E$49,0)</f>
        <v>0</v>
      </c>
      <c r="L40" s="982">
        <f>ROUND(L39*$E$49,0)</f>
        <v>0</v>
      </c>
      <c r="M40" s="982">
        <f>ROUND(M39*$E$49,0)</f>
        <v>0</v>
      </c>
      <c r="N40" s="982">
        <f t="shared" ref="N40:AN40" si="7">ROUND(N39*$E$49,0)</f>
        <v>0</v>
      </c>
      <c r="O40" s="982">
        <f t="shared" si="7"/>
        <v>0</v>
      </c>
      <c r="P40" s="982">
        <f t="shared" si="7"/>
        <v>0</v>
      </c>
      <c r="Q40" s="982">
        <f t="shared" si="7"/>
        <v>0</v>
      </c>
      <c r="R40" s="982">
        <f t="shared" si="7"/>
        <v>0</v>
      </c>
      <c r="S40" s="982">
        <f t="shared" si="7"/>
        <v>0</v>
      </c>
      <c r="T40" s="982">
        <f t="shared" si="7"/>
        <v>0</v>
      </c>
      <c r="U40" s="982">
        <f t="shared" si="7"/>
        <v>0</v>
      </c>
      <c r="V40" s="982">
        <f t="shared" si="7"/>
        <v>0</v>
      </c>
      <c r="W40" s="982">
        <f t="shared" si="7"/>
        <v>0</v>
      </c>
      <c r="X40" s="982">
        <f t="shared" si="7"/>
        <v>0</v>
      </c>
      <c r="Y40" s="982">
        <f t="shared" si="7"/>
        <v>0</v>
      </c>
      <c r="Z40" s="982">
        <f t="shared" si="7"/>
        <v>0</v>
      </c>
      <c r="AA40" s="982">
        <f t="shared" si="7"/>
        <v>0</v>
      </c>
      <c r="AB40" s="982">
        <f t="shared" si="7"/>
        <v>0</v>
      </c>
      <c r="AC40" s="982">
        <f t="shared" si="7"/>
        <v>0</v>
      </c>
      <c r="AD40" s="982">
        <f t="shared" si="7"/>
        <v>0</v>
      </c>
      <c r="AE40" s="982">
        <f t="shared" si="7"/>
        <v>0</v>
      </c>
      <c r="AF40" s="982">
        <f t="shared" si="7"/>
        <v>0</v>
      </c>
      <c r="AG40" s="982">
        <f t="shared" si="7"/>
        <v>0</v>
      </c>
      <c r="AH40" s="982">
        <f t="shared" si="7"/>
        <v>0</v>
      </c>
      <c r="AI40" s="982">
        <f t="shared" si="7"/>
        <v>0</v>
      </c>
      <c r="AJ40" s="982">
        <f t="shared" si="7"/>
        <v>0</v>
      </c>
      <c r="AK40" s="982">
        <f t="shared" si="7"/>
        <v>0</v>
      </c>
      <c r="AL40" s="982">
        <f t="shared" si="7"/>
        <v>0</v>
      </c>
      <c r="AM40" s="982">
        <f t="shared" si="7"/>
        <v>0</v>
      </c>
      <c r="AN40" s="982">
        <f t="shared" si="7"/>
        <v>0</v>
      </c>
      <c r="AO40" s="676"/>
      <c r="AP40" s="676"/>
    </row>
    <row r="41" spans="1:46" hidden="1" x14ac:dyDescent="0.25">
      <c r="A41" s="1378" t="str">
        <f>+'Presup '!D97</f>
        <v>CARACTERIZACIÓN VIAL</v>
      </c>
      <c r="B41" s="1378"/>
      <c r="C41" s="1378"/>
      <c r="D41" s="1378"/>
      <c r="E41" s="1379">
        <f>+'CARACTERIZACIÓN VIAL'!H34</f>
        <v>13707816</v>
      </c>
      <c r="F41" s="1425">
        <f>+E41/$E$49</f>
        <v>1.7719913781146651E-2</v>
      </c>
      <c r="G41" s="997"/>
      <c r="H41" s="997"/>
      <c r="I41" s="979"/>
      <c r="J41" s="979"/>
      <c r="K41" s="979"/>
      <c r="L41" s="979"/>
      <c r="M41" s="979"/>
      <c r="N41" s="678"/>
      <c r="O41" s="678"/>
      <c r="P41" s="678"/>
      <c r="Q41" s="623"/>
      <c r="R41" s="983"/>
      <c r="S41" s="983"/>
      <c r="T41" s="983"/>
      <c r="U41" s="983"/>
      <c r="V41" s="983"/>
      <c r="W41" s="983"/>
      <c r="X41" s="983"/>
      <c r="Y41" s="983"/>
      <c r="Z41" s="983"/>
      <c r="AA41" s="983"/>
      <c r="AB41" s="983"/>
      <c r="AC41" s="983"/>
      <c r="AD41" s="676"/>
      <c r="AE41" s="676"/>
      <c r="AF41" s="676"/>
      <c r="AG41" s="676"/>
      <c r="AH41" s="676"/>
      <c r="AI41" s="676"/>
      <c r="AJ41" s="676"/>
      <c r="AK41" s="676"/>
      <c r="AL41" s="676"/>
      <c r="AM41" s="676"/>
      <c r="AN41" s="676"/>
      <c r="AO41" s="676"/>
      <c r="AP41" s="676"/>
    </row>
    <row r="42" spans="1:46" x14ac:dyDescent="0.25">
      <c r="A42" s="1378"/>
      <c r="B42" s="1378"/>
      <c r="C42" s="1378"/>
      <c r="D42" s="1378"/>
      <c r="E42" s="1379"/>
      <c r="F42" s="1426"/>
      <c r="G42" s="997"/>
      <c r="H42" s="997"/>
      <c r="I42" s="678">
        <f>+'%'!E225</f>
        <v>1.1813275854097767E-3</v>
      </c>
      <c r="J42" s="678">
        <f>+'%'!E226</f>
        <v>2.3626551708195533E-3</v>
      </c>
      <c r="K42" s="678">
        <f>+'%'!E227</f>
        <v>3.5439827562293302E-3</v>
      </c>
      <c r="L42" s="678">
        <f>+'%'!E228</f>
        <v>4.7253103416391067E-3</v>
      </c>
      <c r="M42" s="678">
        <f>+'%'!E229</f>
        <v>5.9066379270488831E-3</v>
      </c>
      <c r="N42" s="678"/>
      <c r="O42" s="678"/>
      <c r="P42" s="678"/>
      <c r="Q42" s="623"/>
      <c r="R42" s="678"/>
      <c r="S42" s="678"/>
      <c r="T42" s="678"/>
      <c r="U42" s="678"/>
      <c r="V42" s="678"/>
      <c r="W42" s="678"/>
      <c r="X42" s="678"/>
      <c r="Y42" s="678"/>
      <c r="Z42" s="678"/>
      <c r="AA42" s="678"/>
      <c r="AB42" s="678"/>
      <c r="AC42" s="678"/>
      <c r="AD42" s="678"/>
      <c r="AE42" s="678"/>
      <c r="AF42" s="678"/>
      <c r="AG42" s="678"/>
      <c r="AH42" s="678"/>
      <c r="AI42" s="678"/>
      <c r="AJ42" s="678"/>
      <c r="AK42" s="678"/>
      <c r="AL42" s="678"/>
      <c r="AM42" s="980"/>
      <c r="AN42" s="980"/>
      <c r="AO42" s="676"/>
      <c r="AP42" s="676"/>
    </row>
    <row r="43" spans="1:46" x14ac:dyDescent="0.25">
      <c r="A43" s="1378"/>
      <c r="B43" s="1378"/>
      <c r="C43" s="1378"/>
      <c r="D43" s="1378"/>
      <c r="E43" s="1379"/>
      <c r="F43" s="1427"/>
      <c r="G43" s="997"/>
      <c r="H43" s="997"/>
      <c r="I43" s="982">
        <f>ROUNDDOWN(I42*$E$49,0)</f>
        <v>913854</v>
      </c>
      <c r="J43" s="982">
        <f>ROUND(J42*$E$49,0)</f>
        <v>1827709</v>
      </c>
      <c r="K43" s="982">
        <f>ROUND(K42*$E$49,0)</f>
        <v>2741563</v>
      </c>
      <c r="L43" s="982">
        <f>ROUND(L42*$E$49,0)</f>
        <v>3655418</v>
      </c>
      <c r="M43" s="982">
        <f>ROUND(M42*$E$49,0)</f>
        <v>4569272</v>
      </c>
      <c r="N43" s="982"/>
      <c r="O43" s="982"/>
      <c r="P43" s="982"/>
      <c r="Q43" s="623"/>
      <c r="R43" s="983"/>
      <c r="S43" s="983"/>
      <c r="T43" s="983"/>
      <c r="U43" s="983"/>
      <c r="V43" s="983"/>
      <c r="W43" s="983"/>
      <c r="X43" s="983"/>
      <c r="Y43" s="983"/>
      <c r="Z43" s="983"/>
      <c r="AA43" s="983"/>
      <c r="AB43" s="983"/>
      <c r="AC43" s="983"/>
      <c r="AD43" s="676"/>
      <c r="AE43" s="676"/>
      <c r="AF43" s="676"/>
      <c r="AG43" s="676"/>
      <c r="AH43" s="676"/>
      <c r="AI43" s="676"/>
      <c r="AJ43" s="676"/>
      <c r="AK43" s="676"/>
      <c r="AL43" s="676"/>
      <c r="AM43" s="676"/>
      <c r="AN43" s="676"/>
      <c r="AO43" s="676"/>
      <c r="AP43" s="676"/>
    </row>
    <row r="44" spans="1:46" ht="24" hidden="1" customHeight="1" x14ac:dyDescent="0.25">
      <c r="A44" s="1378" t="s">
        <v>865</v>
      </c>
      <c r="B44" s="1378"/>
      <c r="C44" s="1378"/>
      <c r="D44" s="1378"/>
      <c r="E44" s="1078"/>
      <c r="F44" s="1420">
        <f>+E46/$E$49</f>
        <v>8.6708523135045658E-3</v>
      </c>
      <c r="G44" s="1095"/>
      <c r="H44" s="979"/>
      <c r="I44" s="982"/>
      <c r="J44" s="982"/>
      <c r="K44" s="982"/>
      <c r="L44" s="982"/>
      <c r="M44" s="982"/>
      <c r="N44" s="982"/>
      <c r="O44" s="982"/>
      <c r="P44" s="982"/>
      <c r="Q44" s="982"/>
      <c r="R44" s="983"/>
      <c r="S44" s="983"/>
      <c r="T44" s="983"/>
      <c r="U44" s="983"/>
      <c r="V44" s="983"/>
      <c r="W44" s="983"/>
      <c r="X44" s="983"/>
      <c r="Y44" s="983"/>
      <c r="Z44" s="983"/>
      <c r="AA44" s="983"/>
      <c r="AB44" s="983"/>
      <c r="AC44" s="983"/>
      <c r="AD44" s="676"/>
      <c r="AE44" s="676"/>
      <c r="AF44" s="676"/>
      <c r="AG44" s="676"/>
      <c r="AH44" s="676"/>
      <c r="AI44" s="676"/>
      <c r="AJ44" s="676"/>
      <c r="AK44" s="676"/>
      <c r="AL44" s="676"/>
      <c r="AM44" s="676"/>
      <c r="AN44" s="676"/>
      <c r="AO44" s="676"/>
      <c r="AP44" s="676"/>
    </row>
    <row r="45" spans="1:46" ht="24" hidden="1" customHeight="1" x14ac:dyDescent="0.25">
      <c r="A45" s="1378" t="s">
        <v>866</v>
      </c>
      <c r="B45" s="1378"/>
      <c r="C45" s="1378"/>
      <c r="D45" s="1378"/>
      <c r="E45" s="1078"/>
      <c r="F45" s="1420"/>
      <c r="G45" s="1096"/>
      <c r="H45" s="997"/>
      <c r="I45" s="982"/>
      <c r="J45" s="982"/>
      <c r="K45" s="982"/>
      <c r="L45" s="982"/>
      <c r="M45" s="982"/>
      <c r="N45" s="982"/>
      <c r="O45" s="982"/>
      <c r="P45" s="982"/>
      <c r="Q45" s="982"/>
      <c r="R45" s="983"/>
      <c r="S45" s="983"/>
      <c r="T45" s="983"/>
      <c r="U45" s="983"/>
      <c r="V45" s="983"/>
      <c r="W45" s="983"/>
      <c r="X45" s="983"/>
      <c r="Y45" s="983"/>
      <c r="Z45" s="983"/>
      <c r="AA45" s="983"/>
      <c r="AB45" s="983"/>
      <c r="AC45" s="983"/>
      <c r="AD45" s="676"/>
      <c r="AE45" s="676"/>
      <c r="AF45" s="676"/>
      <c r="AG45" s="676"/>
      <c r="AH45" s="676"/>
      <c r="AI45" s="676"/>
      <c r="AJ45" s="676"/>
      <c r="AK45" s="676"/>
      <c r="AL45" s="676"/>
      <c r="AM45" s="676"/>
      <c r="AN45" s="676"/>
      <c r="AO45" s="979"/>
      <c r="AP45" s="979"/>
    </row>
    <row r="46" spans="1:46" ht="15" customHeight="1" x14ac:dyDescent="0.25">
      <c r="A46" s="1378" t="str">
        <f>+'Presup '!D105</f>
        <v>PROTOCOLO DE BIOSEGURIDAD</v>
      </c>
      <c r="B46" s="1378"/>
      <c r="C46" s="1378"/>
      <c r="D46" s="1378"/>
      <c r="E46" s="1428">
        <f>+'Presup '!I105</f>
        <v>6707620</v>
      </c>
      <c r="F46" s="1420"/>
      <c r="G46" s="1097"/>
      <c r="H46" s="481"/>
      <c r="I46" s="678">
        <f>+$F$44/32</f>
        <v>2.7096413479701768E-4</v>
      </c>
      <c r="J46" s="678">
        <f t="shared" ref="J46:AN46" si="8">+$F$44/32</f>
        <v>2.7096413479701768E-4</v>
      </c>
      <c r="K46" s="678">
        <f t="shared" si="8"/>
        <v>2.7096413479701768E-4</v>
      </c>
      <c r="L46" s="678">
        <f t="shared" si="8"/>
        <v>2.7096413479701768E-4</v>
      </c>
      <c r="M46" s="678">
        <f t="shared" si="8"/>
        <v>2.7096413479701768E-4</v>
      </c>
      <c r="N46" s="678">
        <f t="shared" si="8"/>
        <v>2.7096413479701768E-4</v>
      </c>
      <c r="O46" s="678">
        <f t="shared" si="8"/>
        <v>2.7096413479701768E-4</v>
      </c>
      <c r="P46" s="678">
        <f t="shared" si="8"/>
        <v>2.7096413479701768E-4</v>
      </c>
      <c r="Q46" s="678">
        <f t="shared" si="8"/>
        <v>2.7096413479701768E-4</v>
      </c>
      <c r="R46" s="678">
        <f t="shared" si="8"/>
        <v>2.7096413479701768E-4</v>
      </c>
      <c r="S46" s="678">
        <f t="shared" si="8"/>
        <v>2.7096413479701768E-4</v>
      </c>
      <c r="T46" s="678">
        <f t="shared" si="8"/>
        <v>2.7096413479701768E-4</v>
      </c>
      <c r="U46" s="678">
        <f t="shared" si="8"/>
        <v>2.7096413479701768E-4</v>
      </c>
      <c r="V46" s="678">
        <f t="shared" si="8"/>
        <v>2.7096413479701768E-4</v>
      </c>
      <c r="W46" s="678">
        <f t="shared" si="8"/>
        <v>2.7096413479701768E-4</v>
      </c>
      <c r="X46" s="678">
        <f t="shared" si="8"/>
        <v>2.7096413479701768E-4</v>
      </c>
      <c r="Y46" s="678">
        <f t="shared" si="8"/>
        <v>2.7096413479701768E-4</v>
      </c>
      <c r="Z46" s="678">
        <f t="shared" si="8"/>
        <v>2.7096413479701768E-4</v>
      </c>
      <c r="AA46" s="678">
        <f t="shared" si="8"/>
        <v>2.7096413479701768E-4</v>
      </c>
      <c r="AB46" s="678">
        <f t="shared" si="8"/>
        <v>2.7096413479701768E-4</v>
      </c>
      <c r="AC46" s="678">
        <f t="shared" si="8"/>
        <v>2.7096413479701768E-4</v>
      </c>
      <c r="AD46" s="678">
        <f t="shared" si="8"/>
        <v>2.7096413479701768E-4</v>
      </c>
      <c r="AE46" s="678">
        <f t="shared" si="8"/>
        <v>2.7096413479701768E-4</v>
      </c>
      <c r="AF46" s="678">
        <f t="shared" si="8"/>
        <v>2.7096413479701768E-4</v>
      </c>
      <c r="AG46" s="678">
        <f t="shared" si="8"/>
        <v>2.7096413479701768E-4</v>
      </c>
      <c r="AH46" s="678">
        <f t="shared" si="8"/>
        <v>2.7096413479701768E-4</v>
      </c>
      <c r="AI46" s="678">
        <f t="shared" si="8"/>
        <v>2.7096413479701768E-4</v>
      </c>
      <c r="AJ46" s="678">
        <f t="shared" si="8"/>
        <v>2.7096413479701768E-4</v>
      </c>
      <c r="AK46" s="678">
        <f t="shared" si="8"/>
        <v>2.7096413479701768E-4</v>
      </c>
      <c r="AL46" s="678">
        <f t="shared" si="8"/>
        <v>2.7096413479701768E-4</v>
      </c>
      <c r="AM46" s="678">
        <f t="shared" si="8"/>
        <v>2.7096413479701768E-4</v>
      </c>
      <c r="AN46" s="678">
        <f t="shared" si="8"/>
        <v>2.7096413479701768E-4</v>
      </c>
      <c r="AO46" s="676"/>
      <c r="AP46" s="676"/>
    </row>
    <row r="47" spans="1:46" x14ac:dyDescent="0.25">
      <c r="A47" s="1378"/>
      <c r="B47" s="1378"/>
      <c r="C47" s="1378"/>
      <c r="D47" s="1378"/>
      <c r="E47" s="1428"/>
      <c r="F47" s="1420"/>
      <c r="G47" s="481"/>
      <c r="H47" s="481"/>
      <c r="I47" s="982">
        <f>ROUNDDOWN(I46*$E$49,0)</f>
        <v>209613</v>
      </c>
      <c r="J47" s="982">
        <f t="shared" ref="J47:X47" si="9">ROUNDDOWN(J46*$E$49,0)</f>
        <v>209613</v>
      </c>
      <c r="K47" s="982">
        <f t="shared" si="9"/>
        <v>209613</v>
      </c>
      <c r="L47" s="982">
        <f t="shared" si="9"/>
        <v>209613</v>
      </c>
      <c r="M47" s="982">
        <f t="shared" si="9"/>
        <v>209613</v>
      </c>
      <c r="N47" s="982">
        <f t="shared" si="9"/>
        <v>209613</v>
      </c>
      <c r="O47" s="982">
        <f t="shared" si="9"/>
        <v>209613</v>
      </c>
      <c r="P47" s="982">
        <f t="shared" si="9"/>
        <v>209613</v>
      </c>
      <c r="Q47" s="982">
        <f t="shared" si="9"/>
        <v>209613</v>
      </c>
      <c r="R47" s="982">
        <f t="shared" si="9"/>
        <v>209613</v>
      </c>
      <c r="S47" s="982">
        <f t="shared" si="9"/>
        <v>209613</v>
      </c>
      <c r="T47" s="982">
        <f t="shared" si="9"/>
        <v>209613</v>
      </c>
      <c r="U47" s="982">
        <f t="shared" si="9"/>
        <v>209613</v>
      </c>
      <c r="V47" s="982">
        <f t="shared" si="9"/>
        <v>209613</v>
      </c>
      <c r="W47" s="982">
        <f t="shared" si="9"/>
        <v>209613</v>
      </c>
      <c r="X47" s="982">
        <f t="shared" si="9"/>
        <v>209613</v>
      </c>
      <c r="Y47" s="982">
        <f t="shared" ref="Y47:AN47" si="10">ROUND(Y46*$E$49,0)</f>
        <v>209613</v>
      </c>
      <c r="Z47" s="982">
        <f t="shared" si="10"/>
        <v>209613</v>
      </c>
      <c r="AA47" s="982">
        <f t="shared" si="10"/>
        <v>209613</v>
      </c>
      <c r="AB47" s="982">
        <f t="shared" si="10"/>
        <v>209613</v>
      </c>
      <c r="AC47" s="982">
        <f t="shared" si="10"/>
        <v>209613</v>
      </c>
      <c r="AD47" s="982">
        <f t="shared" si="10"/>
        <v>209613</v>
      </c>
      <c r="AE47" s="982">
        <f t="shared" si="10"/>
        <v>209613</v>
      </c>
      <c r="AF47" s="982">
        <f t="shared" si="10"/>
        <v>209613</v>
      </c>
      <c r="AG47" s="982">
        <f t="shared" si="10"/>
        <v>209613</v>
      </c>
      <c r="AH47" s="982">
        <f t="shared" si="10"/>
        <v>209613</v>
      </c>
      <c r="AI47" s="982">
        <f t="shared" si="10"/>
        <v>209613</v>
      </c>
      <c r="AJ47" s="982">
        <f t="shared" si="10"/>
        <v>209613</v>
      </c>
      <c r="AK47" s="982">
        <f t="shared" si="10"/>
        <v>209613</v>
      </c>
      <c r="AL47" s="982">
        <f t="shared" si="10"/>
        <v>209613</v>
      </c>
      <c r="AM47" s="982">
        <f t="shared" si="10"/>
        <v>209613</v>
      </c>
      <c r="AN47" s="982">
        <f t="shared" si="10"/>
        <v>209613</v>
      </c>
      <c r="AO47" s="483"/>
      <c r="AP47" s="483"/>
    </row>
    <row r="48" spans="1:46" ht="15.75" thickBot="1" x14ac:dyDescent="0.3">
      <c r="A48" s="484"/>
      <c r="B48" s="1098"/>
      <c r="C48" s="1098"/>
      <c r="D48" s="1098"/>
      <c r="E48" s="485"/>
      <c r="F48" s="486"/>
      <c r="G48" s="486"/>
      <c r="H48" s="486"/>
      <c r="I48" s="487"/>
      <c r="J48" s="487"/>
      <c r="K48" s="488"/>
      <c r="L48" s="488"/>
      <c r="M48" s="488"/>
      <c r="N48" s="488"/>
      <c r="O48" s="488"/>
      <c r="P48" s="488"/>
      <c r="Q48" s="488"/>
      <c r="R48" s="488"/>
      <c r="S48" s="488"/>
      <c r="T48" s="488"/>
      <c r="U48" s="488"/>
      <c r="V48" s="488"/>
      <c r="W48" s="488"/>
      <c r="X48" s="488"/>
      <c r="Y48" s="488"/>
      <c r="Z48" s="488"/>
      <c r="AA48" s="488"/>
      <c r="AB48" s="488"/>
      <c r="AC48" s="488"/>
      <c r="AD48" s="489"/>
      <c r="AE48" s="489"/>
      <c r="AF48" s="489"/>
      <c r="AG48" s="489"/>
      <c r="AH48" s="489"/>
      <c r="AI48" s="489"/>
      <c r="AJ48" s="489"/>
      <c r="AK48" s="489"/>
      <c r="AL48" s="489"/>
      <c r="AM48" s="489"/>
      <c r="AN48" s="489"/>
      <c r="AO48" s="483"/>
      <c r="AP48" s="483"/>
    </row>
    <row r="49" spans="1:43" ht="15.75" customHeight="1" thickTop="1" x14ac:dyDescent="0.25">
      <c r="A49" s="490"/>
      <c r="B49" s="1429" t="s">
        <v>776</v>
      </c>
      <c r="C49" s="1430"/>
      <c r="D49" s="1431"/>
      <c r="E49" s="1395">
        <f>+E41+E38+E35+E32+E29+E26+E23+E20+E17+E14+E46</f>
        <v>773582545</v>
      </c>
      <c r="F49" s="1397">
        <f>+F41+F38+F35+F32+F29+F26+F23+F20+F17+F14+F44</f>
        <v>1</v>
      </c>
      <c r="G49" s="994"/>
      <c r="H49" s="994"/>
      <c r="I49" s="491">
        <f>+I42+I39+I36+I33+I30+I27+I24+I21+I18+I15+I46</f>
        <v>1.4522917202067945E-3</v>
      </c>
      <c r="J49" s="491">
        <f>+J42+J39+J36+J33+J30+J27+J24+J21+J18+J15+J46</f>
        <v>2.6336193056165709E-3</v>
      </c>
      <c r="K49" s="491">
        <f>+K42+K39+K36+K33+K30+K27+K24+K21+K18+K15+K46</f>
        <v>4.7350172623126623E-3</v>
      </c>
      <c r="L49" s="491">
        <f t="shared" ref="L49:AN49" si="11">+L42+L39+L36+L33+L30+L27+L24+L21+L18+L15+L46</f>
        <v>6.8364152190087532E-3</v>
      </c>
      <c r="M49" s="491">
        <f t="shared" si="11"/>
        <v>8.9378131757048441E-3</v>
      </c>
      <c r="N49" s="491">
        <f t="shared" si="11"/>
        <v>3.9512456199422763E-3</v>
      </c>
      <c r="O49" s="491">
        <f t="shared" si="11"/>
        <v>4.8713159912285907E-3</v>
      </c>
      <c r="P49" s="491">
        <f t="shared" si="11"/>
        <v>5.791386362514906E-3</v>
      </c>
      <c r="Q49" s="491">
        <f t="shared" si="11"/>
        <v>6.7114567338012205E-3</v>
      </c>
      <c r="R49" s="491">
        <f t="shared" si="11"/>
        <v>9.8808992131409808E-3</v>
      </c>
      <c r="S49" s="491">
        <f t="shared" si="11"/>
        <v>1.3050341692480743E-2</v>
      </c>
      <c r="T49" s="491">
        <f t="shared" si="11"/>
        <v>1.6219784171820507E-2</v>
      </c>
      <c r="U49" s="491">
        <f t="shared" si="11"/>
        <v>2.3732566122889404E-2</v>
      </c>
      <c r="V49" s="491">
        <f t="shared" si="11"/>
        <v>3.1245348073958304E-2</v>
      </c>
      <c r="W49" s="491">
        <f t="shared" si="11"/>
        <v>2.6989530075554449E-2</v>
      </c>
      <c r="X49" s="491">
        <f t="shared" si="11"/>
        <v>3.3597035107433136E-2</v>
      </c>
      <c r="Y49" s="491">
        <f t="shared" si="11"/>
        <v>4.1374088761947821E-2</v>
      </c>
      <c r="Z49" s="491">
        <f t="shared" si="11"/>
        <v>4.9151142416462505E-2</v>
      </c>
      <c r="AA49" s="491">
        <f t="shared" si="11"/>
        <v>3.4434474990442727E-2</v>
      </c>
      <c r="AB49" s="491">
        <f t="shared" si="11"/>
        <v>3.9962156536903964E-2</v>
      </c>
      <c r="AC49" s="491">
        <f t="shared" si="11"/>
        <v>4.5489838083365201E-2</v>
      </c>
      <c r="AD49" s="491">
        <f t="shared" si="11"/>
        <v>5.1017519629826438E-2</v>
      </c>
      <c r="AE49" s="491">
        <f t="shared" si="11"/>
        <v>5.6545201176287682E-2</v>
      </c>
      <c r="AF49" s="491">
        <f t="shared" si="11"/>
        <v>6.2072882722748919E-2</v>
      </c>
      <c r="AG49" s="491">
        <f t="shared" si="11"/>
        <v>6.7600564269210156E-2</v>
      </c>
      <c r="AH49" s="491">
        <f t="shared" si="11"/>
        <v>6.1432759589311416E-2</v>
      </c>
      <c r="AI49" s="491">
        <f t="shared" si="11"/>
        <v>6.5790892513136648E-2</v>
      </c>
      <c r="AJ49" s="491">
        <f t="shared" si="11"/>
        <v>7.0149025436961901E-2</v>
      </c>
      <c r="AK49" s="491">
        <f t="shared" si="11"/>
        <v>7.450715836078714E-2</v>
      </c>
      <c r="AL49" s="491">
        <f t="shared" si="11"/>
        <v>7.8865291284612393E-2</v>
      </c>
      <c r="AM49" s="491">
        <f t="shared" si="11"/>
        <v>6.9997424558400985E-4</v>
      </c>
      <c r="AN49" s="491">
        <f t="shared" si="11"/>
        <v>2.7096413479701768E-4</v>
      </c>
      <c r="AO49" s="483"/>
      <c r="AP49" s="483"/>
    </row>
    <row r="50" spans="1:43" ht="15.75" thickBot="1" x14ac:dyDescent="0.3">
      <c r="A50" s="490"/>
      <c r="B50" s="1432"/>
      <c r="C50" s="1433"/>
      <c r="D50" s="1434"/>
      <c r="E50" s="1396"/>
      <c r="F50" s="1398"/>
      <c r="G50" s="995"/>
      <c r="H50" s="995"/>
      <c r="I50" s="492">
        <f>+I37+I34+I31+I28+I25+I22+I19+I16+I43+I40+I47</f>
        <v>1123467</v>
      </c>
      <c r="J50" s="492">
        <f>+J37+J34+J31+J28+J25+J22+J19+J16+J43+J40+J47</f>
        <v>2037322</v>
      </c>
      <c r="K50" s="492">
        <f t="shared" ref="K50:AN50" si="12">+K37+K34+K31+K28+K25+K22+K19+K16+K43+K40+K47</f>
        <v>3662925.423076923</v>
      </c>
      <c r="L50" s="492">
        <f t="shared" si="12"/>
        <v>5288531.846153846</v>
      </c>
      <c r="M50" s="492">
        <f t="shared" si="12"/>
        <v>6914136.269230769</v>
      </c>
      <c r="N50" s="492">
        <f t="shared" si="12"/>
        <v>3056614.692307692</v>
      </c>
      <c r="O50" s="492">
        <f t="shared" si="12"/>
        <v>3768364.1153846155</v>
      </c>
      <c r="P50" s="492">
        <f t="shared" si="12"/>
        <v>4480115.538461539</v>
      </c>
      <c r="Q50" s="492">
        <f t="shared" si="12"/>
        <v>5191865.961538462</v>
      </c>
      <c r="R50" s="492">
        <f t="shared" si="12"/>
        <v>7643690.3846153859</v>
      </c>
      <c r="S50" s="492">
        <f t="shared" si="12"/>
        <v>10095516.807692308</v>
      </c>
      <c r="T50" s="492">
        <f t="shared" si="12"/>
        <v>12547342.230769232</v>
      </c>
      <c r="U50" s="492">
        <f t="shared" si="12"/>
        <v>18359097.653846156</v>
      </c>
      <c r="V50" s="492">
        <f t="shared" si="12"/>
        <v>24170855.07692308</v>
      </c>
      <c r="W50" s="492">
        <f t="shared" si="12"/>
        <v>20878630</v>
      </c>
      <c r="X50" s="492">
        <f t="shared" si="12"/>
        <v>25990079</v>
      </c>
      <c r="Y50" s="492">
        <f t="shared" si="12"/>
        <v>32006272</v>
      </c>
      <c r="Z50" s="492">
        <f t="shared" si="12"/>
        <v>38022467</v>
      </c>
      <c r="AA50" s="492">
        <f t="shared" si="12"/>
        <v>26637908</v>
      </c>
      <c r="AB50" s="492">
        <f t="shared" si="12"/>
        <v>30914027</v>
      </c>
      <c r="AC50" s="492">
        <f t="shared" si="12"/>
        <v>35190145</v>
      </c>
      <c r="AD50" s="492">
        <f t="shared" si="12"/>
        <v>39466262</v>
      </c>
      <c r="AE50" s="492">
        <f t="shared" si="12"/>
        <v>43742381</v>
      </c>
      <c r="AF50" s="492">
        <f t="shared" si="12"/>
        <v>48018498</v>
      </c>
      <c r="AG50" s="492">
        <f t="shared" si="12"/>
        <v>52294617</v>
      </c>
      <c r="AH50" s="492">
        <f t="shared" si="12"/>
        <v>47523310</v>
      </c>
      <c r="AI50" s="492">
        <f t="shared" si="12"/>
        <v>50894686</v>
      </c>
      <c r="AJ50" s="492">
        <f t="shared" si="12"/>
        <v>54266062</v>
      </c>
      <c r="AK50" s="492">
        <f t="shared" si="12"/>
        <v>57637437</v>
      </c>
      <c r="AL50" s="492">
        <f t="shared" si="12"/>
        <v>61008813</v>
      </c>
      <c r="AM50" s="492">
        <f t="shared" si="12"/>
        <v>541487</v>
      </c>
      <c r="AN50" s="492">
        <f t="shared" si="12"/>
        <v>209613</v>
      </c>
      <c r="AO50" s="483"/>
      <c r="AP50" s="483"/>
      <c r="AQ50" s="756"/>
    </row>
    <row r="51" spans="1:43" ht="6" customHeight="1" thickTop="1" x14ac:dyDescent="0.25">
      <c r="A51" s="490"/>
      <c r="B51" s="490"/>
      <c r="C51" s="490"/>
      <c r="D51" s="493"/>
      <c r="E51" s="494"/>
      <c r="F51" s="495"/>
      <c r="G51" s="495"/>
      <c r="H51" s="495"/>
      <c r="I51" s="496"/>
      <c r="J51" s="496"/>
      <c r="K51" s="496"/>
      <c r="L51" s="496"/>
      <c r="M51" s="496"/>
      <c r="N51" s="496"/>
      <c r="O51" s="496"/>
      <c r="P51" s="496"/>
      <c r="Q51" s="496"/>
      <c r="R51" s="496"/>
      <c r="S51" s="496"/>
      <c r="T51" s="496"/>
      <c r="U51" s="496"/>
      <c r="V51" s="496"/>
      <c r="W51" s="496"/>
      <c r="X51" s="496"/>
      <c r="Y51" s="496"/>
      <c r="Z51" s="496"/>
      <c r="AA51" s="496"/>
      <c r="AB51" s="496"/>
      <c r="AC51" s="496"/>
      <c r="AD51" s="497"/>
      <c r="AE51" s="497"/>
      <c r="AF51" s="497"/>
      <c r="AG51" s="497"/>
      <c r="AH51" s="497"/>
      <c r="AI51" s="497"/>
      <c r="AJ51" s="497"/>
      <c r="AK51" s="497"/>
      <c r="AL51" s="497"/>
      <c r="AM51" s="497"/>
      <c r="AN51" s="497"/>
      <c r="AO51" s="483"/>
      <c r="AP51" s="483"/>
    </row>
    <row r="52" spans="1:43" ht="15.75" thickBot="1" x14ac:dyDescent="0.3">
      <c r="A52" s="490"/>
      <c r="B52" s="536"/>
      <c r="C52" s="536"/>
      <c r="D52" s="537"/>
      <c r="E52" s="494"/>
      <c r="F52" s="495" t="s">
        <v>777</v>
      </c>
      <c r="G52" s="495"/>
      <c r="H52" s="495"/>
      <c r="I52" s="496"/>
      <c r="J52" s="496"/>
      <c r="K52" s="496"/>
      <c r="L52" s="496"/>
      <c r="M52" s="496"/>
      <c r="N52" s="496"/>
      <c r="O52" s="496"/>
      <c r="P52" s="496"/>
      <c r="Q52" s="496"/>
      <c r="R52" s="496"/>
      <c r="S52" s="496"/>
      <c r="T52" s="496"/>
      <c r="U52" s="496"/>
      <c r="V52" s="496"/>
      <c r="W52" s="496"/>
      <c r="X52" s="496"/>
      <c r="Y52" s="496"/>
      <c r="Z52" s="496"/>
      <c r="AA52" s="496"/>
      <c r="AB52" s="496"/>
      <c r="AC52" s="496"/>
      <c r="AD52" s="497"/>
      <c r="AE52" s="497"/>
      <c r="AF52" s="497"/>
      <c r="AG52" s="497"/>
      <c r="AH52" s="497"/>
      <c r="AI52" s="497"/>
      <c r="AJ52" s="497"/>
      <c r="AK52" s="497"/>
      <c r="AL52" s="497"/>
      <c r="AM52" s="497"/>
      <c r="AN52" s="497"/>
      <c r="AO52" s="483"/>
      <c r="AP52" s="483"/>
    </row>
    <row r="53" spans="1:43" ht="15.75" customHeight="1" thickTop="1" x14ac:dyDescent="0.25">
      <c r="A53" s="490"/>
      <c r="B53" s="1429" t="s">
        <v>778</v>
      </c>
      <c r="C53" s="1430"/>
      <c r="D53" s="1431"/>
      <c r="E53" s="1395">
        <f>+'Presup '!I108</f>
        <v>0</v>
      </c>
      <c r="F53" s="1397">
        <v>1</v>
      </c>
      <c r="G53" s="994"/>
      <c r="H53" s="994"/>
      <c r="I53" s="491">
        <f>+$F$53/$AQ$12</f>
        <v>3.125E-2</v>
      </c>
      <c r="J53" s="491">
        <f>+$F$53/$AQ$12</f>
        <v>3.125E-2</v>
      </c>
      <c r="K53" s="491">
        <f>+$F$53/$AQ$12</f>
        <v>3.125E-2</v>
      </c>
      <c r="L53" s="491">
        <f>+$F$53/$AQ$12</f>
        <v>3.125E-2</v>
      </c>
      <c r="M53" s="491">
        <f t="shared" ref="M53:P53" si="13">+$F$53/$AQ$12</f>
        <v>3.125E-2</v>
      </c>
      <c r="N53" s="491">
        <f t="shared" si="13"/>
        <v>3.125E-2</v>
      </c>
      <c r="O53" s="491">
        <f t="shared" si="13"/>
        <v>3.125E-2</v>
      </c>
      <c r="P53" s="491">
        <f t="shared" si="13"/>
        <v>3.125E-2</v>
      </c>
      <c r="Q53" s="491">
        <f>+$F$53/$AQ$12</f>
        <v>3.125E-2</v>
      </c>
      <c r="R53" s="491">
        <f>+$F$53/$AQ$12</f>
        <v>3.125E-2</v>
      </c>
      <c r="S53" s="491">
        <f>+$F$53/$AQ$12</f>
        <v>3.125E-2</v>
      </c>
      <c r="T53" s="491">
        <f>+$F$53/$AQ$12</f>
        <v>3.125E-2</v>
      </c>
      <c r="U53" s="491">
        <f t="shared" ref="U53:AB53" si="14">+$F$53/$AQ$12</f>
        <v>3.125E-2</v>
      </c>
      <c r="V53" s="491">
        <f t="shared" si="14"/>
        <v>3.125E-2</v>
      </c>
      <c r="W53" s="491">
        <f t="shared" si="14"/>
        <v>3.125E-2</v>
      </c>
      <c r="X53" s="491">
        <f t="shared" si="14"/>
        <v>3.125E-2</v>
      </c>
      <c r="Y53" s="491">
        <f t="shared" si="14"/>
        <v>3.125E-2</v>
      </c>
      <c r="Z53" s="491">
        <f t="shared" si="14"/>
        <v>3.125E-2</v>
      </c>
      <c r="AA53" s="491">
        <f t="shared" si="14"/>
        <v>3.125E-2</v>
      </c>
      <c r="AB53" s="491">
        <f t="shared" si="14"/>
        <v>3.125E-2</v>
      </c>
      <c r="AC53" s="491">
        <f>+$F$53/$AQ$12</f>
        <v>3.125E-2</v>
      </c>
      <c r="AD53" s="491">
        <f>+$F$53/$AQ$12</f>
        <v>3.125E-2</v>
      </c>
      <c r="AE53" s="491">
        <f>+$F$53/$AQ$12</f>
        <v>3.125E-2</v>
      </c>
      <c r="AF53" s="491">
        <f>+$F$53/$AQ$12</f>
        <v>3.125E-2</v>
      </c>
      <c r="AG53" s="491">
        <f t="shared" ref="AG53:AJ53" si="15">+$F$53/$AQ$12</f>
        <v>3.125E-2</v>
      </c>
      <c r="AH53" s="491">
        <f t="shared" si="15"/>
        <v>3.125E-2</v>
      </c>
      <c r="AI53" s="491">
        <f t="shared" si="15"/>
        <v>3.125E-2</v>
      </c>
      <c r="AJ53" s="491">
        <f t="shared" si="15"/>
        <v>3.125E-2</v>
      </c>
      <c r="AK53" s="491">
        <f>+$F$53/$AQ$12</f>
        <v>3.125E-2</v>
      </c>
      <c r="AL53" s="491">
        <f>+$F$53/$AQ$12</f>
        <v>3.125E-2</v>
      </c>
      <c r="AM53" s="491">
        <f>+$F$53/$AQ$12</f>
        <v>3.125E-2</v>
      </c>
      <c r="AN53" s="491">
        <f>+$F$53/$AQ$12</f>
        <v>3.125E-2</v>
      </c>
      <c r="AO53" s="483"/>
      <c r="AP53" s="483"/>
    </row>
    <row r="54" spans="1:43" ht="15.75" thickBot="1" x14ac:dyDescent="0.3">
      <c r="A54" s="490"/>
      <c r="B54" s="1432"/>
      <c r="C54" s="1433"/>
      <c r="D54" s="1434"/>
      <c r="E54" s="1396"/>
      <c r="F54" s="1398"/>
      <c r="G54" s="995"/>
      <c r="H54" s="995"/>
      <c r="I54" s="498">
        <f>(I53*$E$53)</f>
        <v>0</v>
      </c>
      <c r="J54" s="498">
        <f t="shared" ref="J54:AN54" si="16">(J53*$E$53)</f>
        <v>0</v>
      </c>
      <c r="K54" s="498">
        <f t="shared" si="16"/>
        <v>0</v>
      </c>
      <c r="L54" s="498">
        <f t="shared" si="16"/>
        <v>0</v>
      </c>
      <c r="M54" s="498">
        <f t="shared" si="16"/>
        <v>0</v>
      </c>
      <c r="N54" s="498">
        <f t="shared" si="16"/>
        <v>0</v>
      </c>
      <c r="O54" s="498">
        <f t="shared" si="16"/>
        <v>0</v>
      </c>
      <c r="P54" s="498">
        <f t="shared" si="16"/>
        <v>0</v>
      </c>
      <c r="Q54" s="498">
        <f t="shared" si="16"/>
        <v>0</v>
      </c>
      <c r="R54" s="498">
        <f t="shared" si="16"/>
        <v>0</v>
      </c>
      <c r="S54" s="498">
        <f t="shared" si="16"/>
        <v>0</v>
      </c>
      <c r="T54" s="498">
        <f t="shared" si="16"/>
        <v>0</v>
      </c>
      <c r="U54" s="498">
        <f t="shared" si="16"/>
        <v>0</v>
      </c>
      <c r="V54" s="498">
        <f t="shared" si="16"/>
        <v>0</v>
      </c>
      <c r="W54" s="498">
        <f t="shared" si="16"/>
        <v>0</v>
      </c>
      <c r="X54" s="498">
        <f t="shared" si="16"/>
        <v>0</v>
      </c>
      <c r="Y54" s="498">
        <f t="shared" si="16"/>
        <v>0</v>
      </c>
      <c r="Z54" s="498">
        <f t="shared" si="16"/>
        <v>0</v>
      </c>
      <c r="AA54" s="498">
        <f t="shared" si="16"/>
        <v>0</v>
      </c>
      <c r="AB54" s="498">
        <f t="shared" si="16"/>
        <v>0</v>
      </c>
      <c r="AC54" s="498">
        <f t="shared" si="16"/>
        <v>0</v>
      </c>
      <c r="AD54" s="498">
        <f t="shared" si="16"/>
        <v>0</v>
      </c>
      <c r="AE54" s="498">
        <f t="shared" si="16"/>
        <v>0</v>
      </c>
      <c r="AF54" s="498">
        <f t="shared" si="16"/>
        <v>0</v>
      </c>
      <c r="AG54" s="498">
        <f t="shared" si="16"/>
        <v>0</v>
      </c>
      <c r="AH54" s="498">
        <f t="shared" si="16"/>
        <v>0</v>
      </c>
      <c r="AI54" s="498">
        <f t="shared" si="16"/>
        <v>0</v>
      </c>
      <c r="AJ54" s="498">
        <f t="shared" si="16"/>
        <v>0</v>
      </c>
      <c r="AK54" s="498">
        <f t="shared" si="16"/>
        <v>0</v>
      </c>
      <c r="AL54" s="498">
        <f t="shared" si="16"/>
        <v>0</v>
      </c>
      <c r="AM54" s="498">
        <f t="shared" si="16"/>
        <v>0</v>
      </c>
      <c r="AN54" s="498">
        <f t="shared" si="16"/>
        <v>0</v>
      </c>
      <c r="AO54" s="483"/>
      <c r="AP54" s="483"/>
    </row>
    <row r="55" spans="1:43" ht="4.5" customHeight="1" thickTop="1" thickBot="1" x14ac:dyDescent="0.3">
      <c r="A55" s="490"/>
      <c r="B55" s="538"/>
      <c r="C55" s="538"/>
      <c r="D55" s="538"/>
      <c r="E55" s="479"/>
      <c r="F55" s="479"/>
      <c r="G55" s="479"/>
      <c r="H55" s="47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G55" s="499"/>
      <c r="AH55" s="499"/>
      <c r="AI55" s="499"/>
      <c r="AJ55" s="499"/>
      <c r="AK55" s="499"/>
      <c r="AL55" s="499"/>
      <c r="AM55" s="499"/>
      <c r="AN55" s="499"/>
      <c r="AO55" s="483"/>
      <c r="AP55" s="483"/>
    </row>
    <row r="56" spans="1:43" ht="15.75" thickTop="1" x14ac:dyDescent="0.25">
      <c r="A56" s="490"/>
      <c r="B56" s="1429" t="s">
        <v>586</v>
      </c>
      <c r="C56" s="1430"/>
      <c r="D56" s="1431"/>
      <c r="E56" s="1399">
        <f>+E49+E53</f>
        <v>773582545</v>
      </c>
      <c r="F56" s="1397">
        <v>1</v>
      </c>
      <c r="G56" s="994"/>
      <c r="H56" s="994"/>
      <c r="I56" s="491">
        <f>I57/$E$56</f>
        <v>1.4522910415461869E-3</v>
      </c>
      <c r="J56" s="491">
        <f t="shared" ref="J56:AN56" si="17">J57/$E$56</f>
        <v>2.6336194025680867E-3</v>
      </c>
      <c r="K56" s="491">
        <f t="shared" si="17"/>
        <v>4.7350156059647432E-3</v>
      </c>
      <c r="L56" s="491">
        <f t="shared" si="17"/>
        <v>6.8364156874220136E-3</v>
      </c>
      <c r="M56" s="491">
        <f t="shared" si="17"/>
        <v>8.9378131835055417E-3</v>
      </c>
      <c r="N56" s="491">
        <f t="shared" si="17"/>
        <v>3.9512456842051577E-3</v>
      </c>
      <c r="O56" s="491">
        <f t="shared" si="17"/>
        <v>4.8713148192667862E-3</v>
      </c>
      <c r="P56" s="491">
        <f t="shared" si="17"/>
        <v>5.7913865397021579E-3</v>
      </c>
      <c r="Q56" s="491">
        <f t="shared" si="17"/>
        <v>6.711456967450658E-3</v>
      </c>
      <c r="R56" s="491">
        <f t="shared" si="17"/>
        <v>9.8808982105657341E-3</v>
      </c>
      <c r="S56" s="491">
        <f t="shared" si="17"/>
        <v>1.3050342039054549E-2</v>
      </c>
      <c r="T56" s="491">
        <f t="shared" si="17"/>
        <v>1.6219784574856497E-2</v>
      </c>
      <c r="U56" s="491">
        <f t="shared" si="17"/>
        <v>2.3732564511064758E-2</v>
      </c>
      <c r="V56" s="491">
        <f t="shared" si="17"/>
        <v>3.124534703264676E-2</v>
      </c>
      <c r="W56" s="491">
        <f t="shared" si="17"/>
        <v>2.6989530897442885E-2</v>
      </c>
      <c r="X56" s="491">
        <f t="shared" si="17"/>
        <v>3.3597033914460929E-2</v>
      </c>
      <c r="Y56" s="491">
        <f t="shared" si="17"/>
        <v>4.1374087622413971E-2</v>
      </c>
      <c r="Z56" s="491">
        <f t="shared" si="17"/>
        <v>4.9151143915740755E-2</v>
      </c>
      <c r="AA56" s="491">
        <f t="shared" si="17"/>
        <v>3.4434473957785594E-2</v>
      </c>
      <c r="AB56" s="491">
        <f t="shared" si="17"/>
        <v>3.9962156850372056E-2</v>
      </c>
      <c r="AC56" s="491">
        <f t="shared" si="17"/>
        <v>4.5489838450271651E-2</v>
      </c>
      <c r="AD56" s="491">
        <f t="shared" si="17"/>
        <v>5.1017518757484372E-2</v>
      </c>
      <c r="AE56" s="491">
        <f t="shared" si="17"/>
        <v>5.6545201650070841E-2</v>
      </c>
      <c r="AF56" s="491">
        <f t="shared" si="17"/>
        <v>6.2072881957283561E-2</v>
      </c>
      <c r="AG56" s="491">
        <f t="shared" si="17"/>
        <v>6.7600564849870023E-2</v>
      </c>
      <c r="AH56" s="491">
        <f t="shared" si="17"/>
        <v>6.1432758930722774E-2</v>
      </c>
      <c r="AI56" s="491">
        <f t="shared" si="17"/>
        <v>6.5790892425061115E-2</v>
      </c>
      <c r="AJ56" s="491">
        <f t="shared" si="17"/>
        <v>7.0149025919399463E-2</v>
      </c>
      <c r="AK56" s="491">
        <f t="shared" si="17"/>
        <v>7.4507158121050937E-2</v>
      </c>
      <c r="AL56" s="491">
        <f t="shared" si="17"/>
        <v>7.8865291615389285E-2</v>
      </c>
      <c r="AM56" s="491">
        <f t="shared" si="17"/>
        <v>6.9997313602777834E-4</v>
      </c>
      <c r="AN56" s="491">
        <f t="shared" si="17"/>
        <v>2.7096397321115873E-4</v>
      </c>
      <c r="AO56" s="483"/>
      <c r="AP56" s="483"/>
    </row>
    <row r="57" spans="1:43" ht="15.75" thickBot="1" x14ac:dyDescent="0.3">
      <c r="A57" s="490"/>
      <c r="B57" s="1432"/>
      <c r="C57" s="1433"/>
      <c r="D57" s="1434"/>
      <c r="E57" s="1400"/>
      <c r="F57" s="1398"/>
      <c r="G57" s="995"/>
      <c r="H57" s="995"/>
      <c r="I57" s="498">
        <f>+I54+I50</f>
        <v>1123467</v>
      </c>
      <c r="J57" s="498">
        <f t="shared" ref="J57:AN57" si="18">+J54+J50</f>
        <v>2037322</v>
      </c>
      <c r="K57" s="498">
        <f t="shared" si="18"/>
        <v>3662925.423076923</v>
      </c>
      <c r="L57" s="498">
        <f t="shared" si="18"/>
        <v>5288531.846153846</v>
      </c>
      <c r="M57" s="498">
        <f t="shared" si="18"/>
        <v>6914136.269230769</v>
      </c>
      <c r="N57" s="498">
        <f t="shared" si="18"/>
        <v>3056614.692307692</v>
      </c>
      <c r="O57" s="498">
        <f t="shared" si="18"/>
        <v>3768364.1153846155</v>
      </c>
      <c r="P57" s="498">
        <f t="shared" si="18"/>
        <v>4480115.538461539</v>
      </c>
      <c r="Q57" s="498">
        <f t="shared" si="18"/>
        <v>5191865.961538462</v>
      </c>
      <c r="R57" s="498">
        <f t="shared" si="18"/>
        <v>7643690.3846153859</v>
      </c>
      <c r="S57" s="498">
        <f t="shared" si="18"/>
        <v>10095516.807692308</v>
      </c>
      <c r="T57" s="498">
        <f t="shared" si="18"/>
        <v>12547342.230769232</v>
      </c>
      <c r="U57" s="498">
        <f t="shared" si="18"/>
        <v>18359097.653846156</v>
      </c>
      <c r="V57" s="498">
        <f t="shared" si="18"/>
        <v>24170855.07692308</v>
      </c>
      <c r="W57" s="498">
        <f t="shared" si="18"/>
        <v>20878630</v>
      </c>
      <c r="X57" s="498">
        <f t="shared" si="18"/>
        <v>25990079</v>
      </c>
      <c r="Y57" s="498">
        <f t="shared" si="18"/>
        <v>32006272</v>
      </c>
      <c r="Z57" s="498">
        <f t="shared" si="18"/>
        <v>38022467</v>
      </c>
      <c r="AA57" s="498">
        <f t="shared" si="18"/>
        <v>26637908</v>
      </c>
      <c r="AB57" s="498">
        <f t="shared" si="18"/>
        <v>30914027</v>
      </c>
      <c r="AC57" s="498">
        <f t="shared" si="18"/>
        <v>35190145</v>
      </c>
      <c r="AD57" s="498">
        <f t="shared" si="18"/>
        <v>39466262</v>
      </c>
      <c r="AE57" s="498">
        <f t="shared" si="18"/>
        <v>43742381</v>
      </c>
      <c r="AF57" s="498">
        <f t="shared" si="18"/>
        <v>48018498</v>
      </c>
      <c r="AG57" s="498">
        <f t="shared" si="18"/>
        <v>52294617</v>
      </c>
      <c r="AH57" s="498">
        <f t="shared" si="18"/>
        <v>47523310</v>
      </c>
      <c r="AI57" s="498">
        <f t="shared" si="18"/>
        <v>50894686</v>
      </c>
      <c r="AJ57" s="498">
        <f t="shared" si="18"/>
        <v>54266062</v>
      </c>
      <c r="AK57" s="498">
        <f t="shared" si="18"/>
        <v>57637437</v>
      </c>
      <c r="AL57" s="498">
        <f t="shared" si="18"/>
        <v>61008813</v>
      </c>
      <c r="AM57" s="498">
        <f t="shared" si="18"/>
        <v>541487</v>
      </c>
      <c r="AN57" s="498">
        <f t="shared" si="18"/>
        <v>209613</v>
      </c>
      <c r="AO57" s="483"/>
      <c r="AP57" s="483"/>
    </row>
    <row r="58" spans="1:43" ht="16.5" thickTop="1" thickBot="1" x14ac:dyDescent="0.3">
      <c r="A58" s="500"/>
      <c r="B58" s="500"/>
      <c r="C58" s="500"/>
      <c r="D58" s="500"/>
      <c r="E58" s="501"/>
      <c r="F58" s="501"/>
      <c r="G58" s="501"/>
      <c r="H58" s="501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G58" s="499"/>
      <c r="AH58" s="499"/>
      <c r="AI58" s="499"/>
      <c r="AJ58" s="499"/>
      <c r="AK58" s="499"/>
      <c r="AL58" s="499"/>
      <c r="AM58" s="499"/>
      <c r="AN58" s="499"/>
      <c r="AO58" s="483"/>
      <c r="AP58" s="483"/>
    </row>
    <row r="59" spans="1:43" ht="15.75" thickTop="1" x14ac:dyDescent="0.25">
      <c r="A59" s="500"/>
      <c r="B59" s="500"/>
      <c r="C59" s="500"/>
      <c r="D59" s="500"/>
      <c r="E59" s="1401" t="s">
        <v>779</v>
      </c>
      <c r="F59" s="502" t="s">
        <v>520</v>
      </c>
      <c r="G59" s="502"/>
      <c r="H59" s="502"/>
      <c r="I59" s="503">
        <f t="shared" ref="I59:AN60" si="19">+I56</f>
        <v>1.4522910415461869E-3</v>
      </c>
      <c r="J59" s="503">
        <f t="shared" si="19"/>
        <v>2.6336194025680867E-3</v>
      </c>
      <c r="K59" s="503">
        <f t="shared" si="19"/>
        <v>4.7350156059647432E-3</v>
      </c>
      <c r="L59" s="503">
        <f t="shared" si="19"/>
        <v>6.8364156874220136E-3</v>
      </c>
      <c r="M59" s="503">
        <f t="shared" si="19"/>
        <v>8.9378131835055417E-3</v>
      </c>
      <c r="N59" s="503">
        <f t="shared" si="19"/>
        <v>3.9512456842051577E-3</v>
      </c>
      <c r="O59" s="503">
        <f t="shared" si="19"/>
        <v>4.8713148192667862E-3</v>
      </c>
      <c r="P59" s="503">
        <f t="shared" si="19"/>
        <v>5.7913865397021579E-3</v>
      </c>
      <c r="Q59" s="503">
        <f t="shared" si="19"/>
        <v>6.711456967450658E-3</v>
      </c>
      <c r="R59" s="503">
        <f t="shared" si="19"/>
        <v>9.8808982105657341E-3</v>
      </c>
      <c r="S59" s="503">
        <f t="shared" si="19"/>
        <v>1.3050342039054549E-2</v>
      </c>
      <c r="T59" s="503">
        <f t="shared" si="19"/>
        <v>1.6219784574856497E-2</v>
      </c>
      <c r="U59" s="503">
        <f t="shared" si="19"/>
        <v>2.3732564511064758E-2</v>
      </c>
      <c r="V59" s="503">
        <f t="shared" si="19"/>
        <v>3.124534703264676E-2</v>
      </c>
      <c r="W59" s="503">
        <f t="shared" si="19"/>
        <v>2.6989530897442885E-2</v>
      </c>
      <c r="X59" s="503">
        <f t="shared" si="19"/>
        <v>3.3597033914460929E-2</v>
      </c>
      <c r="Y59" s="503">
        <f t="shared" si="19"/>
        <v>4.1374087622413971E-2</v>
      </c>
      <c r="Z59" s="503">
        <f t="shared" si="19"/>
        <v>4.9151143915740755E-2</v>
      </c>
      <c r="AA59" s="503">
        <f t="shared" si="19"/>
        <v>3.4434473957785594E-2</v>
      </c>
      <c r="AB59" s="503">
        <f t="shared" si="19"/>
        <v>3.9962156850372056E-2</v>
      </c>
      <c r="AC59" s="503">
        <f t="shared" si="19"/>
        <v>4.5489838450271651E-2</v>
      </c>
      <c r="AD59" s="503">
        <f t="shared" si="19"/>
        <v>5.1017518757484372E-2</v>
      </c>
      <c r="AE59" s="503">
        <f t="shared" si="19"/>
        <v>5.6545201650070841E-2</v>
      </c>
      <c r="AF59" s="503">
        <f t="shared" si="19"/>
        <v>6.2072881957283561E-2</v>
      </c>
      <c r="AG59" s="503">
        <f t="shared" si="19"/>
        <v>6.7600564849870023E-2</v>
      </c>
      <c r="AH59" s="503">
        <f t="shared" si="19"/>
        <v>6.1432758930722774E-2</v>
      </c>
      <c r="AI59" s="503">
        <f t="shared" si="19"/>
        <v>6.5790892425061115E-2</v>
      </c>
      <c r="AJ59" s="503">
        <f t="shared" si="19"/>
        <v>7.0149025919399463E-2</v>
      </c>
      <c r="AK59" s="503">
        <f t="shared" si="19"/>
        <v>7.4507158121050937E-2</v>
      </c>
      <c r="AL59" s="503">
        <f t="shared" si="19"/>
        <v>7.8865291615389285E-2</v>
      </c>
      <c r="AM59" s="503">
        <f t="shared" si="19"/>
        <v>6.9997313602777834E-4</v>
      </c>
      <c r="AN59" s="503">
        <f t="shared" si="19"/>
        <v>2.7096397321115873E-4</v>
      </c>
      <c r="AO59" s="483"/>
      <c r="AP59" s="483"/>
    </row>
    <row r="60" spans="1:43" ht="15.75" thickBot="1" x14ac:dyDescent="0.3">
      <c r="A60" s="500"/>
      <c r="B60" s="500"/>
      <c r="C60" s="500"/>
      <c r="D60" s="500"/>
      <c r="E60" s="1402"/>
      <c r="F60" s="504" t="s">
        <v>780</v>
      </c>
      <c r="G60" s="504"/>
      <c r="H60" s="504"/>
      <c r="I60" s="505">
        <f t="shared" si="19"/>
        <v>1123467</v>
      </c>
      <c r="J60" s="505">
        <f t="shared" si="19"/>
        <v>2037322</v>
      </c>
      <c r="K60" s="505">
        <f t="shared" si="19"/>
        <v>3662925.423076923</v>
      </c>
      <c r="L60" s="505">
        <f t="shared" si="19"/>
        <v>5288531.846153846</v>
      </c>
      <c r="M60" s="505">
        <f t="shared" si="19"/>
        <v>6914136.269230769</v>
      </c>
      <c r="N60" s="505">
        <f t="shared" si="19"/>
        <v>3056614.692307692</v>
      </c>
      <c r="O60" s="505">
        <f t="shared" si="19"/>
        <v>3768364.1153846155</v>
      </c>
      <c r="P60" s="505">
        <f t="shared" si="19"/>
        <v>4480115.538461539</v>
      </c>
      <c r="Q60" s="505">
        <f t="shared" si="19"/>
        <v>5191865.961538462</v>
      </c>
      <c r="R60" s="505">
        <f t="shared" si="19"/>
        <v>7643690.3846153859</v>
      </c>
      <c r="S60" s="505">
        <f t="shared" si="19"/>
        <v>10095516.807692308</v>
      </c>
      <c r="T60" s="505">
        <f t="shared" si="19"/>
        <v>12547342.230769232</v>
      </c>
      <c r="U60" s="505">
        <f t="shared" si="19"/>
        <v>18359097.653846156</v>
      </c>
      <c r="V60" s="505">
        <f t="shared" si="19"/>
        <v>24170855.07692308</v>
      </c>
      <c r="W60" s="505">
        <f t="shared" si="19"/>
        <v>20878630</v>
      </c>
      <c r="X60" s="505">
        <f t="shared" si="19"/>
        <v>25990079</v>
      </c>
      <c r="Y60" s="505">
        <f t="shared" si="19"/>
        <v>32006272</v>
      </c>
      <c r="Z60" s="505">
        <f t="shared" si="19"/>
        <v>38022467</v>
      </c>
      <c r="AA60" s="505">
        <f t="shared" si="19"/>
        <v>26637908</v>
      </c>
      <c r="AB60" s="505">
        <f t="shared" si="19"/>
        <v>30914027</v>
      </c>
      <c r="AC60" s="505">
        <f t="shared" si="19"/>
        <v>35190145</v>
      </c>
      <c r="AD60" s="505">
        <f t="shared" si="19"/>
        <v>39466262</v>
      </c>
      <c r="AE60" s="505">
        <f>+AE57</f>
        <v>43742381</v>
      </c>
      <c r="AF60" s="505">
        <f>+AF57</f>
        <v>48018498</v>
      </c>
      <c r="AG60" s="505">
        <f t="shared" si="19"/>
        <v>52294617</v>
      </c>
      <c r="AH60" s="505">
        <f t="shared" si="19"/>
        <v>47523310</v>
      </c>
      <c r="AI60" s="505">
        <f t="shared" si="19"/>
        <v>50894686</v>
      </c>
      <c r="AJ60" s="505">
        <f t="shared" si="19"/>
        <v>54266062</v>
      </c>
      <c r="AK60" s="505">
        <f>+AK57</f>
        <v>57637437</v>
      </c>
      <c r="AL60" s="505">
        <f t="shared" si="19"/>
        <v>61008813</v>
      </c>
      <c r="AM60" s="505">
        <f>+AM57</f>
        <v>541487</v>
      </c>
      <c r="AN60" s="505">
        <f>+AN57</f>
        <v>209613</v>
      </c>
      <c r="AO60" s="483"/>
      <c r="AP60" s="483"/>
    </row>
    <row r="61" spans="1:43" ht="15.75" thickTop="1" x14ac:dyDescent="0.25">
      <c r="A61" s="500"/>
      <c r="B61" s="500"/>
      <c r="C61" s="500"/>
      <c r="D61" s="500"/>
      <c r="E61" s="1402" t="s">
        <v>781</v>
      </c>
      <c r="F61" s="506" t="s">
        <v>520</v>
      </c>
      <c r="G61" s="675"/>
      <c r="H61" s="675"/>
      <c r="I61" s="503">
        <f>+I59</f>
        <v>1.4522910415461869E-3</v>
      </c>
      <c r="J61" s="503">
        <f>+J59+I61</f>
        <v>4.0859104441142739E-3</v>
      </c>
      <c r="K61" s="503">
        <f t="shared" ref="K61:AN62" si="20">+K59+J61</f>
        <v>8.8209260500790171E-3</v>
      </c>
      <c r="L61" s="503">
        <f t="shared" si="20"/>
        <v>1.5657341737501031E-2</v>
      </c>
      <c r="M61" s="503">
        <f t="shared" si="20"/>
        <v>2.4595154921006571E-2</v>
      </c>
      <c r="N61" s="503">
        <f t="shared" si="20"/>
        <v>2.8546400605211728E-2</v>
      </c>
      <c r="O61" s="503">
        <f t="shared" si="20"/>
        <v>3.3417715424478515E-2</v>
      </c>
      <c r="P61" s="503">
        <f t="shared" si="20"/>
        <v>3.9209101964180676E-2</v>
      </c>
      <c r="Q61" s="503">
        <f t="shared" si="20"/>
        <v>4.5920558931631335E-2</v>
      </c>
      <c r="R61" s="503">
        <f t="shared" si="20"/>
        <v>5.5801457142197072E-2</v>
      </c>
      <c r="S61" s="503">
        <f t="shared" si="20"/>
        <v>6.8851799181251616E-2</v>
      </c>
      <c r="T61" s="503">
        <f t="shared" si="20"/>
        <v>8.5071583756108113E-2</v>
      </c>
      <c r="U61" s="503">
        <f t="shared" si="20"/>
        <v>0.10880414826717287</v>
      </c>
      <c r="V61" s="503">
        <f t="shared" si="20"/>
        <v>0.14004949529981964</v>
      </c>
      <c r="W61" s="503">
        <f t="shared" si="20"/>
        <v>0.16703902619726252</v>
      </c>
      <c r="X61" s="503">
        <f t="shared" si="20"/>
        <v>0.20063606011172344</v>
      </c>
      <c r="Y61" s="503">
        <f t="shared" si="20"/>
        <v>0.24201014773413743</v>
      </c>
      <c r="Z61" s="503">
        <f t="shared" si="20"/>
        <v>0.2911612916498782</v>
      </c>
      <c r="AA61" s="503">
        <f t="shared" si="20"/>
        <v>0.32559576560766379</v>
      </c>
      <c r="AB61" s="503">
        <f t="shared" si="20"/>
        <v>0.36555792245803587</v>
      </c>
      <c r="AC61" s="503">
        <f t="shared" si="20"/>
        <v>0.41104776090830752</v>
      </c>
      <c r="AD61" s="503">
        <f t="shared" si="20"/>
        <v>0.46206527966579192</v>
      </c>
      <c r="AE61" s="503">
        <f t="shared" si="20"/>
        <v>0.51861048131586274</v>
      </c>
      <c r="AF61" s="503">
        <f t="shared" si="20"/>
        <v>0.58068336327314629</v>
      </c>
      <c r="AG61" s="503">
        <f t="shared" si="20"/>
        <v>0.64828392812301627</v>
      </c>
      <c r="AH61" s="503">
        <f t="shared" si="20"/>
        <v>0.70971668705373903</v>
      </c>
      <c r="AI61" s="503">
        <f t="shared" si="20"/>
        <v>0.77550757947880011</v>
      </c>
      <c r="AJ61" s="503">
        <f t="shared" si="20"/>
        <v>0.84565660539819953</v>
      </c>
      <c r="AK61" s="503">
        <f t="shared" si="20"/>
        <v>0.92016376351925044</v>
      </c>
      <c r="AL61" s="503">
        <f t="shared" si="20"/>
        <v>0.99902905513463969</v>
      </c>
      <c r="AM61" s="503">
        <f t="shared" si="20"/>
        <v>0.99972902827066745</v>
      </c>
      <c r="AN61" s="503">
        <f t="shared" si="20"/>
        <v>0.99999999224387859</v>
      </c>
      <c r="AO61" s="483"/>
      <c r="AP61" s="483"/>
    </row>
    <row r="62" spans="1:43" ht="15.75" thickBot="1" x14ac:dyDescent="0.3">
      <c r="A62" s="500"/>
      <c r="B62" s="500"/>
      <c r="C62" s="500"/>
      <c r="D62" s="500"/>
      <c r="E62" s="1403"/>
      <c r="F62" s="507" t="s">
        <v>780</v>
      </c>
      <c r="G62" s="507"/>
      <c r="H62" s="507"/>
      <c r="I62" s="508">
        <f>+I60</f>
        <v>1123467</v>
      </c>
      <c r="J62" s="508">
        <f>+J60+I62</f>
        <v>3160789</v>
      </c>
      <c r="K62" s="508">
        <f t="shared" si="20"/>
        <v>6823714.423076923</v>
      </c>
      <c r="L62" s="508">
        <f t="shared" si="20"/>
        <v>12112246.269230768</v>
      </c>
      <c r="M62" s="508">
        <f t="shared" si="20"/>
        <v>19026382.538461536</v>
      </c>
      <c r="N62" s="508">
        <f t="shared" si="20"/>
        <v>22082997.230769228</v>
      </c>
      <c r="O62" s="508">
        <f t="shared" si="20"/>
        <v>25851361.346153844</v>
      </c>
      <c r="P62" s="508">
        <f t="shared" si="20"/>
        <v>30331476.884615384</v>
      </c>
      <c r="Q62" s="508">
        <f t="shared" si="20"/>
        <v>35523342.846153848</v>
      </c>
      <c r="R62" s="508">
        <f t="shared" si="20"/>
        <v>43167033.230769232</v>
      </c>
      <c r="S62" s="508">
        <f t="shared" si="20"/>
        <v>53262550.038461536</v>
      </c>
      <c r="T62" s="508">
        <f t="shared" si="20"/>
        <v>65809892.269230768</v>
      </c>
      <c r="U62" s="508">
        <f t="shared" si="20"/>
        <v>84168989.923076928</v>
      </c>
      <c r="V62" s="508">
        <f t="shared" si="20"/>
        <v>108339845</v>
      </c>
      <c r="W62" s="508">
        <f t="shared" si="20"/>
        <v>129218475</v>
      </c>
      <c r="X62" s="508">
        <f t="shared" si="20"/>
        <v>155208554</v>
      </c>
      <c r="Y62" s="508">
        <f t="shared" si="20"/>
        <v>187214826</v>
      </c>
      <c r="Z62" s="508">
        <f t="shared" si="20"/>
        <v>225237293</v>
      </c>
      <c r="AA62" s="508">
        <f t="shared" si="20"/>
        <v>251875201</v>
      </c>
      <c r="AB62" s="508">
        <f t="shared" si="20"/>
        <v>282789228</v>
      </c>
      <c r="AC62" s="508">
        <f t="shared" si="20"/>
        <v>317979373</v>
      </c>
      <c r="AD62" s="508">
        <f t="shared" si="20"/>
        <v>357445635</v>
      </c>
      <c r="AE62" s="508">
        <f t="shared" si="20"/>
        <v>401188016</v>
      </c>
      <c r="AF62" s="508">
        <f t="shared" si="20"/>
        <v>449206514</v>
      </c>
      <c r="AG62" s="508">
        <f t="shared" si="20"/>
        <v>501501131</v>
      </c>
      <c r="AH62" s="508">
        <f t="shared" si="20"/>
        <v>549024441</v>
      </c>
      <c r="AI62" s="508">
        <f t="shared" si="20"/>
        <v>599919127</v>
      </c>
      <c r="AJ62" s="508">
        <f t="shared" si="20"/>
        <v>654185189</v>
      </c>
      <c r="AK62" s="508">
        <f t="shared" si="20"/>
        <v>711822626</v>
      </c>
      <c r="AL62" s="508">
        <f t="shared" si="20"/>
        <v>772831439</v>
      </c>
      <c r="AM62" s="508">
        <f t="shared" si="20"/>
        <v>773372926</v>
      </c>
      <c r="AN62" s="508">
        <f t="shared" si="20"/>
        <v>773582539</v>
      </c>
      <c r="AO62" s="676"/>
      <c r="AP62" s="676"/>
      <c r="AQ62" s="548">
        <f>+E56-AN62</f>
        <v>6</v>
      </c>
    </row>
    <row r="63" spans="1:43" ht="15.75" thickTop="1" x14ac:dyDescent="0.25">
      <c r="A63" s="500"/>
      <c r="B63" s="500"/>
      <c r="C63" s="500"/>
      <c r="D63" s="500"/>
      <c r="E63" s="501"/>
      <c r="F63" s="501"/>
      <c r="G63" s="501"/>
      <c r="H63" s="501"/>
      <c r="I63" s="479"/>
      <c r="J63" s="479"/>
      <c r="K63" s="479"/>
      <c r="L63" s="479"/>
      <c r="M63" s="479"/>
      <c r="N63" s="479"/>
      <c r="O63" s="479"/>
      <c r="P63" s="479"/>
      <c r="Q63" s="479"/>
      <c r="R63" s="479"/>
      <c r="S63" s="479"/>
      <c r="T63" s="479"/>
      <c r="U63" s="479"/>
      <c r="V63" s="479"/>
      <c r="W63" s="479"/>
      <c r="X63" s="479"/>
      <c r="Y63" s="479"/>
      <c r="Z63" s="479"/>
      <c r="AA63" s="479"/>
      <c r="AB63" s="479"/>
      <c r="AC63" s="479"/>
      <c r="AD63" s="479"/>
      <c r="AE63" s="479"/>
      <c r="AF63" s="479"/>
      <c r="AG63" s="479"/>
      <c r="AH63" s="479"/>
      <c r="AI63" s="479"/>
      <c r="AJ63" s="479"/>
      <c r="AK63" s="479"/>
      <c r="AL63" s="479"/>
      <c r="AM63" s="479"/>
      <c r="AN63" s="479"/>
      <c r="AO63" s="479"/>
      <c r="AP63" s="479"/>
    </row>
    <row r="64" spans="1:43" x14ac:dyDescent="0.25">
      <c r="A64" s="500"/>
      <c r="B64" s="500"/>
      <c r="C64" s="500"/>
      <c r="D64" s="500"/>
      <c r="E64" s="501"/>
      <c r="F64" s="501"/>
      <c r="G64" s="501"/>
      <c r="H64" s="501"/>
      <c r="I64" s="479"/>
      <c r="J64" s="479"/>
      <c r="K64" s="479"/>
      <c r="L64" s="479"/>
      <c r="M64" s="479"/>
      <c r="N64" s="479"/>
      <c r="O64" s="479"/>
      <c r="P64" s="479"/>
      <c r="Q64" s="479"/>
      <c r="R64" s="479"/>
      <c r="S64" s="479"/>
      <c r="T64" s="479"/>
      <c r="U64" s="479"/>
      <c r="V64" s="479"/>
      <c r="W64" s="479"/>
      <c r="X64" s="479"/>
      <c r="Y64" s="479"/>
      <c r="Z64" s="479"/>
      <c r="AA64" s="479"/>
      <c r="AB64" s="479"/>
      <c r="AC64" s="479"/>
      <c r="AD64" s="479"/>
      <c r="AE64" s="479"/>
      <c r="AF64" s="479"/>
      <c r="AG64" s="479"/>
      <c r="AH64" s="479"/>
      <c r="AI64" s="479"/>
      <c r="AJ64" s="479"/>
      <c r="AK64" s="479"/>
      <c r="AL64" s="479"/>
      <c r="AM64" s="479"/>
      <c r="AN64" s="479"/>
      <c r="AO64" s="479"/>
      <c r="AP64" s="479"/>
    </row>
    <row r="65" spans="1:42" x14ac:dyDescent="0.25">
      <c r="A65" s="1106"/>
      <c r="B65" s="1106"/>
      <c r="C65" s="1106"/>
      <c r="D65" s="1106"/>
      <c r="E65" s="1107"/>
      <c r="F65" s="501"/>
      <c r="G65" s="501"/>
      <c r="H65" s="501"/>
      <c r="I65" s="479"/>
      <c r="J65" s="479"/>
      <c r="K65" s="479"/>
      <c r="L65" s="479"/>
      <c r="M65" s="479"/>
      <c r="N65" s="479"/>
      <c r="O65" s="479"/>
      <c r="P65" s="479"/>
      <c r="Q65" s="479"/>
      <c r="R65" s="479"/>
      <c r="S65" s="479"/>
      <c r="T65" s="479"/>
      <c r="U65" s="479"/>
      <c r="V65" s="479"/>
      <c r="W65" s="479"/>
      <c r="X65" s="479"/>
      <c r="Y65" s="479"/>
      <c r="Z65" s="479"/>
      <c r="AA65" s="479"/>
      <c r="AB65" s="479"/>
      <c r="AC65" s="479"/>
      <c r="AD65" s="479"/>
      <c r="AE65" s="479"/>
      <c r="AF65" s="479"/>
      <c r="AG65" s="479"/>
      <c r="AH65" s="479"/>
      <c r="AI65" s="479"/>
      <c r="AJ65" s="479"/>
      <c r="AK65" s="479"/>
      <c r="AL65" s="479"/>
      <c r="AM65" s="479"/>
      <c r="AN65" s="479"/>
      <c r="AO65" s="479"/>
      <c r="AP65" s="479"/>
    </row>
    <row r="66" spans="1:42" x14ac:dyDescent="0.25">
      <c r="A66" s="1436" t="str">
        <f>+CRONOG!A62</f>
        <v>ING. JHONATAN STIVEN PANTOJA MORILLO</v>
      </c>
      <c r="B66" s="1436"/>
      <c r="C66" s="1436"/>
      <c r="D66" s="1436"/>
      <c r="E66" s="1436"/>
      <c r="F66" s="501"/>
      <c r="G66" s="501"/>
      <c r="H66" s="501"/>
      <c r="I66" s="479"/>
      <c r="J66" s="479"/>
      <c r="K66" s="479"/>
      <c r="L66" s="479"/>
      <c r="M66" s="479"/>
      <c r="N66" s="479"/>
      <c r="O66" s="479"/>
      <c r="P66" s="479"/>
      <c r="Q66" s="479"/>
      <c r="R66" s="479"/>
      <c r="S66" s="479"/>
      <c r="T66" s="479"/>
      <c r="U66" s="479"/>
      <c r="V66" s="479"/>
      <c r="W66" s="479"/>
      <c r="X66" s="479"/>
      <c r="Y66" s="479"/>
      <c r="Z66" s="479"/>
      <c r="AA66" s="479"/>
      <c r="AB66" s="479"/>
      <c r="AC66" s="479"/>
      <c r="AD66" s="479"/>
      <c r="AE66" s="479"/>
      <c r="AF66" s="479"/>
      <c r="AG66" s="479"/>
      <c r="AH66" s="479"/>
      <c r="AI66" s="479"/>
      <c r="AJ66" s="479"/>
      <c r="AK66" s="479"/>
      <c r="AL66" s="479"/>
      <c r="AM66" s="479"/>
      <c r="AN66" s="479"/>
      <c r="AO66" s="479"/>
      <c r="AP66" s="479"/>
    </row>
    <row r="67" spans="1:42" x14ac:dyDescent="0.25">
      <c r="A67" s="1411" t="str">
        <f>+CRONOG!A63</f>
        <v xml:space="preserve">M.P. 111037-0520109 NRÑ </v>
      </c>
      <c r="B67" s="1411"/>
      <c r="C67" s="1411"/>
      <c r="D67" s="1411"/>
      <c r="E67" s="1411"/>
      <c r="F67" s="501"/>
      <c r="G67" s="501"/>
      <c r="H67" s="501"/>
      <c r="I67" s="633"/>
      <c r="J67" s="633"/>
      <c r="K67" s="633"/>
      <c r="L67" s="633"/>
      <c r="M67" s="633"/>
      <c r="N67" s="633"/>
      <c r="O67" s="633"/>
      <c r="P67" s="633"/>
      <c r="Q67" s="633"/>
      <c r="R67" s="633"/>
      <c r="S67" s="633"/>
      <c r="T67" s="633"/>
      <c r="U67" s="633"/>
      <c r="V67" s="633"/>
      <c r="W67" s="633"/>
      <c r="X67" s="633"/>
      <c r="Y67" s="633"/>
      <c r="Z67" s="633"/>
      <c r="AA67" s="633"/>
      <c r="AB67" s="633"/>
      <c r="AC67" s="633"/>
      <c r="AD67" s="633"/>
      <c r="AE67" s="633"/>
      <c r="AF67" s="633"/>
      <c r="AG67" s="633"/>
      <c r="AH67" s="633"/>
      <c r="AI67" s="633"/>
      <c r="AJ67" s="633"/>
      <c r="AK67" s="633"/>
      <c r="AL67" s="633"/>
      <c r="AM67" s="633"/>
      <c r="AN67" s="633"/>
      <c r="AO67" s="633"/>
      <c r="AP67" s="479"/>
    </row>
    <row r="68" spans="1:42" hidden="1" x14ac:dyDescent="0.25"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479"/>
      <c r="AL68" s="448"/>
      <c r="AM68" s="448"/>
      <c r="AN68" s="448"/>
      <c r="AO68" s="448"/>
    </row>
    <row r="69" spans="1:42" hidden="1" x14ac:dyDescent="0.25">
      <c r="I69" s="1435" t="str">
        <f>+'Presup '!F118</f>
        <v xml:space="preserve">ING. MIGUEL ANTONIO VILLACRES MARTINEZ. </v>
      </c>
      <c r="J69" s="1435"/>
      <c r="K69" s="1435"/>
      <c r="L69" s="1435"/>
      <c r="M69" s="1435" t="str">
        <f>+I69</f>
        <v xml:space="preserve">ING. MIGUEL ANTONIO VILLACRES MARTINEZ. </v>
      </c>
      <c r="N69" s="1435"/>
      <c r="O69" s="1435"/>
      <c r="P69" s="1435"/>
      <c r="Q69" s="1435" t="str">
        <f>+I69</f>
        <v xml:space="preserve">ING. MIGUEL ANTONIO VILLACRES MARTINEZ. </v>
      </c>
      <c r="R69" s="1435"/>
      <c r="S69" s="1435"/>
      <c r="T69" s="1435"/>
      <c r="U69" s="1435" t="str">
        <f>+I69</f>
        <v xml:space="preserve">ING. MIGUEL ANTONIO VILLACRES MARTINEZ. </v>
      </c>
      <c r="V69" s="1435"/>
      <c r="W69" s="1435"/>
      <c r="X69" s="1435"/>
      <c r="Y69" s="1435" t="str">
        <f>+I69</f>
        <v xml:space="preserve">ING. MIGUEL ANTONIO VILLACRES MARTINEZ. </v>
      </c>
      <c r="Z69" s="1435"/>
      <c r="AA69" s="1435"/>
      <c r="AB69" s="1435"/>
      <c r="AC69" s="1435" t="str">
        <f>+Q69</f>
        <v xml:space="preserve">ING. MIGUEL ANTONIO VILLACRES MARTINEZ. </v>
      </c>
      <c r="AD69" s="1435"/>
      <c r="AE69" s="1435"/>
      <c r="AF69" s="1435"/>
      <c r="AG69" s="1435" t="str">
        <f>+AC69</f>
        <v xml:space="preserve">ING. MIGUEL ANTONIO VILLACRES MARTINEZ. </v>
      </c>
      <c r="AH69" s="1435"/>
      <c r="AI69" s="1435"/>
      <c r="AJ69" s="1435"/>
      <c r="AK69" s="633"/>
      <c r="AL69" s="1437" t="str">
        <f>+AC69</f>
        <v xml:space="preserve">ING. MIGUEL ANTONIO VILLACRES MARTINEZ. </v>
      </c>
      <c r="AM69" s="1437"/>
      <c r="AN69" s="1437"/>
      <c r="AO69" s="1437"/>
    </row>
    <row r="70" spans="1:42" hidden="1" x14ac:dyDescent="0.25">
      <c r="I70" s="1415" t="str">
        <f>+'Presup '!F119</f>
        <v>M.P. 52202-090508 NRÑ</v>
      </c>
      <c r="J70" s="1415"/>
      <c r="K70" s="1415"/>
      <c r="L70" s="1415"/>
      <c r="M70" s="1415" t="str">
        <f>+I70</f>
        <v>M.P. 52202-090508 NRÑ</v>
      </c>
      <c r="N70" s="1415"/>
      <c r="O70" s="1415"/>
      <c r="P70" s="1415"/>
      <c r="Q70" s="1415" t="str">
        <f>+I70</f>
        <v>M.P. 52202-090508 NRÑ</v>
      </c>
      <c r="R70" s="1415"/>
      <c r="S70" s="1415"/>
      <c r="T70" s="1415"/>
      <c r="U70" s="1415" t="str">
        <f>+I70</f>
        <v>M.P. 52202-090508 NRÑ</v>
      </c>
      <c r="V70" s="1415"/>
      <c r="W70" s="1415"/>
      <c r="X70" s="1415"/>
      <c r="Y70" s="1415" t="str">
        <f>+I70</f>
        <v>M.P. 52202-090508 NRÑ</v>
      </c>
      <c r="Z70" s="1415"/>
      <c r="AA70" s="1415"/>
      <c r="AB70" s="1415"/>
      <c r="AC70" s="1415" t="str">
        <f>+Q70</f>
        <v>M.P. 52202-090508 NRÑ</v>
      </c>
      <c r="AD70" s="1415"/>
      <c r="AE70" s="1415"/>
      <c r="AF70" s="1415"/>
      <c r="AG70" s="1415" t="str">
        <f>+AC70</f>
        <v>M.P. 52202-090508 NRÑ</v>
      </c>
      <c r="AH70" s="1415"/>
      <c r="AI70" s="1415"/>
      <c r="AJ70" s="1415"/>
      <c r="AK70" s="677"/>
      <c r="AL70" s="1415" t="str">
        <f>+AC70</f>
        <v>M.P. 52202-090508 NRÑ</v>
      </c>
      <c r="AM70" s="1415"/>
      <c r="AN70" s="1415"/>
      <c r="AO70" s="1415"/>
    </row>
  </sheetData>
  <mergeCells count="85">
    <mergeCell ref="A66:E66"/>
    <mergeCell ref="A67:E67"/>
    <mergeCell ref="E59:E60"/>
    <mergeCell ref="E61:E62"/>
    <mergeCell ref="AL69:AO69"/>
    <mergeCell ref="I69:L69"/>
    <mergeCell ref="I70:L70"/>
    <mergeCell ref="M70:P70"/>
    <mergeCell ref="Q70:T70"/>
    <mergeCell ref="U70:X70"/>
    <mergeCell ref="Y70:AB70"/>
    <mergeCell ref="AC70:AF70"/>
    <mergeCell ref="AG70:AJ70"/>
    <mergeCell ref="AL70:AO70"/>
    <mergeCell ref="M69:P69"/>
    <mergeCell ref="Q69:T69"/>
    <mergeCell ref="U69:X69"/>
    <mergeCell ref="Y69:AB69"/>
    <mergeCell ref="AC69:AF69"/>
    <mergeCell ref="AG69:AJ69"/>
    <mergeCell ref="B53:D54"/>
    <mergeCell ref="E53:E54"/>
    <mergeCell ref="F53:F54"/>
    <mergeCell ref="B56:D57"/>
    <mergeCell ref="E56:E57"/>
    <mergeCell ref="F56:F57"/>
    <mergeCell ref="A46:D47"/>
    <mergeCell ref="E46:E47"/>
    <mergeCell ref="F44:F47"/>
    <mergeCell ref="B49:D50"/>
    <mergeCell ref="E49:E50"/>
    <mergeCell ref="F49:F50"/>
    <mergeCell ref="A41:D43"/>
    <mergeCell ref="E41:E43"/>
    <mergeCell ref="F41:F43"/>
    <mergeCell ref="A44:D44"/>
    <mergeCell ref="A45:D45"/>
    <mergeCell ref="A35:D37"/>
    <mergeCell ref="E35:E37"/>
    <mergeCell ref="F35:F37"/>
    <mergeCell ref="A38:D40"/>
    <mergeCell ref="E38:E40"/>
    <mergeCell ref="F38:F40"/>
    <mergeCell ref="A29:D31"/>
    <mergeCell ref="E29:E31"/>
    <mergeCell ref="F29:F31"/>
    <mergeCell ref="A32:D34"/>
    <mergeCell ref="E32:E34"/>
    <mergeCell ref="F32:F34"/>
    <mergeCell ref="A23:D25"/>
    <mergeCell ref="E23:E25"/>
    <mergeCell ref="F23:F25"/>
    <mergeCell ref="A26:D28"/>
    <mergeCell ref="E26:E28"/>
    <mergeCell ref="F26:F28"/>
    <mergeCell ref="A17:D19"/>
    <mergeCell ref="E17:E19"/>
    <mergeCell ref="F17:F19"/>
    <mergeCell ref="A20:D22"/>
    <mergeCell ref="E20:E22"/>
    <mergeCell ref="F20:F22"/>
    <mergeCell ref="AG11:AJ11"/>
    <mergeCell ref="AK11:AN11"/>
    <mergeCell ref="A13:D13"/>
    <mergeCell ref="A14:D16"/>
    <mergeCell ref="E14:E16"/>
    <mergeCell ref="F14:F16"/>
    <mergeCell ref="I11:L11"/>
    <mergeCell ref="M11:P11"/>
    <mergeCell ref="Q11:T11"/>
    <mergeCell ref="U11:X11"/>
    <mergeCell ref="Y11:AB11"/>
    <mergeCell ref="AC11:AF11"/>
    <mergeCell ref="A7:F7"/>
    <mergeCell ref="A8:F8"/>
    <mergeCell ref="A9:F9"/>
    <mergeCell ref="A11:D12"/>
    <mergeCell ref="E11:E12"/>
    <mergeCell ref="F11:F12"/>
    <mergeCell ref="A6:F6"/>
    <mergeCell ref="A1:F1"/>
    <mergeCell ref="A2:F2"/>
    <mergeCell ref="A3:F3"/>
    <mergeCell ref="A4:F4"/>
    <mergeCell ref="A5:F5"/>
  </mergeCells>
  <printOptions horizontalCentered="1" verticalCentered="1"/>
  <pageMargins left="3.937007874015748E-2" right="3.937007874015748E-2" top="0.35433070866141736" bottom="0.35433070866141736" header="0.31496062992125984" footer="0.31496062992125984"/>
  <pageSetup paperSize="125" scale="70" orientation="portrait" r:id="rId1"/>
  <colBreaks count="7" manualBreakCount="7">
    <brk id="12" max="68" man="1"/>
    <brk id="16" max="68" man="1"/>
    <brk id="20" max="68" man="1"/>
    <brk id="24" max="68" man="1"/>
    <brk id="28" max="68" man="1"/>
    <brk id="32" max="68" man="1"/>
    <brk id="36" max="6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U241"/>
  <sheetViews>
    <sheetView workbookViewId="0">
      <selection activeCell="G248" sqref="G248"/>
    </sheetView>
  </sheetViews>
  <sheetFormatPr baseColWidth="10" defaultRowHeight="15" x14ac:dyDescent="0.25"/>
  <cols>
    <col min="1" max="1" width="21.42578125" bestFit="1" customWidth="1"/>
    <col min="2" max="2" width="2.5703125" customWidth="1"/>
    <col min="3" max="3" width="23.42578125" customWidth="1"/>
    <col min="4" max="4" width="2.28515625" customWidth="1"/>
    <col min="5" max="5" width="20.42578125" customWidth="1"/>
    <col min="6" max="6" width="6.42578125" customWidth="1"/>
    <col min="8" max="8" width="30.7109375" customWidth="1"/>
    <col min="10" max="10" width="2.42578125" customWidth="1"/>
    <col min="11" max="11" width="21.5703125" customWidth="1"/>
    <col min="12" max="12" width="22" customWidth="1"/>
    <col min="13" max="13" width="22.42578125" customWidth="1"/>
    <col min="14" max="14" width="6" customWidth="1"/>
    <col min="21" max="21" width="14.28515625" customWidth="1"/>
  </cols>
  <sheetData>
    <row r="1" spans="1:14" x14ac:dyDescent="0.25">
      <c r="A1" s="524">
        <v>1</v>
      </c>
      <c r="B1" s="524"/>
      <c r="C1" s="524"/>
      <c r="D1" s="524"/>
      <c r="E1" s="524"/>
      <c r="F1" s="524"/>
      <c r="G1" s="524"/>
      <c r="H1" s="524"/>
      <c r="I1" s="524"/>
      <c r="J1" s="524">
        <f>+A1</f>
        <v>1</v>
      </c>
    </row>
    <row r="2" spans="1:14" x14ac:dyDescent="0.25">
      <c r="A2" s="530">
        <f>+'FL F'!F14</f>
        <v>7.0611599696836488E-2</v>
      </c>
      <c r="B2" s="521"/>
      <c r="C2" s="528">
        <f>+A10</f>
        <v>9.0527691919021136E-4</v>
      </c>
      <c r="D2" s="515"/>
      <c r="E2" s="527">
        <f>+A8</f>
        <v>9.0527691919021136E-4</v>
      </c>
      <c r="F2" s="526">
        <v>1</v>
      </c>
      <c r="G2" s="510"/>
      <c r="H2" s="517"/>
      <c r="K2" s="522">
        <v>5.7301933440069618E-4</v>
      </c>
      <c r="L2" s="522">
        <f t="shared" ref="L2:L15" si="0">+C2-K2</f>
        <v>3.3225758478951518E-4</v>
      </c>
      <c r="M2" s="561">
        <f>+L2</f>
        <v>3.3225758478951518E-4</v>
      </c>
      <c r="N2" s="526">
        <f>+F2</f>
        <v>1</v>
      </c>
    </row>
    <row r="3" spans="1:14" x14ac:dyDescent="0.25">
      <c r="C3" s="528">
        <f>+C2+$A$10</f>
        <v>1.8105538383804227E-3</v>
      </c>
      <c r="D3" s="516"/>
      <c r="E3" s="527">
        <f>+E2+$A$8</f>
        <v>1.8105538383804227E-3</v>
      </c>
      <c r="F3" s="526">
        <v>2</v>
      </c>
      <c r="G3" s="510"/>
      <c r="H3" s="517"/>
      <c r="K3" s="522">
        <v>4.1038668801392491E-5</v>
      </c>
      <c r="L3" s="522">
        <f t="shared" si="0"/>
        <v>1.7695151695790302E-3</v>
      </c>
      <c r="M3" s="561">
        <f t="shared" ref="M3:M15" si="1">+L3</f>
        <v>1.7695151695790302E-3</v>
      </c>
      <c r="N3" s="526">
        <f t="shared" ref="N3:N15" si="2">+F3</f>
        <v>2</v>
      </c>
    </row>
    <row r="4" spans="1:14" x14ac:dyDescent="0.25">
      <c r="A4" s="522">
        <f>+A2</f>
        <v>7.0611599696836488E-2</v>
      </c>
      <c r="B4" s="522"/>
      <c r="C4" s="528">
        <f t="shared" ref="C4:C13" si="3">+C3+$A$10</f>
        <v>2.7158307575706341E-3</v>
      </c>
      <c r="D4" s="516"/>
      <c r="E4" s="527">
        <f t="shared" ref="E4:E13" si="4">+E3+$A$8</f>
        <v>2.7158307575706341E-3</v>
      </c>
      <c r="F4" s="526">
        <v>3</v>
      </c>
      <c r="G4" s="510"/>
      <c r="H4" s="517"/>
      <c r="K4" s="522">
        <v>-1.8094199679791157E-4</v>
      </c>
      <c r="L4" s="522">
        <f t="shared" si="0"/>
        <v>2.8967727543685456E-3</v>
      </c>
      <c r="M4" s="561">
        <f t="shared" si="1"/>
        <v>2.8967727543685456E-3</v>
      </c>
      <c r="N4" s="526">
        <f t="shared" si="2"/>
        <v>3</v>
      </c>
    </row>
    <row r="5" spans="1:14" x14ac:dyDescent="0.25">
      <c r="C5" s="528">
        <f t="shared" si="3"/>
        <v>3.6211076767608454E-3</v>
      </c>
      <c r="D5" s="518"/>
      <c r="E5" s="527">
        <f t="shared" si="4"/>
        <v>3.6211076767608454E-3</v>
      </c>
      <c r="F5" s="526">
        <v>4</v>
      </c>
      <c r="G5" s="510"/>
      <c r="H5" s="517"/>
      <c r="K5" s="522">
        <v>-1.0792266239721508E-4</v>
      </c>
      <c r="L5" s="522">
        <f t="shared" si="0"/>
        <v>3.7290303391580605E-3</v>
      </c>
      <c r="M5" s="561">
        <f t="shared" si="1"/>
        <v>3.7290303391580605E-3</v>
      </c>
      <c r="N5" s="526">
        <f t="shared" si="2"/>
        <v>4</v>
      </c>
    </row>
    <row r="6" spans="1:14" x14ac:dyDescent="0.25">
      <c r="A6" s="531">
        <v>78</v>
      </c>
      <c r="C6" s="528">
        <f t="shared" si="3"/>
        <v>4.5263845959510572E-3</v>
      </c>
      <c r="D6" s="516"/>
      <c r="E6" s="527">
        <f t="shared" si="4"/>
        <v>4.5263845959510572E-3</v>
      </c>
      <c r="F6" s="526">
        <v>5</v>
      </c>
      <c r="G6" s="510"/>
      <c r="H6" s="517"/>
      <c r="K6" s="522">
        <v>-1.0490332799651877E-4</v>
      </c>
      <c r="L6" s="522">
        <f t="shared" si="0"/>
        <v>4.631287923947576E-3</v>
      </c>
      <c r="M6" s="561">
        <f t="shared" si="1"/>
        <v>4.631287923947576E-3</v>
      </c>
      <c r="N6" s="526">
        <f t="shared" si="2"/>
        <v>5</v>
      </c>
    </row>
    <row r="7" spans="1:14" x14ac:dyDescent="0.25">
      <c r="C7" s="528">
        <f t="shared" si="3"/>
        <v>5.431661515141269E-3</v>
      </c>
      <c r="D7" s="516"/>
      <c r="E7" s="527">
        <f t="shared" si="4"/>
        <v>5.431661515141269E-3</v>
      </c>
      <c r="F7" s="526">
        <v>6</v>
      </c>
      <c r="G7" s="510"/>
      <c r="H7" s="517"/>
      <c r="K7" s="522">
        <v>5.8116006404177085E-5</v>
      </c>
      <c r="L7" s="522">
        <f t="shared" si="0"/>
        <v>5.3735455087370919E-3</v>
      </c>
      <c r="M7" s="561">
        <f t="shared" si="1"/>
        <v>5.3735455087370919E-3</v>
      </c>
      <c r="N7" s="526">
        <f t="shared" si="2"/>
        <v>6</v>
      </c>
    </row>
    <row r="8" spans="1:14" x14ac:dyDescent="0.25">
      <c r="A8" s="523">
        <f>+A2/A6</f>
        <v>9.0527691919021136E-4</v>
      </c>
      <c r="B8" s="523"/>
      <c r="C8" s="528">
        <f t="shared" si="3"/>
        <v>6.3369384343314808E-3</v>
      </c>
      <c r="D8" s="516"/>
      <c r="E8" s="527">
        <f t="shared" si="4"/>
        <v>6.3369384343314808E-3</v>
      </c>
      <c r="F8" s="526">
        <v>7</v>
      </c>
      <c r="G8" s="510"/>
      <c r="H8" s="517"/>
      <c r="K8" s="522">
        <v>2.0113534080487289E-4</v>
      </c>
      <c r="L8" s="522">
        <f t="shared" si="0"/>
        <v>6.1358030935266079E-3</v>
      </c>
      <c r="M8" s="561">
        <f t="shared" si="1"/>
        <v>6.1358030935266079E-3</v>
      </c>
      <c r="N8" s="526">
        <f t="shared" si="2"/>
        <v>7</v>
      </c>
    </row>
    <row r="9" spans="1:14" x14ac:dyDescent="0.25">
      <c r="C9" s="528">
        <f t="shared" si="3"/>
        <v>7.2422153535216926E-3</v>
      </c>
      <c r="D9" s="518"/>
      <c r="E9" s="527">
        <f t="shared" si="4"/>
        <v>7.2422153535216926E-3</v>
      </c>
      <c r="F9" s="526">
        <v>8</v>
      </c>
      <c r="G9" s="510"/>
      <c r="H9" s="517"/>
      <c r="K9" s="522">
        <v>3.8212456313256073E-4</v>
      </c>
      <c r="L9" s="522">
        <f t="shared" si="0"/>
        <v>6.8600907903891319E-3</v>
      </c>
      <c r="M9" s="561">
        <f t="shared" si="1"/>
        <v>6.8600907903891319E-3</v>
      </c>
      <c r="N9" s="526">
        <f t="shared" si="2"/>
        <v>8</v>
      </c>
    </row>
    <row r="10" spans="1:14" x14ac:dyDescent="0.25">
      <c r="A10" s="522">
        <f>+A4/A6</f>
        <v>9.0527691919021136E-4</v>
      </c>
      <c r="B10" s="522"/>
      <c r="C10" s="528">
        <f t="shared" si="3"/>
        <v>8.1474922727119044E-3</v>
      </c>
      <c r="D10" s="516"/>
      <c r="E10" s="527">
        <f t="shared" si="4"/>
        <v>8.1474922727119044E-3</v>
      </c>
      <c r="F10" s="526">
        <v>9</v>
      </c>
      <c r="G10" s="510"/>
      <c r="H10" s="517"/>
      <c r="K10" s="522">
        <v>4.5717400960626486E-4</v>
      </c>
      <c r="L10" s="522">
        <f t="shared" si="0"/>
        <v>7.6903182631056395E-3</v>
      </c>
      <c r="M10" s="561">
        <f t="shared" si="1"/>
        <v>7.6903182631056395E-3</v>
      </c>
      <c r="N10" s="526">
        <f t="shared" si="2"/>
        <v>9</v>
      </c>
    </row>
    <row r="11" spans="1:14" x14ac:dyDescent="0.25">
      <c r="C11" s="528">
        <f t="shared" si="3"/>
        <v>9.0527691919021162E-3</v>
      </c>
      <c r="D11" s="516"/>
      <c r="E11" s="527">
        <f t="shared" si="4"/>
        <v>9.0527691919021162E-3</v>
      </c>
      <c r="F11" s="526">
        <v>10</v>
      </c>
      <c r="G11" s="510"/>
      <c r="H11" s="517"/>
      <c r="K11" s="522">
        <v>5.3019334400696092E-4</v>
      </c>
      <c r="L11" s="522">
        <f t="shared" si="0"/>
        <v>8.5225758478951544E-3</v>
      </c>
      <c r="M11" s="561">
        <f t="shared" si="1"/>
        <v>8.5225758478951544E-3</v>
      </c>
      <c r="N11" s="526">
        <f t="shared" si="2"/>
        <v>10</v>
      </c>
    </row>
    <row r="12" spans="1:14" x14ac:dyDescent="0.25">
      <c r="C12" s="528">
        <f t="shared" si="3"/>
        <v>9.958046111092328E-3</v>
      </c>
      <c r="D12" s="516"/>
      <c r="E12" s="527">
        <f t="shared" si="4"/>
        <v>9.958046111092328E-3</v>
      </c>
      <c r="F12" s="526">
        <v>11</v>
      </c>
      <c r="G12" s="510"/>
      <c r="H12" s="517"/>
      <c r="K12" s="522">
        <v>4.0321267840765646E-4</v>
      </c>
      <c r="L12" s="522">
        <f t="shared" si="0"/>
        <v>9.5548334326846715E-3</v>
      </c>
      <c r="M12" s="561">
        <f t="shared" si="1"/>
        <v>9.5548334326846715E-3</v>
      </c>
      <c r="N12" s="526">
        <f t="shared" si="2"/>
        <v>11</v>
      </c>
    </row>
    <row r="13" spans="1:14" x14ac:dyDescent="0.25">
      <c r="C13" s="528">
        <f t="shared" si="3"/>
        <v>1.086332303028254E-2</v>
      </c>
      <c r="D13" s="518"/>
      <c r="E13" s="527">
        <f t="shared" si="4"/>
        <v>1.086332303028254E-2</v>
      </c>
      <c r="F13" s="526">
        <v>12</v>
      </c>
      <c r="G13" s="510"/>
      <c r="H13" s="517"/>
      <c r="K13" s="522">
        <v>7.6232012808352331E-5</v>
      </c>
      <c r="L13" s="522">
        <f t="shared" si="0"/>
        <v>1.0787091017474187E-2</v>
      </c>
      <c r="M13" s="561">
        <f t="shared" si="1"/>
        <v>1.0787091017474187E-2</v>
      </c>
      <c r="N13" s="526">
        <f t="shared" si="2"/>
        <v>12</v>
      </c>
    </row>
    <row r="14" spans="1:14" x14ac:dyDescent="0.25">
      <c r="C14" s="528"/>
      <c r="D14" s="516"/>
      <c r="E14" s="527"/>
      <c r="F14" s="526"/>
      <c r="G14" s="510"/>
      <c r="H14" s="517"/>
      <c r="K14" s="522">
        <v>-7.507486527909505E-4</v>
      </c>
      <c r="L14" s="522">
        <f t="shared" si="0"/>
        <v>7.507486527909505E-4</v>
      </c>
      <c r="M14" s="561">
        <f t="shared" si="1"/>
        <v>7.507486527909505E-4</v>
      </c>
      <c r="N14" s="526">
        <f t="shared" si="2"/>
        <v>0</v>
      </c>
    </row>
    <row r="15" spans="1:14" x14ac:dyDescent="0.25">
      <c r="C15" s="528"/>
      <c r="D15" s="516"/>
      <c r="E15" s="527"/>
      <c r="F15" s="526"/>
      <c r="G15" s="510"/>
      <c r="H15" s="517"/>
      <c r="K15" s="522">
        <v>-1.5777293183902533E-3</v>
      </c>
      <c r="L15" s="522">
        <f t="shared" si="0"/>
        <v>1.5777293183902533E-3</v>
      </c>
      <c r="M15" s="561">
        <f t="shared" si="1"/>
        <v>1.5777293183902533E-3</v>
      </c>
      <c r="N15" s="526">
        <f t="shared" si="2"/>
        <v>0</v>
      </c>
    </row>
    <row r="16" spans="1:14" x14ac:dyDescent="0.25">
      <c r="C16" s="528"/>
      <c r="D16" s="516"/>
      <c r="E16" s="527"/>
      <c r="F16" s="526"/>
      <c r="G16" s="510"/>
      <c r="H16" s="517"/>
      <c r="K16" s="522"/>
      <c r="L16" s="522"/>
      <c r="M16" s="561"/>
      <c r="N16" s="526"/>
    </row>
    <row r="17" spans="1:21" x14ac:dyDescent="0.25">
      <c r="C17" s="528"/>
      <c r="E17" s="527"/>
      <c r="F17" s="526"/>
      <c r="G17" s="510"/>
      <c r="H17" s="517"/>
      <c r="K17" s="530">
        <f>+A2</f>
        <v>7.0611599696836488E-2</v>
      </c>
      <c r="L17" s="545"/>
      <c r="M17" s="530">
        <f>SUM(M2:M15)</f>
        <v>7.0611599696836419E-2</v>
      </c>
    </row>
    <row r="18" spans="1:21" x14ac:dyDescent="0.25">
      <c r="C18" s="529"/>
      <c r="H18" s="519"/>
      <c r="K18" s="562">
        <f>+A4</f>
        <v>7.0611599696836488E-2</v>
      </c>
      <c r="L18" s="562">
        <f>SUM(L2:L17)</f>
        <v>7.0611599696836419E-2</v>
      </c>
      <c r="M18" s="563">
        <f>+K18-L18</f>
        <v>0</v>
      </c>
    </row>
    <row r="19" spans="1:21" x14ac:dyDescent="0.25">
      <c r="C19" s="973"/>
      <c r="H19" s="519"/>
      <c r="K19" s="562"/>
      <c r="L19" s="562"/>
      <c r="M19" s="563"/>
    </row>
    <row r="20" spans="1:21" x14ac:dyDescent="0.25">
      <c r="C20" s="528">
        <f>SUM(C2:C18)</f>
        <v>7.0611599696836502E-2</v>
      </c>
      <c r="E20" s="523">
        <f>SUM(E2:E18)</f>
        <v>7.0611599696836502E-2</v>
      </c>
      <c r="G20" s="513"/>
      <c r="H20" s="533">
        <f>+E20-A2</f>
        <v>0</v>
      </c>
    </row>
    <row r="21" spans="1:21" x14ac:dyDescent="0.25">
      <c r="A21" s="524">
        <v>2</v>
      </c>
      <c r="B21" s="524"/>
      <c r="C21" s="524"/>
      <c r="D21" s="524"/>
      <c r="E21" s="524"/>
      <c r="F21" s="524"/>
      <c r="G21" s="524"/>
      <c r="H21" s="525"/>
      <c r="I21" s="524"/>
      <c r="J21" s="524">
        <f>+A21</f>
        <v>2</v>
      </c>
      <c r="U21" t="e">
        <f>+#REF!</f>
        <v>#REF!</v>
      </c>
    </row>
    <row r="22" spans="1:21" x14ac:dyDescent="0.25">
      <c r="A22" s="530">
        <f>+'FL F'!F17</f>
        <v>0.10122174486240508</v>
      </c>
      <c r="B22" s="521"/>
      <c r="C22" s="528">
        <f>+A30</f>
        <v>2.2493721080534463E-3</v>
      </c>
      <c r="D22" s="515"/>
      <c r="E22" s="534">
        <f>+A28</f>
        <v>2.2493721080534463E-3</v>
      </c>
      <c r="F22" s="526">
        <v>1</v>
      </c>
      <c r="G22" s="510"/>
      <c r="H22" s="517"/>
      <c r="K22" s="564">
        <v>8.0000000000000004E-4</v>
      </c>
      <c r="L22" s="564">
        <f>+C22-K22</f>
        <v>1.4493721080534464E-3</v>
      </c>
      <c r="M22" s="561">
        <f>+L22</f>
        <v>1.4493721080534464E-3</v>
      </c>
      <c r="N22" s="372">
        <f>+F22</f>
        <v>1</v>
      </c>
      <c r="U22" s="372" t="e">
        <f>+U$21*M22</f>
        <v>#REF!</v>
      </c>
    </row>
    <row r="23" spans="1:21" x14ac:dyDescent="0.25">
      <c r="C23" s="528">
        <f>+C22+$A$30</f>
        <v>4.4987442161068926E-3</v>
      </c>
      <c r="D23" s="516"/>
      <c r="E23" s="534">
        <f>+E22+$A$28</f>
        <v>4.4987442161068926E-3</v>
      </c>
      <c r="F23" s="526">
        <v>2</v>
      </c>
      <c r="G23" s="510"/>
      <c r="H23" s="517"/>
      <c r="K23" s="564">
        <v>-5.0000000000000001E-4</v>
      </c>
      <c r="L23" s="564">
        <f t="shared" ref="L23:L32" si="5">+C23-K23</f>
        <v>4.9987442161068922E-3</v>
      </c>
      <c r="M23" s="561">
        <f t="shared" ref="M23:M32" si="6">+L23</f>
        <v>4.9987442161068922E-3</v>
      </c>
      <c r="N23" s="372">
        <f t="shared" ref="N23:N32" si="7">+F23</f>
        <v>2</v>
      </c>
      <c r="U23" s="372" t="e">
        <f t="shared" ref="U23:U32" si="8">+U$21*M23</f>
        <v>#REF!</v>
      </c>
    </row>
    <row r="24" spans="1:21" x14ac:dyDescent="0.25">
      <c r="A24" s="522">
        <f>+A22</f>
        <v>0.10122174486240508</v>
      </c>
      <c r="B24" s="522"/>
      <c r="C24" s="528">
        <f t="shared" ref="C24:C30" si="9">+C23+$A$30</f>
        <v>6.7481163241603394E-3</v>
      </c>
      <c r="D24" s="516"/>
      <c r="E24" s="534">
        <f t="shared" ref="E24:E30" si="10">+E23+$A$28</f>
        <v>6.7481163241603394E-3</v>
      </c>
      <c r="F24" s="526">
        <v>3</v>
      </c>
      <c r="G24" s="510"/>
      <c r="H24" s="517"/>
      <c r="K24" s="564">
        <v>-6.9999999999999999E-4</v>
      </c>
      <c r="L24" s="564">
        <f t="shared" si="5"/>
        <v>7.4481163241603395E-3</v>
      </c>
      <c r="M24" s="561">
        <f t="shared" si="6"/>
        <v>7.4481163241603395E-3</v>
      </c>
      <c r="N24" s="372">
        <f t="shared" si="7"/>
        <v>3</v>
      </c>
      <c r="U24" s="372" t="e">
        <f t="shared" si="8"/>
        <v>#REF!</v>
      </c>
    </row>
    <row r="25" spans="1:21" x14ac:dyDescent="0.25">
      <c r="C25" s="528">
        <f t="shared" si="9"/>
        <v>8.9974884322137853E-3</v>
      </c>
      <c r="D25" s="518"/>
      <c r="E25" s="534">
        <f t="shared" si="10"/>
        <v>8.9974884322137853E-3</v>
      </c>
      <c r="F25" s="526">
        <v>4</v>
      </c>
      <c r="G25" s="510"/>
      <c r="H25" s="517"/>
      <c r="K25" s="564">
        <v>-4.0000000000000002E-4</v>
      </c>
      <c r="L25" s="564">
        <f t="shared" si="5"/>
        <v>9.3974884322137846E-3</v>
      </c>
      <c r="M25" s="561">
        <f t="shared" si="6"/>
        <v>9.3974884322137846E-3</v>
      </c>
      <c r="N25" s="372">
        <f t="shared" si="7"/>
        <v>4</v>
      </c>
      <c r="U25" s="372" t="e">
        <f t="shared" si="8"/>
        <v>#REF!</v>
      </c>
    </row>
    <row r="26" spans="1:21" x14ac:dyDescent="0.25">
      <c r="A26" s="532">
        <v>45</v>
      </c>
      <c r="C26" s="528">
        <f t="shared" si="9"/>
        <v>1.1246860540267231E-2</v>
      </c>
      <c r="D26" s="516"/>
      <c r="E26" s="534">
        <f t="shared" si="10"/>
        <v>1.1246860540267231E-2</v>
      </c>
      <c r="F26" s="526">
        <v>5</v>
      </c>
      <c r="G26" s="510"/>
      <c r="H26" s="517"/>
      <c r="K26" s="564">
        <v>-9.9999999999999995E-7</v>
      </c>
      <c r="L26" s="564">
        <f t="shared" si="5"/>
        <v>1.124786054026723E-2</v>
      </c>
      <c r="M26" s="561">
        <f t="shared" si="6"/>
        <v>1.124786054026723E-2</v>
      </c>
      <c r="N26" s="372">
        <f t="shared" si="7"/>
        <v>5</v>
      </c>
      <c r="U26" s="372" t="e">
        <f t="shared" si="8"/>
        <v>#REF!</v>
      </c>
    </row>
    <row r="27" spans="1:21" x14ac:dyDescent="0.25">
      <c r="C27" s="528">
        <f t="shared" si="9"/>
        <v>1.3496232648320677E-2</v>
      </c>
      <c r="D27" s="516"/>
      <c r="E27" s="534">
        <f t="shared" si="10"/>
        <v>1.3496232648320677E-2</v>
      </c>
      <c r="F27" s="526">
        <v>6</v>
      </c>
      <c r="G27" s="510"/>
      <c r="H27" s="517"/>
      <c r="K27" s="564">
        <v>4.4999999999999999E-4</v>
      </c>
      <c r="L27" s="564">
        <f t="shared" si="5"/>
        <v>1.3046232648320676E-2</v>
      </c>
      <c r="M27" s="561">
        <f t="shared" si="6"/>
        <v>1.3046232648320676E-2</v>
      </c>
      <c r="N27" s="372">
        <f t="shared" si="7"/>
        <v>6</v>
      </c>
      <c r="U27" s="372" t="e">
        <f t="shared" si="8"/>
        <v>#REF!</v>
      </c>
    </row>
    <row r="28" spans="1:21" x14ac:dyDescent="0.25">
      <c r="A28" s="523">
        <f>+A22/A26</f>
        <v>2.2493721080534463E-3</v>
      </c>
      <c r="B28" s="523"/>
      <c r="C28" s="528">
        <f t="shared" si="9"/>
        <v>1.5745604756374123E-2</v>
      </c>
      <c r="D28" s="516"/>
      <c r="E28" s="534">
        <f t="shared" si="10"/>
        <v>1.5745604756374123E-2</v>
      </c>
      <c r="F28" s="526">
        <v>7</v>
      </c>
      <c r="G28" s="510"/>
      <c r="H28" s="517"/>
      <c r="K28" s="564">
        <v>6.9999999999999999E-4</v>
      </c>
      <c r="L28" s="564">
        <f t="shared" si="5"/>
        <v>1.5045604756374124E-2</v>
      </c>
      <c r="M28" s="561">
        <f t="shared" si="6"/>
        <v>1.5045604756374124E-2</v>
      </c>
      <c r="N28" s="372">
        <f t="shared" si="7"/>
        <v>7</v>
      </c>
      <c r="U28" s="372" t="e">
        <f t="shared" si="8"/>
        <v>#REF!</v>
      </c>
    </row>
    <row r="29" spans="1:21" x14ac:dyDescent="0.25">
      <c r="C29" s="528">
        <f t="shared" si="9"/>
        <v>1.7994976864427571E-2</v>
      </c>
      <c r="D29" s="518"/>
      <c r="E29" s="534">
        <f t="shared" si="10"/>
        <v>1.7994976864427571E-2</v>
      </c>
      <c r="F29" s="526">
        <v>8</v>
      </c>
      <c r="G29" s="510"/>
      <c r="H29" s="517"/>
      <c r="K29" s="564">
        <v>8.0000000000000004E-4</v>
      </c>
      <c r="L29" s="564">
        <f t="shared" si="5"/>
        <v>1.7194976864427572E-2</v>
      </c>
      <c r="M29" s="561">
        <f t="shared" si="6"/>
        <v>1.7194976864427572E-2</v>
      </c>
      <c r="N29" s="372">
        <f t="shared" si="7"/>
        <v>8</v>
      </c>
      <c r="U29" s="372" t="e">
        <f t="shared" si="8"/>
        <v>#REF!</v>
      </c>
    </row>
    <row r="30" spans="1:21" x14ac:dyDescent="0.25">
      <c r="A30" s="522">
        <f>+A24/A26</f>
        <v>2.2493721080534463E-3</v>
      </c>
      <c r="B30" s="522"/>
      <c r="C30" s="528">
        <f t="shared" si="9"/>
        <v>2.0244348972481018E-2</v>
      </c>
      <c r="D30" s="516"/>
      <c r="E30" s="534">
        <f t="shared" si="10"/>
        <v>2.0244348972481018E-2</v>
      </c>
      <c r="F30" s="526">
        <v>9</v>
      </c>
      <c r="G30" s="510"/>
      <c r="H30" s="517"/>
      <c r="K30" s="564">
        <v>6.9999999999999999E-4</v>
      </c>
      <c r="L30" s="564">
        <f t="shared" si="5"/>
        <v>1.9544348972481019E-2</v>
      </c>
      <c r="M30" s="561">
        <f t="shared" si="6"/>
        <v>1.9544348972481019E-2</v>
      </c>
      <c r="N30" s="372">
        <f t="shared" si="7"/>
        <v>9</v>
      </c>
      <c r="U30" s="372" t="e">
        <f t="shared" si="8"/>
        <v>#REF!</v>
      </c>
    </row>
    <row r="31" spans="1:21" x14ac:dyDescent="0.25">
      <c r="C31" s="528"/>
      <c r="D31" s="516"/>
      <c r="E31" s="534"/>
      <c r="F31" s="526"/>
      <c r="G31" s="510"/>
      <c r="H31" s="517"/>
      <c r="K31" s="564">
        <v>1.9999999999853468E-5</v>
      </c>
      <c r="L31" s="564">
        <f t="shared" si="5"/>
        <v>-1.9999999999853468E-5</v>
      </c>
      <c r="M31" s="561">
        <f t="shared" si="6"/>
        <v>-1.9999999999853468E-5</v>
      </c>
      <c r="N31" s="372">
        <f t="shared" si="7"/>
        <v>0</v>
      </c>
      <c r="U31" s="372" t="e">
        <f t="shared" si="8"/>
        <v>#REF!</v>
      </c>
    </row>
    <row r="32" spans="1:21" x14ac:dyDescent="0.25">
      <c r="C32" s="528"/>
      <c r="D32" s="516"/>
      <c r="E32" s="534"/>
      <c r="F32" s="526"/>
      <c r="G32" s="510"/>
      <c r="H32" s="517"/>
      <c r="K32" s="564">
        <v>-1.8689999999998985E-3</v>
      </c>
      <c r="L32" s="564">
        <f t="shared" si="5"/>
        <v>1.8689999999998985E-3</v>
      </c>
      <c r="M32" s="561">
        <f t="shared" si="6"/>
        <v>1.8689999999998985E-3</v>
      </c>
      <c r="N32" s="372">
        <f t="shared" si="7"/>
        <v>0</v>
      </c>
      <c r="U32" s="372" t="e">
        <f t="shared" si="8"/>
        <v>#REF!</v>
      </c>
    </row>
    <row r="33" spans="1:14" x14ac:dyDescent="0.25">
      <c r="C33" s="528"/>
      <c r="D33" s="518"/>
      <c r="E33" s="527"/>
      <c r="F33" s="526"/>
      <c r="G33" s="510"/>
      <c r="H33" s="517"/>
    </row>
    <row r="34" spans="1:14" x14ac:dyDescent="0.25">
      <c r="C34" s="530"/>
      <c r="D34" s="516"/>
      <c r="E34" s="527"/>
      <c r="F34" s="526"/>
      <c r="G34" s="510"/>
      <c r="H34" s="517"/>
      <c r="L34" s="372"/>
      <c r="M34" s="372"/>
    </row>
    <row r="35" spans="1:14" x14ac:dyDescent="0.25">
      <c r="C35" s="528"/>
      <c r="D35" s="516"/>
      <c r="E35" s="527"/>
      <c r="F35" s="526"/>
      <c r="G35" s="510"/>
      <c r="H35" s="517"/>
    </row>
    <row r="36" spans="1:14" x14ac:dyDescent="0.25">
      <c r="C36" s="528"/>
      <c r="E36" s="527"/>
      <c r="F36" s="526"/>
      <c r="G36" s="510"/>
      <c r="H36" s="517"/>
    </row>
    <row r="37" spans="1:14" x14ac:dyDescent="0.25">
      <c r="C37" s="529"/>
      <c r="H37" s="519"/>
      <c r="K37" s="530">
        <f>+A22</f>
        <v>0.10122174486240508</v>
      </c>
      <c r="L37" s="545"/>
      <c r="M37" s="565">
        <f>SUM(M22:M36)</f>
        <v>0.10122174486240512</v>
      </c>
    </row>
    <row r="38" spans="1:14" x14ac:dyDescent="0.25">
      <c r="C38" s="528">
        <f>SUM(C22:C37)</f>
        <v>0.10122174486240508</v>
      </c>
      <c r="E38" s="523">
        <f>SUM(E22:E37)</f>
        <v>0.10122174486240508</v>
      </c>
      <c r="G38" s="513"/>
      <c r="H38" s="520">
        <f>+E38-A22</f>
        <v>0</v>
      </c>
      <c r="K38" s="562">
        <f>+A24</f>
        <v>0.10122174486240508</v>
      </c>
      <c r="L38" s="566">
        <f>SUM(L22:L37)</f>
        <v>0.10122174486240512</v>
      </c>
      <c r="M38" s="563">
        <f>+K38-L38</f>
        <v>0</v>
      </c>
    </row>
    <row r="39" spans="1:14" x14ac:dyDescent="0.25">
      <c r="A39" s="524">
        <v>3</v>
      </c>
      <c r="B39" s="524"/>
      <c r="C39" s="524"/>
      <c r="D39" s="524"/>
      <c r="E39" s="524"/>
      <c r="F39" s="524"/>
      <c r="G39" s="524"/>
      <c r="H39" s="525"/>
      <c r="I39" s="524"/>
      <c r="J39" s="524">
        <f>+A39</f>
        <v>3</v>
      </c>
    </row>
    <row r="40" spans="1:14" x14ac:dyDescent="0.25">
      <c r="A40" s="530">
        <f>+'FL F'!F20</f>
        <v>5.2629688018619912E-2</v>
      </c>
      <c r="B40" s="521"/>
      <c r="C40" s="528">
        <f>+A48</f>
        <v>1.169548622635998E-3</v>
      </c>
      <c r="D40" s="515"/>
      <c r="E40" s="527">
        <f>+A46</f>
        <v>1.169548622635998E-3</v>
      </c>
      <c r="F40" s="526">
        <v>1</v>
      </c>
      <c r="G40" s="510"/>
      <c r="H40" s="517"/>
      <c r="K40" s="564">
        <v>8.0000000000000004E-4</v>
      </c>
      <c r="L40" s="564">
        <f>+C40-K40</f>
        <v>3.6954862263599792E-4</v>
      </c>
      <c r="M40" s="561">
        <f>+L40</f>
        <v>3.6954862263599792E-4</v>
      </c>
      <c r="N40" s="372">
        <f>+F40</f>
        <v>1</v>
      </c>
    </row>
    <row r="41" spans="1:14" x14ac:dyDescent="0.25">
      <c r="C41" s="528">
        <f>+C40+$A$48</f>
        <v>2.3390972452719959E-3</v>
      </c>
      <c r="D41" s="516"/>
      <c r="E41" s="527">
        <f>+E40+$A$46</f>
        <v>2.3390972452719959E-3</v>
      </c>
      <c r="F41" s="526">
        <v>2</v>
      </c>
      <c r="G41" s="510"/>
      <c r="H41" s="517"/>
      <c r="K41" s="564">
        <v>-5.0000000000000001E-4</v>
      </c>
      <c r="L41" s="564">
        <f t="shared" ref="L41:L50" si="11">+C41-K41</f>
        <v>2.8390972452719959E-3</v>
      </c>
      <c r="M41" s="561">
        <f t="shared" ref="M41:M50" si="12">+L41</f>
        <v>2.8390972452719959E-3</v>
      </c>
      <c r="N41" s="372">
        <f t="shared" ref="N41:N50" si="13">+F41</f>
        <v>2</v>
      </c>
    </row>
    <row r="42" spans="1:14" x14ac:dyDescent="0.25">
      <c r="A42" s="522">
        <f>+A40</f>
        <v>5.2629688018619912E-2</v>
      </c>
      <c r="B42" s="522"/>
      <c r="C42" s="528">
        <f t="shared" ref="C42:C48" si="14">+C41+$A$48</f>
        <v>3.5086458679079941E-3</v>
      </c>
      <c r="D42" s="516"/>
      <c r="E42" s="527">
        <f t="shared" ref="E42:E48" si="15">+E41+$A$46</f>
        <v>3.5086458679079941E-3</v>
      </c>
      <c r="F42" s="526">
        <v>3</v>
      </c>
      <c r="G42" s="510"/>
      <c r="H42" s="517"/>
      <c r="K42" s="564">
        <v>-6.9999999999999999E-4</v>
      </c>
      <c r="L42" s="564">
        <f t="shared" si="11"/>
        <v>4.2086458679079942E-3</v>
      </c>
      <c r="M42" s="561">
        <f t="shared" si="12"/>
        <v>4.2086458679079942E-3</v>
      </c>
      <c r="N42" s="372">
        <f t="shared" si="13"/>
        <v>3</v>
      </c>
    </row>
    <row r="43" spans="1:14" x14ac:dyDescent="0.25">
      <c r="C43" s="528">
        <f t="shared" si="14"/>
        <v>4.6781944905439918E-3</v>
      </c>
      <c r="D43" s="518"/>
      <c r="E43" s="527">
        <f t="shared" si="15"/>
        <v>4.6781944905439918E-3</v>
      </c>
      <c r="F43" s="526">
        <v>4</v>
      </c>
      <c r="G43" s="510"/>
      <c r="H43" s="517"/>
      <c r="K43" s="564">
        <v>-4.0000000000000002E-4</v>
      </c>
      <c r="L43" s="564">
        <f t="shared" si="11"/>
        <v>5.078194490543992E-3</v>
      </c>
      <c r="M43" s="561">
        <f t="shared" si="12"/>
        <v>5.078194490543992E-3</v>
      </c>
      <c r="N43" s="372">
        <f t="shared" si="13"/>
        <v>4</v>
      </c>
    </row>
    <row r="44" spans="1:14" x14ac:dyDescent="0.25">
      <c r="A44" s="532">
        <v>45</v>
      </c>
      <c r="C44" s="528">
        <f t="shared" si="14"/>
        <v>5.8477431131799896E-3</v>
      </c>
      <c r="D44" s="516"/>
      <c r="E44" s="527">
        <f t="shared" si="15"/>
        <v>5.8477431131799896E-3</v>
      </c>
      <c r="F44" s="526">
        <v>5</v>
      </c>
      <c r="G44" s="510"/>
      <c r="H44" s="517"/>
      <c r="K44" s="564">
        <v>-9.9999999999999995E-7</v>
      </c>
      <c r="L44" s="564">
        <f t="shared" si="11"/>
        <v>5.8487431131799897E-3</v>
      </c>
      <c r="M44" s="561">
        <f t="shared" si="12"/>
        <v>5.8487431131799897E-3</v>
      </c>
      <c r="N44" s="372">
        <f t="shared" si="13"/>
        <v>5</v>
      </c>
    </row>
    <row r="45" spans="1:14" x14ac:dyDescent="0.25">
      <c r="C45" s="528">
        <f t="shared" si="14"/>
        <v>7.0172917358159873E-3</v>
      </c>
      <c r="D45" s="516"/>
      <c r="E45" s="527">
        <f t="shared" si="15"/>
        <v>7.0172917358159873E-3</v>
      </c>
      <c r="F45" s="526">
        <v>6</v>
      </c>
      <c r="G45" s="510"/>
      <c r="H45" s="517"/>
      <c r="K45" s="564">
        <v>4.4999999999999999E-4</v>
      </c>
      <c r="L45" s="564">
        <f t="shared" si="11"/>
        <v>6.5672917358159874E-3</v>
      </c>
      <c r="M45" s="561">
        <f t="shared" si="12"/>
        <v>6.5672917358159874E-3</v>
      </c>
      <c r="N45" s="372">
        <f t="shared" si="13"/>
        <v>6</v>
      </c>
    </row>
    <row r="46" spans="1:14" x14ac:dyDescent="0.25">
      <c r="A46" s="523">
        <f>+A40/A44</f>
        <v>1.169548622635998E-3</v>
      </c>
      <c r="B46" s="523"/>
      <c r="C46" s="528">
        <f t="shared" si="14"/>
        <v>8.1868403584519859E-3</v>
      </c>
      <c r="D46" s="516"/>
      <c r="E46" s="527">
        <f t="shared" si="15"/>
        <v>8.1868403584519859E-3</v>
      </c>
      <c r="F46" s="526">
        <v>7</v>
      </c>
      <c r="G46" s="510"/>
      <c r="H46" s="517"/>
      <c r="K46" s="564">
        <v>6.9999999999999999E-4</v>
      </c>
      <c r="L46" s="564">
        <f t="shared" si="11"/>
        <v>7.4868403584519858E-3</v>
      </c>
      <c r="M46" s="561">
        <f t="shared" si="12"/>
        <v>7.4868403584519858E-3</v>
      </c>
      <c r="N46" s="372">
        <f t="shared" si="13"/>
        <v>7</v>
      </c>
    </row>
    <row r="47" spans="1:14" x14ac:dyDescent="0.25">
      <c r="C47" s="528">
        <f t="shared" si="14"/>
        <v>9.3563889810879836E-3</v>
      </c>
      <c r="D47" s="518"/>
      <c r="E47" s="527">
        <f t="shared" si="15"/>
        <v>9.3563889810879836E-3</v>
      </c>
      <c r="F47" s="526">
        <v>8</v>
      </c>
      <c r="G47" s="510"/>
      <c r="H47" s="517"/>
      <c r="K47" s="564">
        <v>8.0000000000000004E-4</v>
      </c>
      <c r="L47" s="564">
        <f t="shared" si="11"/>
        <v>8.5563889810879833E-3</v>
      </c>
      <c r="M47" s="561">
        <f t="shared" si="12"/>
        <v>8.5563889810879833E-3</v>
      </c>
      <c r="N47" s="372">
        <f t="shared" si="13"/>
        <v>8</v>
      </c>
    </row>
    <row r="48" spans="1:14" x14ac:dyDescent="0.25">
      <c r="A48" s="522">
        <f>+A42/A44</f>
        <v>1.169548622635998E-3</v>
      </c>
      <c r="B48" s="522"/>
      <c r="C48" s="528">
        <f t="shared" si="14"/>
        <v>1.0525937603723981E-2</v>
      </c>
      <c r="D48" s="516"/>
      <c r="E48" s="527">
        <f t="shared" si="15"/>
        <v>1.0525937603723981E-2</v>
      </c>
      <c r="F48" s="526">
        <v>9</v>
      </c>
      <c r="G48" s="510"/>
      <c r="H48" s="517"/>
      <c r="K48" s="564">
        <v>6.9999999999999999E-4</v>
      </c>
      <c r="L48" s="564">
        <f t="shared" si="11"/>
        <v>9.8259376037239821E-3</v>
      </c>
      <c r="M48" s="561">
        <f t="shared" si="12"/>
        <v>9.8259376037239821E-3</v>
      </c>
      <c r="N48" s="372">
        <f t="shared" si="13"/>
        <v>9</v>
      </c>
    </row>
    <row r="49" spans="1:14" x14ac:dyDescent="0.25">
      <c r="C49" s="528"/>
      <c r="D49" s="516"/>
      <c r="E49" s="527"/>
      <c r="F49" s="526"/>
      <c r="G49" s="510"/>
      <c r="H49" s="517"/>
      <c r="K49" s="564">
        <v>1.9999999999853468E-5</v>
      </c>
      <c r="L49" s="564">
        <f t="shared" si="11"/>
        <v>-1.9999999999853468E-5</v>
      </c>
      <c r="M49" s="561">
        <f t="shared" si="12"/>
        <v>-1.9999999999853468E-5</v>
      </c>
      <c r="N49" s="372">
        <f t="shared" si="13"/>
        <v>0</v>
      </c>
    </row>
    <row r="50" spans="1:14" x14ac:dyDescent="0.25">
      <c r="C50" s="528"/>
      <c r="D50" s="516"/>
      <c r="E50" s="527"/>
      <c r="F50" s="526"/>
      <c r="G50" s="510"/>
      <c r="H50" s="517"/>
      <c r="K50" s="564">
        <v>-1.8689999999998985E-3</v>
      </c>
      <c r="L50" s="564">
        <f t="shared" si="11"/>
        <v>1.8689999999998985E-3</v>
      </c>
      <c r="M50" s="561">
        <f t="shared" si="12"/>
        <v>1.8689999999998985E-3</v>
      </c>
      <c r="N50" s="372">
        <f t="shared" si="13"/>
        <v>0</v>
      </c>
    </row>
    <row r="51" spans="1:14" x14ac:dyDescent="0.25">
      <c r="C51" s="528"/>
      <c r="D51" s="518"/>
      <c r="E51" s="527"/>
      <c r="F51" s="526"/>
      <c r="G51" s="510"/>
      <c r="H51" s="517"/>
    </row>
    <row r="52" spans="1:14" x14ac:dyDescent="0.25">
      <c r="C52" s="530"/>
      <c r="D52" s="516"/>
      <c r="E52" s="527"/>
      <c r="F52" s="526"/>
      <c r="G52" s="510"/>
      <c r="H52" s="517"/>
      <c r="L52" s="372"/>
      <c r="M52" s="372"/>
    </row>
    <row r="53" spans="1:14" x14ac:dyDescent="0.25">
      <c r="C53" s="528"/>
      <c r="D53" s="516"/>
      <c r="E53" s="527"/>
      <c r="F53" s="526"/>
      <c r="G53" s="510"/>
      <c r="H53" s="517"/>
    </row>
    <row r="54" spans="1:14" x14ac:dyDescent="0.25">
      <c r="C54" s="528"/>
      <c r="E54" s="527"/>
      <c r="F54" s="526"/>
      <c r="G54" s="510"/>
      <c r="H54" s="517"/>
    </row>
    <row r="55" spans="1:14" x14ac:dyDescent="0.25">
      <c r="C55" s="529"/>
      <c r="H55" s="519"/>
      <c r="K55" s="530">
        <f>+A40</f>
        <v>5.2629688018619912E-2</v>
      </c>
      <c r="L55" s="545"/>
      <c r="M55" s="565">
        <f>SUM(M40:M54)</f>
        <v>5.2629688018619947E-2</v>
      </c>
    </row>
    <row r="56" spans="1:14" x14ac:dyDescent="0.25">
      <c r="C56" s="528">
        <f>SUM(C40:C55)</f>
        <v>5.2629688018619905E-2</v>
      </c>
      <c r="E56" s="523">
        <f>SUM(E40:E55)</f>
        <v>5.2629688018619905E-2</v>
      </c>
      <c r="G56" s="513"/>
      <c r="H56" s="520">
        <f>+E56-A40</f>
        <v>0</v>
      </c>
      <c r="K56" s="562">
        <f>+A42</f>
        <v>5.2629688018619912E-2</v>
      </c>
      <c r="L56" s="566">
        <f>SUM(L40:L55)</f>
        <v>5.2629688018619947E-2</v>
      </c>
      <c r="M56" s="563">
        <f>+K56-L56</f>
        <v>0</v>
      </c>
    </row>
    <row r="57" spans="1:14" x14ac:dyDescent="0.25">
      <c r="A57" s="524">
        <v>4</v>
      </c>
      <c r="B57" s="524"/>
      <c r="C57" s="524"/>
      <c r="D57" s="524"/>
      <c r="E57" s="524"/>
      <c r="F57" s="524"/>
      <c r="G57" s="524"/>
      <c r="H57" s="525"/>
      <c r="I57" s="524"/>
      <c r="J57" s="524">
        <f>+A57</f>
        <v>4</v>
      </c>
    </row>
    <row r="58" spans="1:14" x14ac:dyDescent="0.25">
      <c r="A58" s="530">
        <f>+'FL F'!F23</f>
        <v>0.74271104966568247</v>
      </c>
      <c r="B58" s="521"/>
      <c r="C58" s="528">
        <f>+A66</f>
        <v>4.3433394717291374E-3</v>
      </c>
      <c r="D58" s="515"/>
      <c r="E58" s="527">
        <f>+A64</f>
        <v>4.3433394717291374E-3</v>
      </c>
      <c r="F58" s="526">
        <v>1</v>
      </c>
      <c r="G58" s="510"/>
      <c r="H58" s="517"/>
      <c r="K58" s="522">
        <v>3.0000000000000001E-3</v>
      </c>
      <c r="L58" s="564">
        <f>+C58-K58</f>
        <v>1.3433394717291373E-3</v>
      </c>
      <c r="M58" s="561">
        <f>+L58</f>
        <v>1.3433394717291373E-3</v>
      </c>
      <c r="N58" s="372">
        <f>+F58</f>
        <v>1</v>
      </c>
    </row>
    <row r="59" spans="1:14" x14ac:dyDescent="0.25">
      <c r="C59" s="528">
        <f>+C58+$A$66</f>
        <v>8.6866789434582748E-3</v>
      </c>
      <c r="D59" s="516"/>
      <c r="E59" s="527">
        <f>+E58+$A$64</f>
        <v>8.6866789434582748E-3</v>
      </c>
      <c r="F59" s="526">
        <v>2</v>
      </c>
      <c r="G59" s="510"/>
      <c r="H59" s="517"/>
      <c r="K59" s="522">
        <v>1E-4</v>
      </c>
      <c r="L59" s="564">
        <f t="shared" ref="L59:L69" si="16">+C59-K59</f>
        <v>8.5866789434582754E-3</v>
      </c>
      <c r="M59" s="561">
        <f t="shared" ref="M59:M69" si="17">+L59</f>
        <v>8.5866789434582754E-3</v>
      </c>
      <c r="N59" s="372">
        <f t="shared" ref="N59:N69" si="18">+F59</f>
        <v>2</v>
      </c>
    </row>
    <row r="60" spans="1:14" x14ac:dyDescent="0.25">
      <c r="A60" s="522">
        <f>+A58</f>
        <v>0.74271104966568247</v>
      </c>
      <c r="B60" s="522"/>
      <c r="C60" s="528">
        <f t="shared" ref="C60:C75" si="19">+C59+$A$66</f>
        <v>1.3030018415187413E-2</v>
      </c>
      <c r="D60" s="516"/>
      <c r="E60" s="527">
        <f t="shared" ref="E60:E75" si="20">+E59+$A$64</f>
        <v>1.3030018415187413E-2</v>
      </c>
      <c r="F60" s="526">
        <v>3</v>
      </c>
      <c r="G60" s="510"/>
      <c r="H60" s="517"/>
      <c r="K60" s="522">
        <v>-8.9999999999999998E-4</v>
      </c>
      <c r="L60" s="564">
        <f t="shared" si="16"/>
        <v>1.3930018415187413E-2</v>
      </c>
      <c r="M60" s="561">
        <f t="shared" si="17"/>
        <v>1.3930018415187413E-2</v>
      </c>
      <c r="N60" s="372">
        <f t="shared" si="18"/>
        <v>3</v>
      </c>
    </row>
    <row r="61" spans="1:14" x14ac:dyDescent="0.25">
      <c r="C61" s="528">
        <f t="shared" si="19"/>
        <v>1.737335788691655E-2</v>
      </c>
      <c r="D61" s="518"/>
      <c r="E61" s="527">
        <f t="shared" si="20"/>
        <v>1.737335788691655E-2</v>
      </c>
      <c r="F61" s="526">
        <v>4</v>
      </c>
      <c r="G61" s="510"/>
      <c r="H61" s="517"/>
      <c r="K61" s="522">
        <v>-8.9999999999999998E-4</v>
      </c>
      <c r="L61" s="564">
        <f t="shared" si="16"/>
        <v>1.8273357886916551E-2</v>
      </c>
      <c r="M61" s="561">
        <f t="shared" si="17"/>
        <v>1.8273357886916551E-2</v>
      </c>
      <c r="N61" s="372">
        <f t="shared" si="18"/>
        <v>4</v>
      </c>
    </row>
    <row r="62" spans="1:14" x14ac:dyDescent="0.25">
      <c r="A62" s="532">
        <v>171</v>
      </c>
      <c r="C62" s="528">
        <f t="shared" si="19"/>
        <v>2.1716697358645686E-2</v>
      </c>
      <c r="D62" s="516"/>
      <c r="E62" s="527">
        <f t="shared" si="20"/>
        <v>2.1716697358645686E-2</v>
      </c>
      <c r="F62" s="526">
        <v>5</v>
      </c>
      <c r="G62" s="510"/>
      <c r="H62" s="517"/>
      <c r="K62" s="522">
        <v>-1.4999999999999999E-4</v>
      </c>
      <c r="L62" s="564">
        <f t="shared" si="16"/>
        <v>2.1866697358645687E-2</v>
      </c>
      <c r="M62" s="561">
        <f t="shared" si="17"/>
        <v>2.1866697358645687E-2</v>
      </c>
      <c r="N62" s="372">
        <f t="shared" si="18"/>
        <v>5</v>
      </c>
    </row>
    <row r="63" spans="1:14" x14ac:dyDescent="0.25">
      <c r="C63" s="528">
        <f t="shared" si="19"/>
        <v>2.6060036830374823E-2</v>
      </c>
      <c r="D63" s="516"/>
      <c r="E63" s="527">
        <f t="shared" si="20"/>
        <v>2.6060036830374823E-2</v>
      </c>
      <c r="F63" s="526">
        <v>6</v>
      </c>
      <c r="G63" s="510"/>
      <c r="H63" s="517"/>
      <c r="K63" s="522">
        <v>5.0000000000000001E-4</v>
      </c>
      <c r="L63" s="564">
        <f t="shared" si="16"/>
        <v>2.5560036830374822E-2</v>
      </c>
      <c r="M63" s="561">
        <f t="shared" si="17"/>
        <v>2.5560036830374822E-2</v>
      </c>
      <c r="N63" s="372">
        <f t="shared" si="18"/>
        <v>6</v>
      </c>
    </row>
    <row r="64" spans="1:14" x14ac:dyDescent="0.25">
      <c r="A64" s="523">
        <f>+A58/A62</f>
        <v>4.3433394717291374E-3</v>
      </c>
      <c r="B64" s="523"/>
      <c r="C64" s="528">
        <f t="shared" si="19"/>
        <v>3.0403376302103959E-2</v>
      </c>
      <c r="D64" s="516"/>
      <c r="E64" s="527">
        <f t="shared" si="20"/>
        <v>3.0403376302103959E-2</v>
      </c>
      <c r="F64" s="526">
        <v>7</v>
      </c>
      <c r="G64" s="510"/>
      <c r="H64" s="517"/>
      <c r="K64" s="522">
        <v>2E-3</v>
      </c>
      <c r="L64" s="564">
        <f t="shared" si="16"/>
        <v>2.8403376302103961E-2</v>
      </c>
      <c r="M64" s="561">
        <f t="shared" si="17"/>
        <v>2.8403376302103961E-2</v>
      </c>
      <c r="N64" s="372">
        <f t="shared" si="18"/>
        <v>7</v>
      </c>
    </row>
    <row r="65" spans="1:14" x14ac:dyDescent="0.25">
      <c r="C65" s="528">
        <f t="shared" si="19"/>
        <v>3.4746715773833099E-2</v>
      </c>
      <c r="D65" s="518"/>
      <c r="E65" s="527">
        <f t="shared" si="20"/>
        <v>3.4746715773833099E-2</v>
      </c>
      <c r="F65" s="526">
        <v>8</v>
      </c>
      <c r="G65" s="510"/>
      <c r="H65" s="517"/>
      <c r="K65" s="522">
        <v>3.5000000000000001E-3</v>
      </c>
      <c r="L65" s="564">
        <f t="shared" si="16"/>
        <v>3.12467157738331E-2</v>
      </c>
      <c r="M65" s="561">
        <f t="shared" si="17"/>
        <v>3.12467157738331E-2</v>
      </c>
      <c r="N65" s="372">
        <f t="shared" si="18"/>
        <v>8</v>
      </c>
    </row>
    <row r="66" spans="1:14" x14ac:dyDescent="0.25">
      <c r="A66" s="522">
        <f>+A60/A62</f>
        <v>4.3433394717291374E-3</v>
      </c>
      <c r="B66" s="522"/>
      <c r="C66" s="528">
        <f t="shared" si="19"/>
        <v>3.9090055245562236E-2</v>
      </c>
      <c r="D66" s="516"/>
      <c r="E66" s="527">
        <f t="shared" si="20"/>
        <v>3.9090055245562236E-2</v>
      </c>
      <c r="F66" s="526">
        <v>9</v>
      </c>
      <c r="G66" s="510"/>
      <c r="H66" s="517"/>
      <c r="K66" s="522">
        <v>4.0000000000000001E-3</v>
      </c>
      <c r="L66" s="564">
        <f t="shared" si="16"/>
        <v>3.5090055245562232E-2</v>
      </c>
      <c r="M66" s="561">
        <f t="shared" si="17"/>
        <v>3.5090055245562232E-2</v>
      </c>
      <c r="N66" s="372">
        <f t="shared" si="18"/>
        <v>9</v>
      </c>
    </row>
    <row r="67" spans="1:14" x14ac:dyDescent="0.25">
      <c r="C67" s="528">
        <f t="shared" si="19"/>
        <v>4.3433394717291372E-2</v>
      </c>
      <c r="D67" s="516"/>
      <c r="E67" s="527">
        <f t="shared" si="20"/>
        <v>4.3433394717291372E-2</v>
      </c>
      <c r="F67" s="526">
        <v>10</v>
      </c>
      <c r="G67" s="510"/>
      <c r="H67" s="517"/>
      <c r="K67" s="522">
        <v>3.0000000000000001E-3</v>
      </c>
      <c r="L67" s="564">
        <f t="shared" si="16"/>
        <v>4.043339471729137E-2</v>
      </c>
      <c r="M67" s="561">
        <f t="shared" si="17"/>
        <v>4.043339471729137E-2</v>
      </c>
      <c r="N67" s="372">
        <f t="shared" si="18"/>
        <v>10</v>
      </c>
    </row>
    <row r="68" spans="1:14" x14ac:dyDescent="0.25">
      <c r="C68" s="528">
        <f t="shared" si="19"/>
        <v>4.7776734189020509E-2</v>
      </c>
      <c r="D68" s="516"/>
      <c r="E68" s="527">
        <f t="shared" si="20"/>
        <v>4.7776734189020509E-2</v>
      </c>
      <c r="F68" s="526">
        <v>11</v>
      </c>
      <c r="G68" s="510"/>
      <c r="H68" s="517"/>
      <c r="K68" s="522">
        <v>-1E-4</v>
      </c>
      <c r="L68" s="564">
        <f t="shared" si="16"/>
        <v>4.7876734189020512E-2</v>
      </c>
      <c r="M68" s="561">
        <f t="shared" si="17"/>
        <v>4.7876734189020512E-2</v>
      </c>
      <c r="N68" s="372">
        <f t="shared" si="18"/>
        <v>11</v>
      </c>
    </row>
    <row r="69" spans="1:14" x14ac:dyDescent="0.25">
      <c r="C69" s="528">
        <f t="shared" si="19"/>
        <v>5.2120073660749645E-2</v>
      </c>
      <c r="D69" s="518"/>
      <c r="E69" s="527">
        <f t="shared" si="20"/>
        <v>5.2120073660749645E-2</v>
      </c>
      <c r="F69" s="526">
        <v>12</v>
      </c>
      <c r="G69" s="510"/>
      <c r="H69" s="517"/>
      <c r="K69" s="522">
        <v>-1.4050000000000118E-2</v>
      </c>
      <c r="L69" s="564">
        <f t="shared" si="16"/>
        <v>6.6170073660749756E-2</v>
      </c>
      <c r="M69" s="561">
        <f t="shared" si="17"/>
        <v>6.6170073660749756E-2</v>
      </c>
      <c r="N69" s="372">
        <f t="shared" si="18"/>
        <v>12</v>
      </c>
    </row>
    <row r="70" spans="1:14" x14ac:dyDescent="0.25">
      <c r="C70" s="528">
        <f t="shared" si="19"/>
        <v>5.6463413132478782E-2</v>
      </c>
      <c r="D70" s="516"/>
      <c r="E70" s="527">
        <f t="shared" si="20"/>
        <v>5.6463413132478782E-2</v>
      </c>
      <c r="F70" s="526">
        <v>13</v>
      </c>
      <c r="G70" s="510"/>
      <c r="H70" s="517"/>
      <c r="L70" s="372"/>
      <c r="M70" s="372"/>
    </row>
    <row r="71" spans="1:14" x14ac:dyDescent="0.25">
      <c r="C71" s="528">
        <f t="shared" si="19"/>
        <v>6.0806752604207918E-2</v>
      </c>
      <c r="D71" s="516"/>
      <c r="E71" s="527">
        <f t="shared" si="20"/>
        <v>6.0806752604207918E-2</v>
      </c>
      <c r="F71" s="526">
        <v>14</v>
      </c>
      <c r="G71" s="510"/>
      <c r="H71" s="517"/>
      <c r="L71" s="372"/>
      <c r="M71" s="372"/>
    </row>
    <row r="72" spans="1:14" x14ac:dyDescent="0.25">
      <c r="C72" s="528">
        <f t="shared" si="19"/>
        <v>6.5150092075937055E-2</v>
      </c>
      <c r="D72" s="516"/>
      <c r="E72" s="527">
        <f t="shared" si="20"/>
        <v>6.5150092075937055E-2</v>
      </c>
      <c r="F72" s="526">
        <v>15</v>
      </c>
      <c r="G72" s="510"/>
      <c r="H72" s="517"/>
      <c r="L72" s="372"/>
      <c r="M72" s="372"/>
    </row>
    <row r="73" spans="1:14" x14ac:dyDescent="0.25">
      <c r="C73" s="528">
        <f t="shared" si="19"/>
        <v>6.9493431547666198E-2</v>
      </c>
      <c r="D73" s="516"/>
      <c r="E73" s="527">
        <f t="shared" si="20"/>
        <v>6.9493431547666198E-2</v>
      </c>
      <c r="F73" s="526">
        <v>16</v>
      </c>
      <c r="G73" s="510"/>
      <c r="H73" s="517"/>
      <c r="L73" s="372"/>
      <c r="M73" s="372"/>
    </row>
    <row r="74" spans="1:14" x14ac:dyDescent="0.25">
      <c r="C74" s="528">
        <f t="shared" si="19"/>
        <v>7.3836771019395342E-2</v>
      </c>
      <c r="D74" s="516"/>
      <c r="E74" s="527">
        <f t="shared" si="20"/>
        <v>7.3836771019395342E-2</v>
      </c>
      <c r="F74" s="526">
        <v>17</v>
      </c>
      <c r="G74" s="510"/>
      <c r="H74" s="517"/>
      <c r="L74" s="372"/>
      <c r="M74" s="372"/>
    </row>
    <row r="75" spans="1:14" x14ac:dyDescent="0.25">
      <c r="C75" s="528">
        <f t="shared" si="19"/>
        <v>7.8180110491124485E-2</v>
      </c>
      <c r="D75" s="516"/>
      <c r="E75" s="527">
        <f t="shared" si="20"/>
        <v>7.8180110491124485E-2</v>
      </c>
      <c r="F75" s="526">
        <v>18</v>
      </c>
      <c r="G75" s="510"/>
      <c r="H75" s="517"/>
      <c r="L75" s="372"/>
      <c r="M75" s="372"/>
    </row>
    <row r="76" spans="1:14" x14ac:dyDescent="0.25">
      <c r="C76" s="530"/>
      <c r="D76" s="516"/>
      <c r="E76" s="527"/>
      <c r="F76" s="526"/>
      <c r="G76" s="510"/>
      <c r="H76" s="517"/>
      <c r="L76" s="372"/>
      <c r="M76" s="372"/>
    </row>
    <row r="77" spans="1:14" x14ac:dyDescent="0.25">
      <c r="C77" s="530"/>
      <c r="D77" s="516"/>
      <c r="E77" s="527"/>
      <c r="F77" s="526"/>
      <c r="G77" s="510"/>
      <c r="H77" s="517"/>
      <c r="L77" s="372"/>
      <c r="M77" s="372"/>
    </row>
    <row r="78" spans="1:14" x14ac:dyDescent="0.25">
      <c r="C78" s="530"/>
      <c r="D78" s="516"/>
      <c r="E78" s="527"/>
      <c r="F78" s="526"/>
      <c r="G78" s="510"/>
      <c r="H78" s="517"/>
      <c r="L78" s="372"/>
      <c r="M78" s="372"/>
    </row>
    <row r="79" spans="1:14" x14ac:dyDescent="0.25">
      <c r="C79" s="530"/>
      <c r="D79" s="516"/>
      <c r="E79" s="527"/>
      <c r="F79" s="526"/>
      <c r="G79" s="510"/>
      <c r="H79" s="517"/>
      <c r="L79" s="372"/>
      <c r="M79" s="372"/>
    </row>
    <row r="80" spans="1:14" x14ac:dyDescent="0.25">
      <c r="C80" s="530"/>
      <c r="D80" s="516"/>
      <c r="E80" s="527"/>
      <c r="F80" s="526"/>
      <c r="G80" s="510"/>
      <c r="H80" s="517"/>
      <c r="L80" s="372"/>
      <c r="M80" s="372"/>
    </row>
    <row r="81" spans="1:13" x14ac:dyDescent="0.25">
      <c r="C81" s="528"/>
      <c r="D81" s="516"/>
      <c r="E81" s="527"/>
      <c r="F81" s="526"/>
      <c r="G81" s="510"/>
      <c r="H81" s="517"/>
    </row>
    <row r="82" spans="1:13" x14ac:dyDescent="0.25">
      <c r="C82" s="528"/>
      <c r="E82" s="527"/>
      <c r="F82" s="526"/>
      <c r="G82" s="510"/>
      <c r="H82" s="517"/>
    </row>
    <row r="83" spans="1:13" x14ac:dyDescent="0.25">
      <c r="C83" s="529"/>
      <c r="H83" s="519"/>
      <c r="K83" s="530">
        <f>+A58</f>
        <v>0.74271104966568247</v>
      </c>
      <c r="L83" s="545"/>
      <c r="M83" s="565">
        <f>SUM(M58:M82)</f>
        <v>0.33878047879487283</v>
      </c>
    </row>
    <row r="84" spans="1:13" x14ac:dyDescent="0.25">
      <c r="C84" s="528">
        <f>SUM(C58:C83)</f>
        <v>0.74271104966568247</v>
      </c>
      <c r="E84" s="523">
        <f>SUM(E58:E83)</f>
        <v>0.74271104966568247</v>
      </c>
      <c r="G84" s="513"/>
      <c r="H84" s="520">
        <f>+E84-A58</f>
        <v>0</v>
      </c>
      <c r="K84" s="562">
        <f>+A60</f>
        <v>0.74271104966568247</v>
      </c>
      <c r="L84" s="566">
        <f>SUM(L58:L83)</f>
        <v>0.33878047879487283</v>
      </c>
      <c r="M84" s="563">
        <f>+K84-L84</f>
        <v>0.40393057087080964</v>
      </c>
    </row>
    <row r="85" spans="1:13" x14ac:dyDescent="0.25">
      <c r="A85" s="524">
        <v>5</v>
      </c>
      <c r="B85" s="524"/>
      <c r="C85" s="524"/>
      <c r="D85" s="524"/>
      <c r="E85" s="524"/>
      <c r="F85" s="524"/>
      <c r="G85" s="524"/>
      <c r="H85" s="525"/>
      <c r="I85" s="524"/>
      <c r="J85" s="524">
        <f>+A85</f>
        <v>5</v>
      </c>
    </row>
    <row r="86" spans="1:13" x14ac:dyDescent="0.25">
      <c r="A86" s="530">
        <f>+'FL F'!F26</f>
        <v>0</v>
      </c>
      <c r="B86" s="521"/>
      <c r="C86" s="528">
        <f>+A94</f>
        <v>0</v>
      </c>
      <c r="D86" s="515"/>
      <c r="E86" s="527">
        <f>+A92</f>
        <v>0</v>
      </c>
      <c r="F86" s="526">
        <v>1</v>
      </c>
      <c r="G86" s="510"/>
      <c r="H86" s="517"/>
    </row>
    <row r="87" spans="1:13" x14ac:dyDescent="0.25">
      <c r="C87" s="528">
        <f>+C86+$A$94</f>
        <v>0</v>
      </c>
      <c r="D87" s="516"/>
      <c r="E87" s="527">
        <f>+E86+$A$92</f>
        <v>0</v>
      </c>
      <c r="F87" s="526">
        <v>2</v>
      </c>
      <c r="G87" s="510"/>
      <c r="H87" s="517"/>
    </row>
    <row r="88" spans="1:13" x14ac:dyDescent="0.25">
      <c r="A88" s="522">
        <f>+A86</f>
        <v>0</v>
      </c>
      <c r="B88" s="522"/>
      <c r="C88" s="528">
        <f>+C87+$A$94</f>
        <v>0</v>
      </c>
      <c r="D88" s="516"/>
      <c r="E88" s="527">
        <f>+E87+$A$92</f>
        <v>0</v>
      </c>
      <c r="F88" s="526">
        <v>3</v>
      </c>
      <c r="G88" s="510"/>
      <c r="H88" s="517"/>
    </row>
    <row r="89" spans="1:13" x14ac:dyDescent="0.25">
      <c r="C89" s="528"/>
      <c r="D89" s="518"/>
      <c r="E89" s="527"/>
      <c r="F89" s="526"/>
      <c r="G89" s="510"/>
      <c r="H89" s="517"/>
    </row>
    <row r="90" spans="1:13" x14ac:dyDescent="0.25">
      <c r="A90" s="532">
        <v>6</v>
      </c>
      <c r="C90" s="528"/>
      <c r="D90" s="516"/>
      <c r="E90" s="527"/>
      <c r="F90" s="526"/>
      <c r="G90" s="510"/>
      <c r="H90" s="517"/>
    </row>
    <row r="91" spans="1:13" x14ac:dyDescent="0.25">
      <c r="C91" s="528"/>
      <c r="D91" s="516"/>
      <c r="E91" s="527"/>
      <c r="F91" s="526"/>
      <c r="G91" s="510"/>
      <c r="H91" s="517"/>
    </row>
    <row r="92" spans="1:13" x14ac:dyDescent="0.25">
      <c r="A92" s="523">
        <f>+A86/A90</f>
        <v>0</v>
      </c>
      <c r="B92" s="523"/>
      <c r="C92" s="528"/>
      <c r="D92" s="516"/>
      <c r="E92" s="527"/>
      <c r="F92" s="526"/>
      <c r="G92" s="510"/>
      <c r="H92" s="517"/>
    </row>
    <row r="93" spans="1:13" x14ac:dyDescent="0.25">
      <c r="C93" s="528"/>
      <c r="D93" s="518"/>
      <c r="E93" s="527"/>
      <c r="F93" s="526"/>
      <c r="G93" s="510"/>
      <c r="H93" s="517"/>
    </row>
    <row r="94" spans="1:13" x14ac:dyDescent="0.25">
      <c r="A94" s="522">
        <f>+A88/A90</f>
        <v>0</v>
      </c>
      <c r="B94" s="522"/>
      <c r="C94" s="528"/>
      <c r="D94" s="516"/>
      <c r="E94" s="527"/>
      <c r="F94" s="526"/>
      <c r="G94" s="510"/>
      <c r="H94" s="517"/>
    </row>
    <row r="95" spans="1:13" x14ac:dyDescent="0.25">
      <c r="C95" s="528"/>
      <c r="D95" s="516"/>
      <c r="E95" s="527"/>
      <c r="F95" s="526"/>
      <c r="G95" s="510"/>
      <c r="H95" s="517"/>
    </row>
    <row r="96" spans="1:13" x14ac:dyDescent="0.25">
      <c r="C96" s="528"/>
      <c r="D96" s="516"/>
      <c r="E96" s="527"/>
      <c r="F96" s="526"/>
      <c r="G96" s="510"/>
      <c r="H96" s="517"/>
    </row>
    <row r="97" spans="1:21" x14ac:dyDescent="0.25">
      <c r="C97" s="528"/>
      <c r="D97" s="518"/>
      <c r="E97" s="527"/>
      <c r="F97" s="526"/>
      <c r="G97" s="510"/>
      <c r="H97" s="517"/>
    </row>
    <row r="98" spans="1:21" x14ac:dyDescent="0.25">
      <c r="C98" s="530"/>
      <c r="D98" s="516"/>
      <c r="E98" s="527"/>
      <c r="F98" s="526"/>
      <c r="G98" s="510"/>
      <c r="H98" s="517"/>
    </row>
    <row r="99" spans="1:21" x14ac:dyDescent="0.25">
      <c r="C99" s="528"/>
      <c r="D99" s="516"/>
      <c r="E99" s="527"/>
      <c r="F99" s="526"/>
      <c r="G99" s="510"/>
      <c r="H99" s="517"/>
    </row>
    <row r="100" spans="1:21" x14ac:dyDescent="0.25">
      <c r="C100" s="528"/>
      <c r="E100" s="527"/>
      <c r="F100" s="526"/>
      <c r="G100" s="510"/>
      <c r="H100" s="517"/>
    </row>
    <row r="101" spans="1:21" x14ac:dyDescent="0.25">
      <c r="C101" s="529"/>
      <c r="H101" s="519"/>
    </row>
    <row r="102" spans="1:21" x14ac:dyDescent="0.25">
      <c r="C102" s="528">
        <f>SUM(C86:C101)</f>
        <v>0</v>
      </c>
      <c r="E102" s="523">
        <f>SUM(E86:E101)</f>
        <v>0</v>
      </c>
      <c r="G102" s="513"/>
      <c r="H102" s="520">
        <f>+E102-A86</f>
        <v>0</v>
      </c>
    </row>
    <row r="103" spans="1:21" x14ac:dyDescent="0.25">
      <c r="A103" s="524">
        <v>6</v>
      </c>
      <c r="B103" s="524"/>
      <c r="C103" s="524"/>
      <c r="D103" s="524"/>
      <c r="E103" s="524"/>
      <c r="F103" s="524"/>
      <c r="G103" s="524"/>
      <c r="H103" s="525"/>
      <c r="I103" s="524"/>
      <c r="J103" s="524">
        <f>+A103</f>
        <v>6</v>
      </c>
      <c r="U103" t="e">
        <f>+U21</f>
        <v>#REF!</v>
      </c>
    </row>
    <row r="104" spans="1:21" x14ac:dyDescent="0.25">
      <c r="A104" s="530">
        <f>+'FL F'!F29</f>
        <v>0</v>
      </c>
      <c r="B104" s="521"/>
      <c r="C104" s="528">
        <f>+A112</f>
        <v>0</v>
      </c>
      <c r="D104" s="515"/>
      <c r="E104" s="527">
        <f>+A110</f>
        <v>0</v>
      </c>
      <c r="F104" s="526">
        <v>1</v>
      </c>
      <c r="G104" s="510"/>
      <c r="H104" s="517"/>
      <c r="K104" s="522">
        <v>2.0000000000000001E-4</v>
      </c>
      <c r="L104" s="564">
        <f>+C104-K104</f>
        <v>-2.0000000000000001E-4</v>
      </c>
      <c r="M104" s="561">
        <f>+L104</f>
        <v>-2.0000000000000001E-4</v>
      </c>
      <c r="N104" s="372">
        <f>+F104</f>
        <v>1</v>
      </c>
      <c r="U104" t="e">
        <f>+U$103*M104</f>
        <v>#REF!</v>
      </c>
    </row>
    <row r="105" spans="1:21" x14ac:dyDescent="0.25">
      <c r="C105" s="528">
        <f>+C104+$A$112</f>
        <v>0</v>
      </c>
      <c r="D105" s="516"/>
      <c r="E105" s="527">
        <f>+E104+$A$110</f>
        <v>0</v>
      </c>
      <c r="F105" s="526">
        <v>2</v>
      </c>
      <c r="G105" s="510"/>
      <c r="H105" s="517"/>
      <c r="K105" s="522">
        <v>5.0000000000000002E-5</v>
      </c>
      <c r="L105" s="564">
        <f t="shared" ref="L105:L111" si="21">+C105-K105</f>
        <v>-5.0000000000000002E-5</v>
      </c>
      <c r="M105" s="561">
        <f t="shared" ref="M105:M111" si="22">+L105</f>
        <v>-5.0000000000000002E-5</v>
      </c>
      <c r="N105" s="372">
        <f t="shared" ref="N105:N111" si="23">+F105</f>
        <v>2</v>
      </c>
      <c r="U105" t="e">
        <f t="shared" ref="U105:U111" si="24">+U$103*M105</f>
        <v>#REF!</v>
      </c>
    </row>
    <row r="106" spans="1:21" x14ac:dyDescent="0.25">
      <c r="A106" s="522">
        <f>+A104</f>
        <v>0</v>
      </c>
      <c r="B106" s="522"/>
      <c r="C106" s="528">
        <f>+C105+$A$112</f>
        <v>0</v>
      </c>
      <c r="D106" s="516"/>
      <c r="E106" s="527">
        <f>+E105+$A$110</f>
        <v>0</v>
      </c>
      <c r="F106" s="526">
        <v>3</v>
      </c>
      <c r="G106" s="510"/>
      <c r="H106" s="517"/>
      <c r="K106" s="522">
        <v>5.0000000000000004E-6</v>
      </c>
      <c r="L106" s="564">
        <f t="shared" si="21"/>
        <v>-5.0000000000000004E-6</v>
      </c>
      <c r="M106" s="561">
        <f t="shared" si="22"/>
        <v>-5.0000000000000004E-6</v>
      </c>
      <c r="N106" s="372">
        <f t="shared" si="23"/>
        <v>3</v>
      </c>
      <c r="U106" t="e">
        <f t="shared" si="24"/>
        <v>#REF!</v>
      </c>
    </row>
    <row r="107" spans="1:21" x14ac:dyDescent="0.25">
      <c r="C107" s="528">
        <f>+C106+$A$112</f>
        <v>0</v>
      </c>
      <c r="D107" s="518"/>
      <c r="E107" s="527">
        <f>+E106+$A$110</f>
        <v>0</v>
      </c>
      <c r="F107" s="526">
        <v>4</v>
      </c>
      <c r="G107" s="510"/>
      <c r="H107" s="517"/>
      <c r="K107" s="522">
        <v>4.9999999999999998E-7</v>
      </c>
      <c r="L107" s="564">
        <f t="shared" si="21"/>
        <v>-4.9999999999999998E-7</v>
      </c>
      <c r="M107" s="561">
        <f t="shared" si="22"/>
        <v>-4.9999999999999998E-7</v>
      </c>
      <c r="N107" s="372">
        <f t="shared" si="23"/>
        <v>4</v>
      </c>
      <c r="U107" t="e">
        <f t="shared" si="24"/>
        <v>#REF!</v>
      </c>
    </row>
    <row r="108" spans="1:21" x14ac:dyDescent="0.25">
      <c r="A108" s="532">
        <v>21</v>
      </c>
      <c r="C108" s="528">
        <f>+C107+$A$112</f>
        <v>0</v>
      </c>
      <c r="D108" s="516"/>
      <c r="E108" s="527">
        <f>+E107+$A$110</f>
        <v>0</v>
      </c>
      <c r="F108" s="526">
        <v>5</v>
      </c>
      <c r="G108" s="510"/>
      <c r="H108" s="517"/>
      <c r="K108" s="522">
        <v>-3.0500000000155403E-5</v>
      </c>
      <c r="L108" s="564">
        <f t="shared" si="21"/>
        <v>3.0500000000155403E-5</v>
      </c>
      <c r="M108" s="561">
        <f t="shared" si="22"/>
        <v>3.0500000000155403E-5</v>
      </c>
      <c r="N108" s="372">
        <f t="shared" si="23"/>
        <v>5</v>
      </c>
      <c r="U108" t="e">
        <f t="shared" si="24"/>
        <v>#REF!</v>
      </c>
    </row>
    <row r="109" spans="1:21" x14ac:dyDescent="0.25">
      <c r="C109" s="528">
        <f>+C108+$A$112</f>
        <v>0</v>
      </c>
      <c r="D109" s="516"/>
      <c r="E109" s="527">
        <f>+E108+$A$110</f>
        <v>0</v>
      </c>
      <c r="F109" s="526">
        <v>6</v>
      </c>
      <c r="G109" s="510"/>
      <c r="H109" s="517"/>
      <c r="K109" s="522">
        <v>-5.0000000000000004E-6</v>
      </c>
      <c r="L109" s="564">
        <f t="shared" si="21"/>
        <v>5.0000000000000004E-6</v>
      </c>
      <c r="M109" s="561">
        <f t="shared" si="22"/>
        <v>5.0000000000000004E-6</v>
      </c>
      <c r="N109" s="372">
        <f t="shared" si="23"/>
        <v>6</v>
      </c>
      <c r="U109" t="e">
        <f t="shared" si="24"/>
        <v>#REF!</v>
      </c>
    </row>
    <row r="110" spans="1:21" x14ac:dyDescent="0.25">
      <c r="A110" s="523">
        <f>+A104/A108</f>
        <v>0</v>
      </c>
      <c r="B110" s="523"/>
      <c r="C110" s="528"/>
      <c r="D110" s="516"/>
      <c r="E110" s="527"/>
      <c r="F110" s="526"/>
      <c r="G110" s="510"/>
      <c r="H110" s="517"/>
      <c r="K110" s="522">
        <v>-2.0000000000000002E-5</v>
      </c>
      <c r="L110" s="564">
        <f t="shared" si="21"/>
        <v>2.0000000000000002E-5</v>
      </c>
      <c r="M110" s="561">
        <f t="shared" si="22"/>
        <v>2.0000000000000002E-5</v>
      </c>
      <c r="N110" s="372">
        <f t="shared" si="23"/>
        <v>0</v>
      </c>
      <c r="U110" t="e">
        <f t="shared" si="24"/>
        <v>#REF!</v>
      </c>
    </row>
    <row r="111" spans="1:21" x14ac:dyDescent="0.25">
      <c r="C111" s="528"/>
      <c r="D111" s="518"/>
      <c r="E111" s="527"/>
      <c r="F111" s="526"/>
      <c r="G111" s="510"/>
      <c r="H111" s="517"/>
      <c r="K111" s="522">
        <v>-1.9999999999975593E-4</v>
      </c>
      <c r="L111" s="564">
        <f t="shared" si="21"/>
        <v>1.9999999999975593E-4</v>
      </c>
      <c r="M111" s="561">
        <f t="shared" si="22"/>
        <v>1.9999999999975593E-4</v>
      </c>
      <c r="N111" s="372">
        <f t="shared" si="23"/>
        <v>0</v>
      </c>
      <c r="U111" t="e">
        <f t="shared" si="24"/>
        <v>#REF!</v>
      </c>
    </row>
    <row r="112" spans="1:21" x14ac:dyDescent="0.25">
      <c r="A112" s="522">
        <f>+A106/A108</f>
        <v>0</v>
      </c>
      <c r="B112" s="522"/>
      <c r="C112" s="528"/>
      <c r="D112" s="516"/>
      <c r="E112" s="527"/>
      <c r="F112" s="526"/>
      <c r="G112" s="510"/>
      <c r="H112" s="517"/>
      <c r="K112" s="522"/>
      <c r="L112" s="564"/>
      <c r="M112" s="561"/>
      <c r="N112" s="372"/>
    </row>
    <row r="113" spans="1:14" x14ac:dyDescent="0.25">
      <c r="C113" s="528"/>
      <c r="D113" s="516"/>
      <c r="E113" s="527"/>
      <c r="F113" s="526"/>
      <c r="G113" s="510"/>
      <c r="H113" s="517"/>
      <c r="K113" s="522"/>
      <c r="L113" s="564"/>
      <c r="M113" s="561"/>
      <c r="N113" s="372"/>
    </row>
    <row r="114" spans="1:14" x14ac:dyDescent="0.25">
      <c r="C114" s="528"/>
      <c r="D114" s="516"/>
      <c r="E114" s="527"/>
      <c r="F114" s="526"/>
      <c r="G114" s="510"/>
      <c r="H114" s="517"/>
      <c r="K114" s="522"/>
      <c r="L114" s="564"/>
      <c r="M114" s="561"/>
      <c r="N114" s="372"/>
    </row>
    <row r="115" spans="1:14" x14ac:dyDescent="0.25">
      <c r="C115" s="528"/>
      <c r="D115" s="518"/>
      <c r="E115" s="527"/>
      <c r="F115" s="526"/>
      <c r="G115" s="510"/>
      <c r="H115" s="517"/>
      <c r="K115" s="522"/>
      <c r="L115" s="564"/>
      <c r="M115" s="561"/>
      <c r="N115" s="372"/>
    </row>
    <row r="116" spans="1:14" x14ac:dyDescent="0.25">
      <c r="C116" s="530"/>
      <c r="D116" s="516"/>
      <c r="E116" s="527"/>
      <c r="F116" s="526"/>
      <c r="G116" s="510"/>
      <c r="H116" s="517"/>
      <c r="L116" s="372"/>
      <c r="M116" s="372"/>
    </row>
    <row r="117" spans="1:14" x14ac:dyDescent="0.25">
      <c r="C117" s="528"/>
      <c r="D117" s="516"/>
      <c r="E117" s="527"/>
      <c r="F117" s="526"/>
      <c r="G117" s="510"/>
      <c r="H117" s="517"/>
    </row>
    <row r="118" spans="1:14" x14ac:dyDescent="0.25">
      <c r="C118" s="528"/>
      <c r="E118" s="527"/>
      <c r="F118" s="526"/>
      <c r="G118" s="510"/>
      <c r="H118" s="517"/>
    </row>
    <row r="119" spans="1:14" x14ac:dyDescent="0.25">
      <c r="C119" s="529"/>
      <c r="H119" s="519"/>
      <c r="K119" s="530">
        <f>+A104</f>
        <v>0</v>
      </c>
      <c r="L119" s="545"/>
      <c r="M119" s="565">
        <f>SUM(M104:M118)</f>
        <v>-8.8687737709314263E-17</v>
      </c>
    </row>
    <row r="120" spans="1:14" x14ac:dyDescent="0.25">
      <c r="C120" s="528">
        <f>SUM(C104:C119)</f>
        <v>0</v>
      </c>
      <c r="E120" s="523">
        <f>SUM(E104:E119)</f>
        <v>0</v>
      </c>
      <c r="G120" s="513"/>
      <c r="H120" s="520">
        <f>+E120-A104</f>
        <v>0</v>
      </c>
      <c r="K120" s="562">
        <f>+A106</f>
        <v>0</v>
      </c>
      <c r="L120" s="566">
        <f>SUM(L104:L119)</f>
        <v>-8.8687737709314263E-17</v>
      </c>
      <c r="M120" s="563">
        <f>+K120-L120</f>
        <v>8.8687737709314263E-17</v>
      </c>
    </row>
    <row r="121" spans="1:14" x14ac:dyDescent="0.25">
      <c r="A121" s="524">
        <v>7</v>
      </c>
      <c r="B121" s="524"/>
      <c r="C121" s="524"/>
      <c r="D121" s="524"/>
      <c r="E121" s="524"/>
      <c r="F121" s="524"/>
      <c r="G121" s="524"/>
      <c r="H121" s="525"/>
      <c r="I121" s="524"/>
      <c r="J121" s="524">
        <f>+A121</f>
        <v>7</v>
      </c>
      <c r="M121" s="535"/>
    </row>
    <row r="122" spans="1:14" x14ac:dyDescent="0.25">
      <c r="A122" s="530">
        <f>+'FL F'!F32</f>
        <v>5.7725772496585994E-3</v>
      </c>
      <c r="B122" s="521"/>
      <c r="C122" s="528">
        <f>+A130</f>
        <v>1.3270292527950803E-5</v>
      </c>
      <c r="D122" s="515"/>
      <c r="E122" s="527">
        <f>+A128</f>
        <v>1.3270292527950803E-5</v>
      </c>
      <c r="F122" s="526">
        <v>1</v>
      </c>
      <c r="G122" s="510"/>
      <c r="H122" s="517"/>
      <c r="K122" s="522">
        <v>6.0000000000000002E-5</v>
      </c>
      <c r="L122" s="522">
        <f>+C122-K122</f>
        <v>-4.6729707472049198E-5</v>
      </c>
      <c r="M122" s="561">
        <f>+L122</f>
        <v>-4.6729707472049198E-5</v>
      </c>
      <c r="N122" s="526">
        <f>+F122</f>
        <v>1</v>
      </c>
    </row>
    <row r="123" spans="1:14" x14ac:dyDescent="0.25">
      <c r="C123" s="528">
        <f>+C122+$A$130</f>
        <v>2.6540585055901607E-5</v>
      </c>
      <c r="D123" s="516"/>
      <c r="E123" s="527">
        <f>+E122+$A$128</f>
        <v>2.6540585055901607E-5</v>
      </c>
      <c r="F123" s="526">
        <v>2</v>
      </c>
      <c r="G123" s="510"/>
      <c r="H123" s="517"/>
      <c r="K123" s="522">
        <v>3.0000000000000001E-5</v>
      </c>
      <c r="L123" s="522">
        <f t="shared" ref="L123:L136" si="25">+C123-K123</f>
        <v>-3.4594149440983942E-6</v>
      </c>
      <c r="M123" s="561">
        <f t="shared" ref="M123:M136" si="26">+L123</f>
        <v>-3.4594149440983942E-6</v>
      </c>
      <c r="N123" s="526">
        <f t="shared" ref="N123:N136" si="27">+F123</f>
        <v>2</v>
      </c>
    </row>
    <row r="124" spans="1:14" x14ac:dyDescent="0.25">
      <c r="A124" s="522">
        <f>+A122</f>
        <v>5.7725772496585994E-3</v>
      </c>
      <c r="B124" s="522"/>
      <c r="C124" s="528">
        <f t="shared" ref="C124:C150" si="28">+C123+$A$130</f>
        <v>3.981087758385241E-5</v>
      </c>
      <c r="D124" s="516"/>
      <c r="E124" s="527">
        <f t="shared" ref="E124:E150" si="29">+E123+$A$128</f>
        <v>3.981087758385241E-5</v>
      </c>
      <c r="F124" s="526">
        <v>3</v>
      </c>
      <c r="G124" s="510"/>
      <c r="H124" s="517"/>
      <c r="K124" s="522">
        <v>2.0000000000000002E-5</v>
      </c>
      <c r="L124" s="522">
        <f t="shared" si="25"/>
        <v>1.9810877583852408E-5</v>
      </c>
      <c r="M124" s="561">
        <f t="shared" si="26"/>
        <v>1.9810877583852408E-5</v>
      </c>
      <c r="N124" s="526">
        <f t="shared" si="27"/>
        <v>3</v>
      </c>
    </row>
    <row r="125" spans="1:14" x14ac:dyDescent="0.25">
      <c r="C125" s="528">
        <f t="shared" si="28"/>
        <v>5.3081170111803213E-5</v>
      </c>
      <c r="D125" s="518"/>
      <c r="E125" s="527">
        <f t="shared" si="29"/>
        <v>5.3081170111803213E-5</v>
      </c>
      <c r="F125" s="526">
        <v>4</v>
      </c>
      <c r="G125" s="510"/>
      <c r="H125" s="517"/>
      <c r="K125" s="522">
        <v>1.0000000000000001E-5</v>
      </c>
      <c r="L125" s="522">
        <f t="shared" si="25"/>
        <v>4.3081170111803214E-5</v>
      </c>
      <c r="M125" s="561">
        <f t="shared" si="26"/>
        <v>4.3081170111803214E-5</v>
      </c>
      <c r="N125" s="526">
        <f t="shared" si="27"/>
        <v>4</v>
      </c>
    </row>
    <row r="126" spans="1:14" x14ac:dyDescent="0.25">
      <c r="A126" s="532">
        <v>435</v>
      </c>
      <c r="C126" s="528">
        <f t="shared" si="28"/>
        <v>6.635146263975401E-5</v>
      </c>
      <c r="D126" s="516"/>
      <c r="E126" s="527">
        <f t="shared" si="29"/>
        <v>6.635146263975401E-5</v>
      </c>
      <c r="F126" s="526">
        <v>5</v>
      </c>
      <c r="G126" s="510"/>
      <c r="H126" s="517"/>
      <c r="K126" s="522">
        <v>1.0000000000000001E-5</v>
      </c>
      <c r="L126" s="522">
        <f t="shared" si="25"/>
        <v>5.6351462639754011E-5</v>
      </c>
      <c r="M126" s="561">
        <f t="shared" si="26"/>
        <v>5.6351462639754011E-5</v>
      </c>
      <c r="N126" s="526">
        <f t="shared" si="27"/>
        <v>5</v>
      </c>
    </row>
    <row r="127" spans="1:14" x14ac:dyDescent="0.25">
      <c r="C127" s="528">
        <f t="shared" si="28"/>
        <v>7.9621755167704806E-5</v>
      </c>
      <c r="D127" s="516"/>
      <c r="E127" s="527">
        <f t="shared" si="29"/>
        <v>7.9621755167704806E-5</v>
      </c>
      <c r="F127" s="526">
        <v>6</v>
      </c>
      <c r="G127" s="510"/>
      <c r="H127" s="517"/>
      <c r="K127" s="522">
        <v>1.9999999999908979E-5</v>
      </c>
      <c r="L127" s="522">
        <f t="shared" si="25"/>
        <v>5.9621755167795827E-5</v>
      </c>
      <c r="M127" s="561">
        <f t="shared" si="26"/>
        <v>5.9621755167795827E-5</v>
      </c>
      <c r="N127" s="526">
        <f t="shared" si="27"/>
        <v>6</v>
      </c>
    </row>
    <row r="128" spans="1:14" x14ac:dyDescent="0.25">
      <c r="A128" s="523">
        <f>+A122/A126</f>
        <v>1.3270292527950803E-5</v>
      </c>
      <c r="B128" s="523"/>
      <c r="C128" s="528">
        <f t="shared" si="28"/>
        <v>9.2892047695655603E-5</v>
      </c>
      <c r="D128" s="516"/>
      <c r="E128" s="527">
        <f t="shared" si="29"/>
        <v>9.2892047695655603E-5</v>
      </c>
      <c r="F128" s="526">
        <v>7</v>
      </c>
      <c r="G128" s="510"/>
      <c r="H128" s="517"/>
      <c r="K128" s="522">
        <v>5.1E-5</v>
      </c>
      <c r="L128" s="522">
        <f t="shared" si="25"/>
        <v>4.1892047695655603E-5</v>
      </c>
      <c r="M128" s="561">
        <f t="shared" si="26"/>
        <v>4.1892047695655603E-5</v>
      </c>
      <c r="N128" s="526">
        <f t="shared" si="27"/>
        <v>7</v>
      </c>
    </row>
    <row r="129" spans="1:14" x14ac:dyDescent="0.25">
      <c r="C129" s="528">
        <f t="shared" si="28"/>
        <v>1.061623402236064E-4</v>
      </c>
      <c r="D129" s="518"/>
      <c r="E129" s="527">
        <f t="shared" si="29"/>
        <v>1.061623402236064E-4</v>
      </c>
      <c r="F129" s="526">
        <v>8</v>
      </c>
      <c r="G129" s="510"/>
      <c r="H129" s="517"/>
      <c r="K129" s="522">
        <v>5.0000000000000002E-5</v>
      </c>
      <c r="L129" s="522">
        <f t="shared" si="25"/>
        <v>5.6162340223606397E-5</v>
      </c>
      <c r="M129" s="561">
        <f t="shared" si="26"/>
        <v>5.6162340223606397E-5</v>
      </c>
      <c r="N129" s="526">
        <f t="shared" si="27"/>
        <v>8</v>
      </c>
    </row>
    <row r="130" spans="1:14" x14ac:dyDescent="0.25">
      <c r="A130" s="522">
        <f>+A124/A126</f>
        <v>1.3270292527950803E-5</v>
      </c>
      <c r="B130" s="522"/>
      <c r="C130" s="528">
        <f t="shared" si="28"/>
        <v>1.194326327515572E-4</v>
      </c>
      <c r="D130" s="516"/>
      <c r="E130" s="527">
        <f t="shared" si="29"/>
        <v>1.194326327515572E-4</v>
      </c>
      <c r="F130" s="526">
        <v>9</v>
      </c>
      <c r="G130" s="510"/>
      <c r="H130" s="517"/>
      <c r="K130" s="522">
        <v>5.0000000000000002E-5</v>
      </c>
      <c r="L130" s="522">
        <f t="shared" si="25"/>
        <v>6.94326327515572E-5</v>
      </c>
      <c r="M130" s="561">
        <f t="shared" si="26"/>
        <v>6.94326327515572E-5</v>
      </c>
      <c r="N130" s="526">
        <f t="shared" si="27"/>
        <v>9</v>
      </c>
    </row>
    <row r="131" spans="1:14" x14ac:dyDescent="0.25">
      <c r="C131" s="528">
        <f t="shared" si="28"/>
        <v>1.3270292527950799E-4</v>
      </c>
      <c r="D131" s="516"/>
      <c r="E131" s="527">
        <f t="shared" si="29"/>
        <v>1.3270292527950799E-4</v>
      </c>
      <c r="F131" s="526">
        <v>10</v>
      </c>
      <c r="G131" s="510"/>
      <c r="H131" s="517"/>
      <c r="K131" s="522">
        <v>3.0000000000000001E-5</v>
      </c>
      <c r="L131" s="522">
        <f t="shared" si="25"/>
        <v>1.0270292527950799E-4</v>
      </c>
      <c r="M131" s="561">
        <f t="shared" si="26"/>
        <v>1.0270292527950799E-4</v>
      </c>
      <c r="N131" s="526">
        <f t="shared" si="27"/>
        <v>10</v>
      </c>
    </row>
    <row r="132" spans="1:14" x14ac:dyDescent="0.25">
      <c r="C132" s="528">
        <f t="shared" si="28"/>
        <v>1.4597321780745879E-4</v>
      </c>
      <c r="D132" s="516"/>
      <c r="E132" s="527">
        <f t="shared" si="29"/>
        <v>1.4597321780745879E-4</v>
      </c>
      <c r="F132" s="526">
        <v>11</v>
      </c>
      <c r="G132" s="510"/>
      <c r="H132" s="517"/>
      <c r="K132" s="522">
        <v>-1.0000000000287557E-6</v>
      </c>
      <c r="L132" s="522">
        <f t="shared" si="25"/>
        <v>1.4697321780748754E-4</v>
      </c>
      <c r="M132" s="561">
        <f t="shared" si="26"/>
        <v>1.4697321780748754E-4</v>
      </c>
      <c r="N132" s="526">
        <f t="shared" si="27"/>
        <v>11</v>
      </c>
    </row>
    <row r="133" spans="1:14" x14ac:dyDescent="0.25">
      <c r="C133" s="528">
        <f t="shared" si="28"/>
        <v>1.5924351033540959E-4</v>
      </c>
      <c r="D133" s="518"/>
      <c r="E133" s="527">
        <f t="shared" si="29"/>
        <v>1.5924351033540959E-4</v>
      </c>
      <c r="F133" s="526">
        <v>12</v>
      </c>
      <c r="G133" s="510"/>
      <c r="H133" s="517"/>
      <c r="K133" s="522">
        <v>-1.0000000000000001E-5</v>
      </c>
      <c r="L133" s="522">
        <f t="shared" si="25"/>
        <v>1.6924351033540958E-4</v>
      </c>
      <c r="M133" s="561">
        <f t="shared" si="26"/>
        <v>1.6924351033540958E-4</v>
      </c>
      <c r="N133" s="526">
        <f t="shared" si="27"/>
        <v>12</v>
      </c>
    </row>
    <row r="134" spans="1:14" x14ac:dyDescent="0.25">
      <c r="C134" s="528">
        <f t="shared" si="28"/>
        <v>1.7251380286336038E-4</v>
      </c>
      <c r="D134" s="516"/>
      <c r="E134" s="527">
        <f t="shared" si="29"/>
        <v>1.7251380286336038E-4</v>
      </c>
      <c r="F134" s="526">
        <v>13</v>
      </c>
      <c r="G134" s="510"/>
      <c r="H134" s="517"/>
      <c r="K134" s="522">
        <v>-5.0000000000000002E-5</v>
      </c>
      <c r="L134" s="522">
        <f t="shared" si="25"/>
        <v>2.2251380286336038E-4</v>
      </c>
      <c r="M134" s="561">
        <f t="shared" si="26"/>
        <v>2.2251380286336038E-4</v>
      </c>
      <c r="N134" s="526">
        <f t="shared" si="27"/>
        <v>13</v>
      </c>
    </row>
    <row r="135" spans="1:14" x14ac:dyDescent="0.25">
      <c r="C135" s="528">
        <f t="shared" si="28"/>
        <v>1.8578409539131118E-4</v>
      </c>
      <c r="D135" s="516"/>
      <c r="E135" s="527">
        <f t="shared" si="29"/>
        <v>1.8578409539131118E-4</v>
      </c>
      <c r="F135" s="526">
        <v>14</v>
      </c>
      <c r="G135" s="510"/>
      <c r="H135" s="517"/>
      <c r="K135" s="522">
        <v>-1E-4</v>
      </c>
      <c r="L135" s="522">
        <f t="shared" si="25"/>
        <v>2.857840953913112E-4</v>
      </c>
      <c r="M135" s="561">
        <f t="shared" si="26"/>
        <v>2.857840953913112E-4</v>
      </c>
      <c r="N135" s="526">
        <f t="shared" si="27"/>
        <v>14</v>
      </c>
    </row>
    <row r="136" spans="1:14" x14ac:dyDescent="0.25">
      <c r="C136" s="528">
        <f t="shared" si="28"/>
        <v>1.9905438791926197E-4</v>
      </c>
      <c r="E136" s="527">
        <f t="shared" si="29"/>
        <v>1.9905438791926197E-4</v>
      </c>
      <c r="F136" s="526">
        <v>15</v>
      </c>
      <c r="G136" s="510"/>
      <c r="H136" s="517"/>
      <c r="K136" s="522">
        <v>-1.6999999999983695E-4</v>
      </c>
      <c r="L136" s="522">
        <f t="shared" si="25"/>
        <v>3.6905438791909892E-4</v>
      </c>
      <c r="M136" s="561">
        <f t="shared" si="26"/>
        <v>3.6905438791909892E-4</v>
      </c>
      <c r="N136" s="526">
        <f t="shared" si="27"/>
        <v>15</v>
      </c>
    </row>
    <row r="137" spans="1:14" x14ac:dyDescent="0.25">
      <c r="C137" s="528">
        <f t="shared" si="28"/>
        <v>2.1232468044721277E-4</v>
      </c>
      <c r="E137" s="527">
        <f t="shared" si="29"/>
        <v>2.1232468044721277E-4</v>
      </c>
      <c r="F137" s="526">
        <v>16</v>
      </c>
      <c r="G137" s="510"/>
      <c r="H137" s="517"/>
      <c r="K137" s="522"/>
      <c r="L137" s="522"/>
      <c r="M137" s="561"/>
      <c r="N137" s="526"/>
    </row>
    <row r="138" spans="1:14" x14ac:dyDescent="0.25">
      <c r="C138" s="528">
        <f t="shared" si="28"/>
        <v>2.2559497297516357E-4</v>
      </c>
      <c r="E138" s="527">
        <f t="shared" si="29"/>
        <v>2.2559497297516357E-4</v>
      </c>
      <c r="F138" s="526">
        <v>17</v>
      </c>
      <c r="G138" s="510"/>
      <c r="H138" s="517"/>
      <c r="K138" s="522"/>
      <c r="L138" s="522"/>
      <c r="M138" s="561"/>
      <c r="N138" s="526"/>
    </row>
    <row r="139" spans="1:14" x14ac:dyDescent="0.25">
      <c r="C139" s="528">
        <f t="shared" si="28"/>
        <v>2.3886526550311436E-4</v>
      </c>
      <c r="E139" s="527">
        <f t="shared" si="29"/>
        <v>2.3886526550311436E-4</v>
      </c>
      <c r="F139" s="526">
        <v>18</v>
      </c>
      <c r="G139" s="510"/>
      <c r="H139" s="517"/>
      <c r="K139" s="522"/>
      <c r="L139" s="522"/>
      <c r="M139" s="561"/>
      <c r="N139" s="526"/>
    </row>
    <row r="140" spans="1:14" x14ac:dyDescent="0.25">
      <c r="C140" s="528">
        <f t="shared" si="28"/>
        <v>2.5213555803106516E-4</v>
      </c>
      <c r="E140" s="527">
        <f t="shared" si="29"/>
        <v>2.5213555803106516E-4</v>
      </c>
      <c r="F140" s="526">
        <v>19</v>
      </c>
      <c r="G140" s="510"/>
      <c r="H140" s="517"/>
      <c r="K140" s="522"/>
      <c r="L140" s="522"/>
      <c r="M140" s="561"/>
      <c r="N140" s="526"/>
    </row>
    <row r="141" spans="1:14" x14ac:dyDescent="0.25">
      <c r="C141" s="528">
        <f t="shared" si="28"/>
        <v>2.6540585055901598E-4</v>
      </c>
      <c r="E141" s="527">
        <f t="shared" si="29"/>
        <v>2.6540585055901598E-4</v>
      </c>
      <c r="F141" s="526">
        <v>20</v>
      </c>
      <c r="G141" s="510"/>
      <c r="H141" s="517"/>
      <c r="K141" s="522"/>
      <c r="L141" s="522"/>
      <c r="M141" s="561"/>
      <c r="N141" s="526"/>
    </row>
    <row r="142" spans="1:14" x14ac:dyDescent="0.25">
      <c r="C142" s="528">
        <f t="shared" si="28"/>
        <v>2.7867614308696681E-4</v>
      </c>
      <c r="E142" s="527">
        <f t="shared" si="29"/>
        <v>2.7867614308696681E-4</v>
      </c>
      <c r="F142" s="526">
        <v>21</v>
      </c>
      <c r="G142" s="510"/>
      <c r="H142" s="517"/>
      <c r="K142" s="522"/>
      <c r="L142" s="522"/>
      <c r="M142" s="561"/>
      <c r="N142" s="526"/>
    </row>
    <row r="143" spans="1:14" x14ac:dyDescent="0.25">
      <c r="C143" s="528">
        <f t="shared" si="28"/>
        <v>2.9194643561491763E-4</v>
      </c>
      <c r="E143" s="527">
        <f t="shared" si="29"/>
        <v>2.9194643561491763E-4</v>
      </c>
      <c r="F143" s="526">
        <v>22</v>
      </c>
      <c r="G143" s="510"/>
      <c r="H143" s="517"/>
      <c r="K143" s="522"/>
      <c r="L143" s="522"/>
      <c r="M143" s="561"/>
      <c r="N143" s="526"/>
    </row>
    <row r="144" spans="1:14" x14ac:dyDescent="0.25">
      <c r="C144" s="528">
        <f t="shared" si="28"/>
        <v>3.0521672814286846E-4</v>
      </c>
      <c r="E144" s="527">
        <f t="shared" si="29"/>
        <v>3.0521672814286846E-4</v>
      </c>
      <c r="F144" s="526">
        <v>23</v>
      </c>
      <c r="G144" s="510"/>
      <c r="H144" s="517"/>
      <c r="K144" s="522"/>
      <c r="L144" s="522"/>
      <c r="M144" s="561"/>
      <c r="N144" s="526"/>
    </row>
    <row r="145" spans="1:14" x14ac:dyDescent="0.25">
      <c r="C145" s="528">
        <f t="shared" si="28"/>
        <v>3.1848702067081928E-4</v>
      </c>
      <c r="E145" s="527">
        <f t="shared" si="29"/>
        <v>3.1848702067081928E-4</v>
      </c>
      <c r="F145" s="526">
        <v>24</v>
      </c>
      <c r="G145" s="510"/>
      <c r="H145" s="517"/>
      <c r="K145" s="522"/>
      <c r="L145" s="522"/>
      <c r="M145" s="561"/>
      <c r="N145" s="526"/>
    </row>
    <row r="146" spans="1:14" x14ac:dyDescent="0.25">
      <c r="C146" s="528">
        <f t="shared" si="28"/>
        <v>3.317573131987701E-4</v>
      </c>
      <c r="E146" s="527">
        <f t="shared" si="29"/>
        <v>3.317573131987701E-4</v>
      </c>
      <c r="F146" s="526">
        <v>25</v>
      </c>
      <c r="G146" s="510"/>
      <c r="H146" s="517"/>
      <c r="K146" s="522"/>
      <c r="L146" s="522"/>
      <c r="M146" s="561"/>
      <c r="N146" s="526"/>
    </row>
    <row r="147" spans="1:14" x14ac:dyDescent="0.25">
      <c r="C147" s="528">
        <f t="shared" si="28"/>
        <v>3.4502760572672093E-4</v>
      </c>
      <c r="E147" s="527">
        <f t="shared" si="29"/>
        <v>3.4502760572672093E-4</v>
      </c>
      <c r="F147" s="526">
        <v>26</v>
      </c>
      <c r="G147" s="510"/>
      <c r="H147" s="517"/>
      <c r="K147" s="522"/>
      <c r="L147" s="522"/>
      <c r="M147" s="561"/>
      <c r="N147" s="526"/>
    </row>
    <row r="148" spans="1:14" x14ac:dyDescent="0.25">
      <c r="C148" s="528">
        <f t="shared" si="28"/>
        <v>3.5829789825467175E-4</v>
      </c>
      <c r="E148" s="527">
        <f t="shared" si="29"/>
        <v>3.5829789825467175E-4</v>
      </c>
      <c r="F148" s="526">
        <v>27</v>
      </c>
      <c r="G148" s="510"/>
      <c r="H148" s="517"/>
      <c r="K148" s="522"/>
      <c r="L148" s="522"/>
      <c r="M148" s="561"/>
      <c r="N148" s="526"/>
    </row>
    <row r="149" spans="1:14" x14ac:dyDescent="0.25">
      <c r="C149" s="528">
        <f t="shared" si="28"/>
        <v>3.7156819078262257E-4</v>
      </c>
      <c r="E149" s="527">
        <f t="shared" si="29"/>
        <v>3.7156819078262257E-4</v>
      </c>
      <c r="F149" s="526">
        <v>28</v>
      </c>
      <c r="G149" s="510"/>
      <c r="H149" s="517"/>
      <c r="K149" s="522"/>
      <c r="L149" s="522"/>
      <c r="M149" s="561"/>
      <c r="N149" s="526"/>
    </row>
    <row r="150" spans="1:14" x14ac:dyDescent="0.25">
      <c r="C150" s="528">
        <f t="shared" si="28"/>
        <v>3.848384833105734E-4</v>
      </c>
      <c r="E150" s="527">
        <f t="shared" si="29"/>
        <v>3.848384833105734E-4</v>
      </c>
      <c r="F150" s="526">
        <v>29</v>
      </c>
      <c r="G150" s="510"/>
      <c r="H150" s="517"/>
      <c r="K150" s="522"/>
      <c r="L150" s="522"/>
      <c r="M150" s="561"/>
      <c r="N150" s="526"/>
    </row>
    <row r="151" spans="1:14" x14ac:dyDescent="0.25">
      <c r="C151" s="528"/>
      <c r="E151" s="527"/>
      <c r="F151" s="526"/>
      <c r="G151" s="510"/>
      <c r="H151" s="517"/>
      <c r="K151" s="522"/>
      <c r="L151" s="522"/>
      <c r="M151" s="561"/>
      <c r="N151" s="526"/>
    </row>
    <row r="152" spans="1:14" x14ac:dyDescent="0.25">
      <c r="C152" s="528"/>
      <c r="E152" s="527"/>
      <c r="F152" s="526"/>
      <c r="G152" s="510"/>
      <c r="H152" s="517"/>
      <c r="K152" s="522"/>
      <c r="L152" s="522"/>
      <c r="M152" s="561"/>
      <c r="N152" s="526"/>
    </row>
    <row r="153" spans="1:14" x14ac:dyDescent="0.25">
      <c r="C153" s="529"/>
      <c r="H153" s="519"/>
      <c r="K153" s="530">
        <f>+A122</f>
        <v>5.7725772496585994E-3</v>
      </c>
      <c r="L153" s="545"/>
      <c r="M153" s="530">
        <f>SUM(M122:M136)</f>
        <v>1.5924351033540526E-3</v>
      </c>
    </row>
    <row r="154" spans="1:14" x14ac:dyDescent="0.25">
      <c r="C154" s="528">
        <f>SUM(C122:C153)</f>
        <v>5.7725772496585986E-3</v>
      </c>
      <c r="E154" s="523">
        <f>SUM(E122:E153)</f>
        <v>5.7725772496585986E-3</v>
      </c>
      <c r="G154" s="513"/>
      <c r="H154" s="520">
        <f>+E154-A122</f>
        <v>0</v>
      </c>
      <c r="K154" s="562">
        <f>+A124</f>
        <v>5.7725772496585994E-3</v>
      </c>
      <c r="L154" s="566">
        <f>SUM(L122:L153)</f>
        <v>1.5924351033540526E-3</v>
      </c>
      <c r="M154" s="563">
        <f>+K154-L154</f>
        <v>4.180142146304547E-3</v>
      </c>
    </row>
    <row r="155" spans="1:14" x14ac:dyDescent="0.25">
      <c r="A155" s="524">
        <v>8</v>
      </c>
      <c r="B155" s="524"/>
      <c r="C155" s="524"/>
      <c r="D155" s="524"/>
      <c r="E155" s="524"/>
      <c r="F155" s="524"/>
      <c r="G155" s="524"/>
      <c r="H155" s="525"/>
      <c r="I155" s="524"/>
      <c r="J155" s="524">
        <f>+A155</f>
        <v>8</v>
      </c>
    </row>
    <row r="156" spans="1:14" x14ac:dyDescent="0.25">
      <c r="A156" s="530">
        <f>+'FL F'!F35</f>
        <v>6.6257441214628236E-4</v>
      </c>
      <c r="B156" s="521"/>
      <c r="C156" s="528">
        <f>+A164</f>
        <v>1.5231595681523731E-6</v>
      </c>
      <c r="D156" s="515"/>
      <c r="E156" s="527">
        <f>+A162</f>
        <v>1.5231595681523731E-6</v>
      </c>
      <c r="F156" s="526">
        <v>1</v>
      </c>
      <c r="G156" s="510"/>
      <c r="H156" s="517"/>
      <c r="K156" s="522">
        <v>5.0000000000000002E-5</v>
      </c>
      <c r="L156" s="522">
        <f t="shared" ref="L156:L170" si="30">+C156-K156</f>
        <v>-4.8476840431847631E-5</v>
      </c>
      <c r="M156" s="561">
        <f>+L156</f>
        <v>-4.8476840431847631E-5</v>
      </c>
      <c r="N156" s="526">
        <f>+F156</f>
        <v>1</v>
      </c>
    </row>
    <row r="157" spans="1:14" x14ac:dyDescent="0.25">
      <c r="C157" s="528">
        <f>+C156+$A$164</f>
        <v>3.0463191363047463E-6</v>
      </c>
      <c r="D157" s="516"/>
      <c r="E157" s="527">
        <f>+E156+$A$162</f>
        <v>3.0463191363047463E-6</v>
      </c>
      <c r="F157" s="526">
        <v>2</v>
      </c>
      <c r="G157" s="510"/>
      <c r="H157" s="517"/>
      <c r="K157" s="522">
        <v>1.0000000000000001E-5</v>
      </c>
      <c r="L157" s="522">
        <f t="shared" si="30"/>
        <v>-6.9536808636952545E-6</v>
      </c>
      <c r="M157" s="561">
        <f t="shared" ref="M157:M170" si="31">+L157</f>
        <v>-6.9536808636952545E-6</v>
      </c>
      <c r="N157" s="526">
        <f t="shared" ref="N157:N170" si="32">+F157</f>
        <v>2</v>
      </c>
    </row>
    <row r="158" spans="1:14" x14ac:dyDescent="0.25">
      <c r="A158" s="522">
        <f>+A156</f>
        <v>6.6257441214628236E-4</v>
      </c>
      <c r="B158" s="522"/>
      <c r="C158" s="528">
        <f t="shared" ref="C158:C184" si="33">+C157+$A$164</f>
        <v>4.5694787044571198E-6</v>
      </c>
      <c r="D158" s="516"/>
      <c r="E158" s="527">
        <f t="shared" ref="E158:E184" si="34">+E157+$A$162</f>
        <v>4.5694787044571198E-6</v>
      </c>
      <c r="F158" s="526">
        <v>3</v>
      </c>
      <c r="G158" s="510"/>
      <c r="H158" s="517"/>
      <c r="K158" s="522">
        <v>5.0000000000000004E-6</v>
      </c>
      <c r="L158" s="522">
        <f t="shared" si="30"/>
        <v>-4.3052129554288057E-7</v>
      </c>
      <c r="M158" s="561">
        <f t="shared" si="31"/>
        <v>-4.3052129554288057E-7</v>
      </c>
      <c r="N158" s="526">
        <f t="shared" si="32"/>
        <v>3</v>
      </c>
    </row>
    <row r="159" spans="1:14" x14ac:dyDescent="0.25">
      <c r="C159" s="528">
        <f t="shared" si="33"/>
        <v>6.0926382726094925E-6</v>
      </c>
      <c r="D159" s="518"/>
      <c r="E159" s="527">
        <f t="shared" si="34"/>
        <v>6.0926382726094925E-6</v>
      </c>
      <c r="F159" s="526">
        <v>4</v>
      </c>
      <c r="G159" s="510"/>
      <c r="H159" s="517"/>
      <c r="K159" s="522">
        <v>5.0000000000000004E-6</v>
      </c>
      <c r="L159" s="522">
        <f t="shared" si="30"/>
        <v>1.0926382726094921E-6</v>
      </c>
      <c r="M159" s="561">
        <f t="shared" si="31"/>
        <v>1.0926382726094921E-6</v>
      </c>
      <c r="N159" s="526">
        <f t="shared" si="32"/>
        <v>4</v>
      </c>
    </row>
    <row r="160" spans="1:14" x14ac:dyDescent="0.25">
      <c r="A160" s="532">
        <v>435</v>
      </c>
      <c r="C160" s="528">
        <f t="shared" si="33"/>
        <v>7.6157978407618653E-6</v>
      </c>
      <c r="D160" s="516"/>
      <c r="E160" s="527">
        <f t="shared" si="34"/>
        <v>7.6157978407618653E-6</v>
      </c>
      <c r="F160" s="526">
        <v>5</v>
      </c>
      <c r="G160" s="510"/>
      <c r="H160" s="517"/>
      <c r="K160" s="522">
        <v>1.0000000000000001E-5</v>
      </c>
      <c r="L160" s="522">
        <f t="shared" si="30"/>
        <v>-2.3842021592381356E-6</v>
      </c>
      <c r="M160" s="561">
        <f t="shared" si="31"/>
        <v>-2.3842021592381356E-6</v>
      </c>
      <c r="N160" s="526">
        <f t="shared" si="32"/>
        <v>5</v>
      </c>
    </row>
    <row r="161" spans="1:14" x14ac:dyDescent="0.25">
      <c r="C161" s="528">
        <f t="shared" si="33"/>
        <v>9.138957408914238E-6</v>
      </c>
      <c r="D161" s="516"/>
      <c r="E161" s="527">
        <f t="shared" si="34"/>
        <v>9.138957408914238E-6</v>
      </c>
      <c r="F161" s="526">
        <v>6</v>
      </c>
      <c r="G161" s="510"/>
      <c r="H161" s="517"/>
      <c r="K161" s="522">
        <v>2.0000000000000002E-5</v>
      </c>
      <c r="L161" s="522">
        <f t="shared" si="30"/>
        <v>-1.0861042591085764E-5</v>
      </c>
      <c r="M161" s="561">
        <f t="shared" si="31"/>
        <v>-1.0861042591085764E-5</v>
      </c>
      <c r="N161" s="526">
        <f t="shared" si="32"/>
        <v>6</v>
      </c>
    </row>
    <row r="162" spans="1:14" x14ac:dyDescent="0.25">
      <c r="A162" s="523">
        <f>+A156/A160</f>
        <v>1.5231595681523731E-6</v>
      </c>
      <c r="B162" s="523"/>
      <c r="C162" s="528">
        <f t="shared" si="33"/>
        <v>1.0662116977066611E-5</v>
      </c>
      <c r="D162" s="516"/>
      <c r="E162" s="527">
        <f t="shared" si="34"/>
        <v>1.0662116977066611E-5</v>
      </c>
      <c r="F162" s="526">
        <v>7</v>
      </c>
      <c r="G162" s="510"/>
      <c r="H162" s="517"/>
      <c r="K162" s="522">
        <v>3.0000000000000001E-5</v>
      </c>
      <c r="L162" s="522">
        <f t="shared" si="30"/>
        <v>-1.933788302293339E-5</v>
      </c>
      <c r="M162" s="561">
        <f t="shared" si="31"/>
        <v>-1.933788302293339E-5</v>
      </c>
      <c r="N162" s="526">
        <f t="shared" si="32"/>
        <v>7</v>
      </c>
    </row>
    <row r="163" spans="1:14" x14ac:dyDescent="0.25">
      <c r="C163" s="528">
        <f t="shared" si="33"/>
        <v>1.2185276545218983E-5</v>
      </c>
      <c r="D163" s="518"/>
      <c r="E163" s="527">
        <f t="shared" si="34"/>
        <v>1.2185276545218983E-5</v>
      </c>
      <c r="F163" s="526">
        <v>8</v>
      </c>
      <c r="G163" s="510"/>
      <c r="H163" s="517"/>
      <c r="K163" s="522">
        <v>4.0000000000000003E-5</v>
      </c>
      <c r="L163" s="522">
        <f t="shared" si="30"/>
        <v>-2.7814723454781022E-5</v>
      </c>
      <c r="M163" s="561">
        <f t="shared" si="31"/>
        <v>-2.7814723454781022E-5</v>
      </c>
      <c r="N163" s="526">
        <f t="shared" si="32"/>
        <v>8</v>
      </c>
    </row>
    <row r="164" spans="1:14" x14ac:dyDescent="0.25">
      <c r="A164" s="522">
        <f>+A158/A160</f>
        <v>1.5231595681523731E-6</v>
      </c>
      <c r="B164" s="522"/>
      <c r="C164" s="528">
        <f t="shared" si="33"/>
        <v>1.3708436113371356E-5</v>
      </c>
      <c r="D164" s="516"/>
      <c r="E164" s="527">
        <f t="shared" si="34"/>
        <v>1.3708436113371356E-5</v>
      </c>
      <c r="F164" s="526">
        <v>9</v>
      </c>
      <c r="G164" s="510"/>
      <c r="H164" s="517"/>
      <c r="K164" s="522">
        <v>5.0000000000000002E-5</v>
      </c>
      <c r="L164" s="522">
        <f t="shared" si="30"/>
        <v>-3.6291563886628643E-5</v>
      </c>
      <c r="M164" s="561">
        <f t="shared" si="31"/>
        <v>-3.6291563886628643E-5</v>
      </c>
      <c r="N164" s="526">
        <f t="shared" si="32"/>
        <v>9</v>
      </c>
    </row>
    <row r="165" spans="1:14" x14ac:dyDescent="0.25">
      <c r="C165" s="528">
        <f t="shared" si="33"/>
        <v>1.5231595681523729E-5</v>
      </c>
      <c r="D165" s="516"/>
      <c r="E165" s="527">
        <f t="shared" si="34"/>
        <v>1.5231595681523729E-5</v>
      </c>
      <c r="F165" s="526">
        <v>10</v>
      </c>
      <c r="G165" s="510"/>
      <c r="H165" s="517"/>
      <c r="K165" s="522">
        <v>5.0000000000000002E-5</v>
      </c>
      <c r="L165" s="522">
        <f t="shared" si="30"/>
        <v>-3.4768404318476272E-5</v>
      </c>
      <c r="M165" s="561">
        <f t="shared" si="31"/>
        <v>-3.4768404318476272E-5</v>
      </c>
      <c r="N165" s="526">
        <f t="shared" si="32"/>
        <v>10</v>
      </c>
    </row>
    <row r="166" spans="1:14" x14ac:dyDescent="0.25">
      <c r="C166" s="528">
        <f t="shared" si="33"/>
        <v>1.6754755249676102E-5</v>
      </c>
      <c r="D166" s="516"/>
      <c r="E166" s="527">
        <f t="shared" si="34"/>
        <v>1.6754755249676102E-5</v>
      </c>
      <c r="F166" s="526">
        <v>11</v>
      </c>
      <c r="G166" s="510"/>
      <c r="H166" s="517"/>
      <c r="K166" s="522">
        <v>4.0000000000000003E-5</v>
      </c>
      <c r="L166" s="522">
        <f t="shared" si="30"/>
        <v>-2.3245244750323902E-5</v>
      </c>
      <c r="M166" s="561">
        <f t="shared" si="31"/>
        <v>-2.3245244750323902E-5</v>
      </c>
      <c r="N166" s="526">
        <f t="shared" si="32"/>
        <v>11</v>
      </c>
    </row>
    <row r="167" spans="1:14" x14ac:dyDescent="0.25">
      <c r="C167" s="528">
        <f t="shared" si="33"/>
        <v>1.8277914817828476E-5</v>
      </c>
      <c r="D167" s="518"/>
      <c r="E167" s="527">
        <f t="shared" si="34"/>
        <v>1.8277914817828476E-5</v>
      </c>
      <c r="F167" s="526">
        <v>12</v>
      </c>
      <c r="G167" s="510"/>
      <c r="H167" s="517"/>
      <c r="K167" s="522">
        <v>3.0000000000000001E-5</v>
      </c>
      <c r="L167" s="522">
        <f t="shared" si="30"/>
        <v>-1.1722085182171525E-5</v>
      </c>
      <c r="M167" s="561">
        <f t="shared" si="31"/>
        <v>-1.1722085182171525E-5</v>
      </c>
      <c r="N167" s="526">
        <f t="shared" si="32"/>
        <v>12</v>
      </c>
    </row>
    <row r="168" spans="1:14" x14ac:dyDescent="0.25">
      <c r="C168" s="528">
        <f t="shared" si="33"/>
        <v>1.980107438598085E-5</v>
      </c>
      <c r="D168" s="516"/>
      <c r="E168" s="527">
        <f t="shared" si="34"/>
        <v>1.980107438598085E-5</v>
      </c>
      <c r="F168" s="526">
        <v>13</v>
      </c>
      <c r="G168" s="510"/>
      <c r="H168" s="517"/>
      <c r="K168" s="522">
        <v>1.0000000000000001E-5</v>
      </c>
      <c r="L168" s="522">
        <f t="shared" si="30"/>
        <v>9.8010743859808495E-6</v>
      </c>
      <c r="M168" s="561">
        <f t="shared" si="31"/>
        <v>9.8010743859808495E-6</v>
      </c>
      <c r="N168" s="526">
        <f t="shared" si="32"/>
        <v>13</v>
      </c>
    </row>
    <row r="169" spans="1:14" x14ac:dyDescent="0.25">
      <c r="C169" s="528">
        <f t="shared" si="33"/>
        <v>2.1324233954133225E-5</v>
      </c>
      <c r="D169" s="516"/>
      <c r="E169" s="527">
        <f t="shared" si="34"/>
        <v>2.1324233954133225E-5</v>
      </c>
      <c r="F169" s="526">
        <v>14</v>
      </c>
      <c r="G169" s="510"/>
      <c r="H169" s="517"/>
      <c r="K169" s="522">
        <v>-5.0000000000000002E-5</v>
      </c>
      <c r="L169" s="522">
        <f t="shared" si="30"/>
        <v>7.1324233954133231E-5</v>
      </c>
      <c r="M169" s="561">
        <f t="shared" si="31"/>
        <v>7.1324233954133231E-5</v>
      </c>
      <c r="N169" s="526">
        <f t="shared" si="32"/>
        <v>14</v>
      </c>
    </row>
    <row r="170" spans="1:14" x14ac:dyDescent="0.25">
      <c r="C170" s="528">
        <f t="shared" si="33"/>
        <v>2.2847393522285599E-5</v>
      </c>
      <c r="E170" s="527">
        <f t="shared" si="34"/>
        <v>2.2847393522285599E-5</v>
      </c>
      <c r="F170" s="526">
        <v>15</v>
      </c>
      <c r="G170" s="510"/>
      <c r="H170" s="517"/>
      <c r="K170" s="522">
        <v>-2.9999999999999997E-4</v>
      </c>
      <c r="L170" s="522">
        <f t="shared" si="30"/>
        <v>3.2284739352228558E-4</v>
      </c>
      <c r="M170" s="561">
        <f t="shared" si="31"/>
        <v>3.2284739352228558E-4</v>
      </c>
      <c r="N170" s="526">
        <f t="shared" si="32"/>
        <v>15</v>
      </c>
    </row>
    <row r="171" spans="1:14" x14ac:dyDescent="0.25">
      <c r="C171" s="528">
        <f t="shared" si="33"/>
        <v>2.4370553090437974E-5</v>
      </c>
      <c r="E171" s="527">
        <f t="shared" si="34"/>
        <v>2.4370553090437974E-5</v>
      </c>
      <c r="F171" s="526">
        <v>16</v>
      </c>
      <c r="G171" s="510"/>
      <c r="H171" s="517"/>
      <c r="K171" s="522"/>
      <c r="L171" s="522"/>
      <c r="M171" s="561"/>
      <c r="N171" s="526"/>
    </row>
    <row r="172" spans="1:14" x14ac:dyDescent="0.25">
      <c r="C172" s="528">
        <f t="shared" si="33"/>
        <v>2.5893712658590348E-5</v>
      </c>
      <c r="E172" s="527">
        <f t="shared" si="34"/>
        <v>2.5893712658590348E-5</v>
      </c>
      <c r="F172" s="526">
        <v>17</v>
      </c>
      <c r="G172" s="510"/>
      <c r="H172" s="517"/>
      <c r="K172" s="522"/>
      <c r="L172" s="522"/>
      <c r="M172" s="561"/>
      <c r="N172" s="526"/>
    </row>
    <row r="173" spans="1:14" x14ac:dyDescent="0.25">
      <c r="C173" s="528">
        <f t="shared" si="33"/>
        <v>2.7416872226742722E-5</v>
      </c>
      <c r="E173" s="527">
        <f t="shared" si="34"/>
        <v>2.7416872226742722E-5</v>
      </c>
      <c r="F173" s="526">
        <v>18</v>
      </c>
      <c r="G173" s="510"/>
      <c r="H173" s="517"/>
      <c r="K173" s="522"/>
      <c r="L173" s="522"/>
      <c r="M173" s="561"/>
      <c r="N173" s="526"/>
    </row>
    <row r="174" spans="1:14" x14ac:dyDescent="0.25">
      <c r="C174" s="528">
        <f t="shared" si="33"/>
        <v>2.8940031794895097E-5</v>
      </c>
      <c r="E174" s="527">
        <f t="shared" si="34"/>
        <v>2.8940031794895097E-5</v>
      </c>
      <c r="F174" s="526">
        <v>19</v>
      </c>
      <c r="G174" s="510"/>
      <c r="H174" s="517"/>
      <c r="K174" s="522"/>
      <c r="L174" s="522"/>
      <c r="M174" s="561"/>
      <c r="N174" s="526"/>
    </row>
    <row r="175" spans="1:14" x14ac:dyDescent="0.25">
      <c r="C175" s="528">
        <f t="shared" si="33"/>
        <v>3.0463191363047471E-5</v>
      </c>
      <c r="E175" s="527">
        <f t="shared" si="34"/>
        <v>3.0463191363047471E-5</v>
      </c>
      <c r="F175" s="526">
        <v>20</v>
      </c>
      <c r="G175" s="510"/>
      <c r="H175" s="517"/>
      <c r="K175" s="522"/>
      <c r="L175" s="522"/>
      <c r="M175" s="561"/>
      <c r="N175" s="526"/>
    </row>
    <row r="176" spans="1:14" x14ac:dyDescent="0.25">
      <c r="C176" s="528">
        <f t="shared" si="33"/>
        <v>3.1986350931199846E-5</v>
      </c>
      <c r="E176" s="527">
        <f t="shared" si="34"/>
        <v>3.1986350931199846E-5</v>
      </c>
      <c r="F176" s="526">
        <v>21</v>
      </c>
      <c r="G176" s="510"/>
      <c r="H176" s="517"/>
      <c r="K176" s="522"/>
      <c r="L176" s="522"/>
      <c r="M176" s="561"/>
      <c r="N176" s="526"/>
    </row>
    <row r="177" spans="1:14" x14ac:dyDescent="0.25">
      <c r="C177" s="528">
        <f t="shared" si="33"/>
        <v>3.3509510499352217E-5</v>
      </c>
      <c r="E177" s="527">
        <f t="shared" si="34"/>
        <v>3.3509510499352217E-5</v>
      </c>
      <c r="F177" s="526">
        <v>22</v>
      </c>
      <c r="G177" s="510"/>
      <c r="H177" s="517"/>
      <c r="K177" s="522"/>
      <c r="L177" s="522"/>
      <c r="M177" s="561"/>
      <c r="N177" s="526"/>
    </row>
    <row r="178" spans="1:14" x14ac:dyDescent="0.25">
      <c r="C178" s="528">
        <f t="shared" si="33"/>
        <v>3.5032670067504588E-5</v>
      </c>
      <c r="E178" s="527">
        <f t="shared" si="34"/>
        <v>3.5032670067504588E-5</v>
      </c>
      <c r="F178" s="526">
        <v>23</v>
      </c>
      <c r="G178" s="510"/>
      <c r="H178" s="517"/>
      <c r="K178" s="522"/>
      <c r="L178" s="522"/>
      <c r="M178" s="561"/>
      <c r="N178" s="526"/>
    </row>
    <row r="179" spans="1:14" x14ac:dyDescent="0.25">
      <c r="C179" s="528">
        <f t="shared" si="33"/>
        <v>3.6555829635656959E-5</v>
      </c>
      <c r="E179" s="527">
        <f t="shared" si="34"/>
        <v>3.6555829635656959E-5</v>
      </c>
      <c r="F179" s="526">
        <v>24</v>
      </c>
      <c r="G179" s="510"/>
      <c r="H179" s="517"/>
      <c r="K179" s="522"/>
      <c r="L179" s="522"/>
      <c r="M179" s="561"/>
      <c r="N179" s="526"/>
    </row>
    <row r="180" spans="1:14" x14ac:dyDescent="0.25">
      <c r="C180" s="528">
        <f t="shared" si="33"/>
        <v>3.807898920380933E-5</v>
      </c>
      <c r="E180" s="527">
        <f t="shared" si="34"/>
        <v>3.807898920380933E-5</v>
      </c>
      <c r="F180" s="526">
        <v>25</v>
      </c>
      <c r="G180" s="510"/>
      <c r="H180" s="517"/>
      <c r="K180" s="522"/>
      <c r="L180" s="522"/>
      <c r="M180" s="561"/>
      <c r="N180" s="526"/>
    </row>
    <row r="181" spans="1:14" x14ac:dyDescent="0.25">
      <c r="C181" s="528">
        <f t="shared" si="33"/>
        <v>3.9602148771961701E-5</v>
      </c>
      <c r="E181" s="527">
        <f t="shared" si="34"/>
        <v>3.9602148771961701E-5</v>
      </c>
      <c r="F181" s="526">
        <v>26</v>
      </c>
      <c r="G181" s="510"/>
      <c r="H181" s="517"/>
      <c r="K181" s="522"/>
      <c r="L181" s="522"/>
      <c r="M181" s="561"/>
      <c r="N181" s="526"/>
    </row>
    <row r="182" spans="1:14" x14ac:dyDescent="0.25">
      <c r="C182" s="528">
        <f t="shared" si="33"/>
        <v>4.1125308340114072E-5</v>
      </c>
      <c r="E182" s="527">
        <f t="shared" si="34"/>
        <v>4.1125308340114072E-5</v>
      </c>
      <c r="F182" s="526">
        <v>27</v>
      </c>
      <c r="G182" s="510"/>
      <c r="H182" s="517"/>
      <c r="K182" s="522"/>
      <c r="L182" s="522"/>
      <c r="M182" s="561"/>
      <c r="N182" s="526"/>
    </row>
    <row r="183" spans="1:14" x14ac:dyDescent="0.25">
      <c r="C183" s="528">
        <f t="shared" si="33"/>
        <v>4.2648467908266443E-5</v>
      </c>
      <c r="E183" s="527">
        <f t="shared" si="34"/>
        <v>4.2648467908266443E-5</v>
      </c>
      <c r="F183" s="526">
        <v>28</v>
      </c>
      <c r="G183" s="510"/>
      <c r="H183" s="517"/>
      <c r="K183" s="522"/>
      <c r="L183" s="522"/>
      <c r="M183" s="561"/>
      <c r="N183" s="526"/>
    </row>
    <row r="184" spans="1:14" x14ac:dyDescent="0.25">
      <c r="C184" s="528">
        <f t="shared" si="33"/>
        <v>4.4171627476418814E-5</v>
      </c>
      <c r="E184" s="527">
        <f t="shared" si="34"/>
        <v>4.4171627476418814E-5</v>
      </c>
      <c r="F184" s="526">
        <v>29</v>
      </c>
      <c r="G184" s="510"/>
      <c r="H184" s="517"/>
      <c r="K184" s="522"/>
      <c r="L184" s="522"/>
      <c r="M184" s="561"/>
      <c r="N184" s="526"/>
    </row>
    <row r="185" spans="1:14" x14ac:dyDescent="0.25">
      <c r="C185" s="528"/>
      <c r="E185" s="527"/>
      <c r="F185" s="526"/>
      <c r="G185" s="510"/>
      <c r="H185" s="517"/>
      <c r="K185" s="522"/>
      <c r="L185" s="522"/>
      <c r="M185" s="561"/>
      <c r="N185" s="526"/>
    </row>
    <row r="186" spans="1:14" x14ac:dyDescent="0.25">
      <c r="C186" s="529"/>
      <c r="H186" s="519"/>
      <c r="K186" s="530">
        <f>+A156</f>
        <v>6.6257441214628236E-4</v>
      </c>
      <c r="L186" s="545"/>
      <c r="M186" s="565">
        <f>SUM(M156:M170)</f>
        <v>1.8277914817828474E-4</v>
      </c>
    </row>
    <row r="187" spans="1:14" x14ac:dyDescent="0.25">
      <c r="C187" s="528">
        <f>SUM(C156:C186)</f>
        <v>6.6257441214628225E-4</v>
      </c>
      <c r="E187" s="523">
        <f>SUM(E156:E186)</f>
        <v>6.6257441214628225E-4</v>
      </c>
      <c r="G187" s="513"/>
      <c r="H187" s="520">
        <f>+E187-A156</f>
        <v>0</v>
      </c>
      <c r="K187" s="562">
        <f>+A158</f>
        <v>6.6257441214628236E-4</v>
      </c>
      <c r="L187" s="566">
        <f>SUM(L156:L186)</f>
        <v>1.8277914817828474E-4</v>
      </c>
      <c r="M187" s="563">
        <f>+K187-L187</f>
        <v>4.7979526396799762E-4</v>
      </c>
    </row>
    <row r="188" spans="1:14" x14ac:dyDescent="0.25">
      <c r="A188" s="524">
        <v>9</v>
      </c>
      <c r="B188" s="524"/>
      <c r="C188" s="524"/>
      <c r="D188" s="524"/>
      <c r="E188" s="524"/>
      <c r="F188" s="524"/>
      <c r="G188" s="524"/>
      <c r="H188" s="525"/>
      <c r="I188" s="524"/>
      <c r="J188" s="524">
        <f>+A188</f>
        <v>9</v>
      </c>
    </row>
    <row r="189" spans="1:14" x14ac:dyDescent="0.25">
      <c r="A189" s="530">
        <f>+'FL F'!F38</f>
        <v>0</v>
      </c>
      <c r="B189" s="521"/>
      <c r="C189" s="528">
        <f>+A197</f>
        <v>0</v>
      </c>
      <c r="D189" s="515"/>
      <c r="E189" s="527">
        <f>+A195</f>
        <v>0</v>
      </c>
      <c r="F189" s="526">
        <v>1</v>
      </c>
      <c r="G189" s="510"/>
      <c r="H189" s="517"/>
      <c r="K189" s="522">
        <v>9.0000000000000006E-5</v>
      </c>
      <c r="L189" s="522">
        <f t="shared" ref="L189:L204" si="35">+C189-K189</f>
        <v>-9.0000000000000006E-5</v>
      </c>
      <c r="M189" s="561">
        <f>+L189</f>
        <v>-9.0000000000000006E-5</v>
      </c>
      <c r="N189" s="526">
        <f>+F189</f>
        <v>1</v>
      </c>
    </row>
    <row r="190" spans="1:14" x14ac:dyDescent="0.25">
      <c r="C190" s="528">
        <f>+C189+$A$197</f>
        <v>0</v>
      </c>
      <c r="D190" s="516"/>
      <c r="E190" s="527">
        <f>+E189+$A$195</f>
        <v>0</v>
      </c>
      <c r="F190" s="526">
        <v>2</v>
      </c>
      <c r="G190" s="510"/>
      <c r="H190" s="517"/>
      <c r="K190" s="522">
        <v>1.0000000000000001E-5</v>
      </c>
      <c r="L190" s="522">
        <f t="shared" si="35"/>
        <v>-1.0000000000000001E-5</v>
      </c>
      <c r="M190" s="561">
        <f t="shared" ref="M190:M204" si="36">+L190</f>
        <v>-1.0000000000000001E-5</v>
      </c>
      <c r="N190" s="526">
        <f t="shared" ref="N190:N204" si="37">+F190</f>
        <v>2</v>
      </c>
    </row>
    <row r="191" spans="1:14" x14ac:dyDescent="0.25">
      <c r="A191" s="522">
        <f>+A189</f>
        <v>0</v>
      </c>
      <c r="B191" s="522"/>
      <c r="C191" s="528">
        <f t="shared" ref="C191:C197" si="38">+C190+$A$197</f>
        <v>0</v>
      </c>
      <c r="D191" s="516"/>
      <c r="E191" s="527">
        <f t="shared" ref="E191:E197" si="39">+E190+$A$195</f>
        <v>0</v>
      </c>
      <c r="F191" s="526">
        <v>3</v>
      </c>
      <c r="G191" s="510"/>
      <c r="H191" s="517"/>
      <c r="K191" s="522">
        <v>1.0000000000000001E-5</v>
      </c>
      <c r="L191" s="522">
        <f t="shared" si="35"/>
        <v>-1.0000000000000001E-5</v>
      </c>
      <c r="M191" s="561">
        <f t="shared" si="36"/>
        <v>-1.0000000000000001E-5</v>
      </c>
      <c r="N191" s="526">
        <f t="shared" si="37"/>
        <v>3</v>
      </c>
    </row>
    <row r="192" spans="1:14" x14ac:dyDescent="0.25">
      <c r="C192" s="528">
        <f t="shared" si="38"/>
        <v>0</v>
      </c>
      <c r="D192" s="518"/>
      <c r="E192" s="527">
        <f t="shared" si="39"/>
        <v>0</v>
      </c>
      <c r="F192" s="526">
        <v>4</v>
      </c>
      <c r="G192" s="510"/>
      <c r="H192" s="517"/>
      <c r="K192" s="522">
        <v>2.0000000000000002E-5</v>
      </c>
      <c r="L192" s="522">
        <f t="shared" si="35"/>
        <v>-2.0000000000000002E-5</v>
      </c>
      <c r="M192" s="561">
        <f t="shared" si="36"/>
        <v>-2.0000000000000002E-5</v>
      </c>
      <c r="N192" s="526">
        <f t="shared" si="37"/>
        <v>4</v>
      </c>
    </row>
    <row r="193" spans="1:14" x14ac:dyDescent="0.25">
      <c r="A193" s="532">
        <v>465</v>
      </c>
      <c r="C193" s="528">
        <f t="shared" si="38"/>
        <v>0</v>
      </c>
      <c r="D193" s="516"/>
      <c r="E193" s="527">
        <f t="shared" si="39"/>
        <v>0</v>
      </c>
      <c r="F193" s="526">
        <v>5</v>
      </c>
      <c r="G193" s="510"/>
      <c r="H193" s="517"/>
      <c r="K193" s="522">
        <v>3.0000000000000001E-5</v>
      </c>
      <c r="L193" s="522">
        <f t="shared" si="35"/>
        <v>-3.0000000000000001E-5</v>
      </c>
      <c r="M193" s="561">
        <f t="shared" si="36"/>
        <v>-3.0000000000000001E-5</v>
      </c>
      <c r="N193" s="526">
        <f t="shared" si="37"/>
        <v>5</v>
      </c>
    </row>
    <row r="194" spans="1:14" x14ac:dyDescent="0.25">
      <c r="C194" s="528">
        <f t="shared" si="38"/>
        <v>0</v>
      </c>
      <c r="D194" s="516"/>
      <c r="E194" s="527">
        <f t="shared" si="39"/>
        <v>0</v>
      </c>
      <c r="F194" s="526">
        <v>6</v>
      </c>
      <c r="G194" s="510"/>
      <c r="H194" s="517"/>
      <c r="K194" s="522">
        <v>5.0000000000000002E-5</v>
      </c>
      <c r="L194" s="522">
        <f t="shared" si="35"/>
        <v>-5.0000000000000002E-5</v>
      </c>
      <c r="M194" s="561">
        <f t="shared" si="36"/>
        <v>-5.0000000000000002E-5</v>
      </c>
      <c r="N194" s="526">
        <f t="shared" si="37"/>
        <v>6</v>
      </c>
    </row>
    <row r="195" spans="1:14" x14ac:dyDescent="0.25">
      <c r="A195" s="523">
        <f>+A189/A193</f>
        <v>0</v>
      </c>
      <c r="B195" s="523"/>
      <c r="C195" s="528">
        <f t="shared" si="38"/>
        <v>0</v>
      </c>
      <c r="D195" s="516"/>
      <c r="E195" s="527">
        <f t="shared" si="39"/>
        <v>0</v>
      </c>
      <c r="F195" s="526">
        <v>7</v>
      </c>
      <c r="G195" s="510"/>
      <c r="H195" s="517"/>
      <c r="K195" s="522">
        <v>8.0000000000000007E-5</v>
      </c>
      <c r="L195" s="522">
        <f t="shared" si="35"/>
        <v>-8.0000000000000007E-5</v>
      </c>
      <c r="M195" s="561">
        <f t="shared" si="36"/>
        <v>-8.0000000000000007E-5</v>
      </c>
      <c r="N195" s="526">
        <f t="shared" si="37"/>
        <v>7</v>
      </c>
    </row>
    <row r="196" spans="1:14" x14ac:dyDescent="0.25">
      <c r="C196" s="528">
        <f t="shared" si="38"/>
        <v>0</v>
      </c>
      <c r="D196" s="518"/>
      <c r="E196" s="527">
        <f t="shared" si="39"/>
        <v>0</v>
      </c>
      <c r="F196" s="526">
        <v>8</v>
      </c>
      <c r="G196" s="510"/>
      <c r="H196" s="517"/>
      <c r="K196" s="522">
        <v>1E-4</v>
      </c>
      <c r="L196" s="522">
        <f t="shared" si="35"/>
        <v>-1E-4</v>
      </c>
      <c r="M196" s="561">
        <f t="shared" si="36"/>
        <v>-1E-4</v>
      </c>
      <c r="N196" s="526">
        <f t="shared" si="37"/>
        <v>8</v>
      </c>
    </row>
    <row r="197" spans="1:14" x14ac:dyDescent="0.25">
      <c r="A197" s="522">
        <f>+A191/A193</f>
        <v>0</v>
      </c>
      <c r="B197" s="522"/>
      <c r="C197" s="528">
        <f t="shared" si="38"/>
        <v>0</v>
      </c>
      <c r="D197" s="516"/>
      <c r="E197" s="527">
        <f t="shared" si="39"/>
        <v>0</v>
      </c>
      <c r="F197" s="526">
        <v>9</v>
      </c>
      <c r="G197" s="510"/>
      <c r="H197" s="517"/>
      <c r="K197" s="522">
        <v>1E-4</v>
      </c>
      <c r="L197" s="522">
        <f t="shared" si="35"/>
        <v>-1E-4</v>
      </c>
      <c r="M197" s="561">
        <f t="shared" si="36"/>
        <v>-1E-4</v>
      </c>
      <c r="N197" s="526">
        <f t="shared" si="37"/>
        <v>9</v>
      </c>
    </row>
    <row r="198" spans="1:14" x14ac:dyDescent="0.25">
      <c r="C198" s="528">
        <f>+C197+$A$197</f>
        <v>0</v>
      </c>
      <c r="D198" s="516"/>
      <c r="E198" s="527">
        <f>+E197+$A$195</f>
        <v>0</v>
      </c>
      <c r="F198" s="526">
        <v>10</v>
      </c>
      <c r="G198" s="510"/>
      <c r="H198" s="517"/>
      <c r="K198" s="522">
        <v>1E-4</v>
      </c>
      <c r="L198" s="522">
        <f t="shared" si="35"/>
        <v>-1E-4</v>
      </c>
      <c r="M198" s="561">
        <f t="shared" si="36"/>
        <v>-1E-4</v>
      </c>
      <c r="N198" s="526">
        <f t="shared" si="37"/>
        <v>10</v>
      </c>
    </row>
    <row r="199" spans="1:14" x14ac:dyDescent="0.25">
      <c r="C199" s="528">
        <f>+C198+$A$197</f>
        <v>0</v>
      </c>
      <c r="D199" s="516"/>
      <c r="E199" s="527">
        <f>+E198+$A$195</f>
        <v>0</v>
      </c>
      <c r="F199" s="526">
        <v>11</v>
      </c>
      <c r="G199" s="510"/>
      <c r="H199" s="517"/>
      <c r="K199" s="522">
        <v>2.999999999991898E-5</v>
      </c>
      <c r="L199" s="522">
        <f t="shared" si="35"/>
        <v>-2.999999999991898E-5</v>
      </c>
      <c r="M199" s="561">
        <f t="shared" si="36"/>
        <v>-2.999999999991898E-5</v>
      </c>
      <c r="N199" s="526">
        <f t="shared" si="37"/>
        <v>11</v>
      </c>
    </row>
    <row r="200" spans="1:14" x14ac:dyDescent="0.25">
      <c r="C200" s="528">
        <f>+C199+$A$197</f>
        <v>0</v>
      </c>
      <c r="D200" s="518"/>
      <c r="E200" s="527">
        <f>+E199+$A$195</f>
        <v>0</v>
      </c>
      <c r="F200" s="526">
        <v>12</v>
      </c>
      <c r="G200" s="510"/>
      <c r="H200" s="517"/>
      <c r="K200" s="522">
        <v>-5.0000000000000004E-6</v>
      </c>
      <c r="L200" s="522">
        <f t="shared" si="35"/>
        <v>5.0000000000000004E-6</v>
      </c>
      <c r="M200" s="561">
        <f t="shared" si="36"/>
        <v>5.0000000000000004E-6</v>
      </c>
      <c r="N200" s="526">
        <f t="shared" si="37"/>
        <v>12</v>
      </c>
    </row>
    <row r="201" spans="1:14" x14ac:dyDescent="0.25">
      <c r="C201" s="528">
        <f>+C200+$A$197</f>
        <v>0</v>
      </c>
      <c r="D201" s="516"/>
      <c r="E201" s="527">
        <f>+E200+$A$195</f>
        <v>0</v>
      </c>
      <c r="F201" s="526">
        <v>13</v>
      </c>
      <c r="G201" s="510"/>
      <c r="H201" s="517"/>
      <c r="K201" s="522">
        <v>-5.0000000000000004E-6</v>
      </c>
      <c r="L201" s="522">
        <f t="shared" si="35"/>
        <v>5.0000000000000004E-6</v>
      </c>
      <c r="M201" s="561">
        <f t="shared" si="36"/>
        <v>5.0000000000000004E-6</v>
      </c>
      <c r="N201" s="526">
        <f t="shared" si="37"/>
        <v>13</v>
      </c>
    </row>
    <row r="202" spans="1:14" x14ac:dyDescent="0.25">
      <c r="C202" s="528">
        <f>+C201+$A$197</f>
        <v>0</v>
      </c>
      <c r="D202" s="516"/>
      <c r="E202" s="527">
        <f>+E201+$A$195</f>
        <v>0</v>
      </c>
      <c r="F202" s="526">
        <v>14</v>
      </c>
      <c r="G202" s="510"/>
      <c r="H202" s="517"/>
      <c r="K202" s="522">
        <v>-1.0000000000000001E-5</v>
      </c>
      <c r="L202" s="522">
        <f t="shared" si="35"/>
        <v>1.0000000000000001E-5</v>
      </c>
      <c r="M202" s="561">
        <f t="shared" si="36"/>
        <v>1.0000000000000001E-5</v>
      </c>
      <c r="N202" s="526">
        <f t="shared" si="37"/>
        <v>14</v>
      </c>
    </row>
    <row r="203" spans="1:14" x14ac:dyDescent="0.25">
      <c r="C203" s="528">
        <f t="shared" ref="C203:C218" si="40">+C202+$A$197</f>
        <v>0</v>
      </c>
      <c r="E203" s="527">
        <f t="shared" ref="E203:E218" si="41">+E202+$A$195</f>
        <v>0</v>
      </c>
      <c r="F203" s="526">
        <v>15</v>
      </c>
      <c r="G203" s="510"/>
      <c r="H203" s="517"/>
      <c r="K203" s="522">
        <v>-2.0000000000000001E-4</v>
      </c>
      <c r="L203" s="522">
        <f t="shared" si="35"/>
        <v>2.0000000000000001E-4</v>
      </c>
      <c r="M203" s="561">
        <f t="shared" si="36"/>
        <v>2.0000000000000001E-4</v>
      </c>
      <c r="N203" s="526">
        <f t="shared" si="37"/>
        <v>15</v>
      </c>
    </row>
    <row r="204" spans="1:14" x14ac:dyDescent="0.25">
      <c r="C204" s="528">
        <f t="shared" si="40"/>
        <v>0</v>
      </c>
      <c r="E204" s="527">
        <f t="shared" si="41"/>
        <v>0</v>
      </c>
      <c r="F204" s="526">
        <v>16</v>
      </c>
      <c r="H204" s="519"/>
      <c r="K204" s="522">
        <v>-4.0000000000000002E-4</v>
      </c>
      <c r="L204" s="522">
        <f t="shared" si="35"/>
        <v>4.0000000000000002E-4</v>
      </c>
      <c r="M204" s="561">
        <f t="shared" si="36"/>
        <v>4.0000000000000002E-4</v>
      </c>
      <c r="N204" s="526">
        <f t="shared" si="37"/>
        <v>16</v>
      </c>
    </row>
    <row r="205" spans="1:14" x14ac:dyDescent="0.25">
      <c r="C205" s="528">
        <f t="shared" si="40"/>
        <v>0</v>
      </c>
      <c r="E205" s="527">
        <f t="shared" si="41"/>
        <v>0</v>
      </c>
      <c r="F205" s="526">
        <v>17</v>
      </c>
      <c r="H205" s="519"/>
      <c r="K205" s="522"/>
      <c r="L205" s="522"/>
      <c r="M205" s="561"/>
      <c r="N205" s="526"/>
    </row>
    <row r="206" spans="1:14" x14ac:dyDescent="0.25">
      <c r="C206" s="528">
        <f t="shared" si="40"/>
        <v>0</v>
      </c>
      <c r="E206" s="527">
        <f t="shared" si="41"/>
        <v>0</v>
      </c>
      <c r="F206" s="526">
        <v>18</v>
      </c>
      <c r="H206" s="519"/>
      <c r="K206" s="522"/>
      <c r="L206" s="522"/>
      <c r="M206" s="561"/>
      <c r="N206" s="526"/>
    </row>
    <row r="207" spans="1:14" x14ac:dyDescent="0.25">
      <c r="C207" s="528">
        <f t="shared" si="40"/>
        <v>0</v>
      </c>
      <c r="E207" s="527">
        <f t="shared" si="41"/>
        <v>0</v>
      </c>
      <c r="F207" s="526">
        <v>19</v>
      </c>
      <c r="H207" s="519"/>
      <c r="K207" s="522"/>
      <c r="L207" s="522"/>
      <c r="M207" s="561"/>
      <c r="N207" s="526"/>
    </row>
    <row r="208" spans="1:14" x14ac:dyDescent="0.25">
      <c r="C208" s="528">
        <f t="shared" si="40"/>
        <v>0</v>
      </c>
      <c r="E208" s="527">
        <f t="shared" si="41"/>
        <v>0</v>
      </c>
      <c r="F208" s="526">
        <v>20</v>
      </c>
      <c r="H208" s="519"/>
      <c r="K208" s="522"/>
      <c r="L208" s="522"/>
      <c r="M208" s="561"/>
      <c r="N208" s="526"/>
    </row>
    <row r="209" spans="1:14" x14ac:dyDescent="0.25">
      <c r="C209" s="528">
        <f t="shared" si="40"/>
        <v>0</v>
      </c>
      <c r="E209" s="527">
        <f t="shared" si="41"/>
        <v>0</v>
      </c>
      <c r="F209" s="526">
        <v>21</v>
      </c>
      <c r="H209" s="519"/>
      <c r="K209" s="522"/>
      <c r="L209" s="522"/>
      <c r="M209" s="561"/>
      <c r="N209" s="526"/>
    </row>
    <row r="210" spans="1:14" x14ac:dyDescent="0.25">
      <c r="C210" s="528">
        <f t="shared" si="40"/>
        <v>0</v>
      </c>
      <c r="E210" s="527">
        <f t="shared" si="41"/>
        <v>0</v>
      </c>
      <c r="F210" s="526">
        <v>22</v>
      </c>
      <c r="H210" s="519"/>
      <c r="K210" s="522"/>
      <c r="L210" s="522"/>
      <c r="M210" s="561"/>
      <c r="N210" s="526"/>
    </row>
    <row r="211" spans="1:14" x14ac:dyDescent="0.25">
      <c r="C211" s="528">
        <f t="shared" si="40"/>
        <v>0</v>
      </c>
      <c r="E211" s="527">
        <f t="shared" si="41"/>
        <v>0</v>
      </c>
      <c r="F211" s="526">
        <v>23</v>
      </c>
      <c r="H211" s="519"/>
      <c r="K211" s="522"/>
      <c r="L211" s="522"/>
      <c r="M211" s="561"/>
      <c r="N211" s="526"/>
    </row>
    <row r="212" spans="1:14" x14ac:dyDescent="0.25">
      <c r="C212" s="528">
        <f t="shared" si="40"/>
        <v>0</v>
      </c>
      <c r="E212" s="527">
        <f t="shared" si="41"/>
        <v>0</v>
      </c>
      <c r="F212" s="526">
        <v>24</v>
      </c>
      <c r="H212" s="519"/>
      <c r="K212" s="522"/>
      <c r="L212" s="522"/>
      <c r="M212" s="561"/>
      <c r="N212" s="526"/>
    </row>
    <row r="213" spans="1:14" x14ac:dyDescent="0.25">
      <c r="C213" s="528">
        <f t="shared" si="40"/>
        <v>0</v>
      </c>
      <c r="E213" s="527">
        <f t="shared" si="41"/>
        <v>0</v>
      </c>
      <c r="F213" s="526">
        <v>25</v>
      </c>
      <c r="H213" s="519"/>
      <c r="K213" s="522"/>
      <c r="L213" s="522"/>
      <c r="M213" s="561"/>
      <c r="N213" s="526"/>
    </row>
    <row r="214" spans="1:14" x14ac:dyDescent="0.25">
      <c r="C214" s="528">
        <f t="shared" si="40"/>
        <v>0</v>
      </c>
      <c r="E214" s="527">
        <f t="shared" si="41"/>
        <v>0</v>
      </c>
      <c r="F214" s="526">
        <v>26</v>
      </c>
      <c r="H214" s="519"/>
      <c r="K214" s="522"/>
      <c r="L214" s="522"/>
      <c r="M214" s="561"/>
      <c r="N214" s="526"/>
    </row>
    <row r="215" spans="1:14" x14ac:dyDescent="0.25">
      <c r="C215" s="528">
        <f t="shared" si="40"/>
        <v>0</v>
      </c>
      <c r="E215" s="527">
        <f t="shared" si="41"/>
        <v>0</v>
      </c>
      <c r="F215" s="526">
        <v>27</v>
      </c>
      <c r="H215" s="519"/>
      <c r="K215" s="522"/>
      <c r="L215" s="522"/>
      <c r="M215" s="561"/>
      <c r="N215" s="526"/>
    </row>
    <row r="216" spans="1:14" x14ac:dyDescent="0.25">
      <c r="C216" s="528">
        <f t="shared" si="40"/>
        <v>0</v>
      </c>
      <c r="E216" s="527">
        <f t="shared" si="41"/>
        <v>0</v>
      </c>
      <c r="F216" s="526">
        <v>28</v>
      </c>
      <c r="H216" s="519"/>
      <c r="K216" s="522"/>
      <c r="L216" s="522"/>
      <c r="M216" s="561"/>
      <c r="N216" s="526"/>
    </row>
    <row r="217" spans="1:14" x14ac:dyDescent="0.25">
      <c r="C217" s="528">
        <f t="shared" si="40"/>
        <v>0</v>
      </c>
      <c r="E217" s="527">
        <f t="shared" si="41"/>
        <v>0</v>
      </c>
      <c r="F217" s="526">
        <v>29</v>
      </c>
      <c r="H217" s="519"/>
      <c r="K217" s="522"/>
      <c r="L217" s="522"/>
      <c r="M217" s="561"/>
      <c r="N217" s="526"/>
    </row>
    <row r="218" spans="1:14" x14ac:dyDescent="0.25">
      <c r="C218" s="528">
        <f t="shared" si="40"/>
        <v>0</v>
      </c>
      <c r="E218" s="527">
        <f t="shared" si="41"/>
        <v>0</v>
      </c>
      <c r="F218" s="526">
        <v>30</v>
      </c>
      <c r="H218" s="519"/>
      <c r="K218" s="522"/>
      <c r="L218" s="522"/>
      <c r="M218" s="561"/>
      <c r="N218" s="526"/>
    </row>
    <row r="219" spans="1:14" x14ac:dyDescent="0.25">
      <c r="C219" s="528"/>
      <c r="E219" s="527"/>
      <c r="F219" s="526"/>
      <c r="H219" s="519"/>
      <c r="K219" s="522"/>
      <c r="L219" s="522"/>
      <c r="M219" s="561"/>
      <c r="N219" s="526"/>
    </row>
    <row r="220" spans="1:14" x14ac:dyDescent="0.25">
      <c r="C220" s="544">
        <f>SUM(C189:C218)</f>
        <v>0</v>
      </c>
      <c r="D220" s="545"/>
      <c r="E220" s="546">
        <f>SUM(E189:E218)</f>
        <v>0</v>
      </c>
      <c r="G220" s="513"/>
      <c r="H220" s="520">
        <f>+E220-A189</f>
        <v>0</v>
      </c>
      <c r="K220" s="522"/>
      <c r="L220" s="566"/>
      <c r="M220" s="563"/>
    </row>
    <row r="221" spans="1:14" x14ac:dyDescent="0.25">
      <c r="C221" s="544"/>
      <c r="D221" s="545"/>
      <c r="E221" s="546"/>
      <c r="G221" s="513"/>
      <c r="H221" s="520"/>
      <c r="K221" s="562"/>
      <c r="L221" s="566"/>
      <c r="M221" s="563"/>
    </row>
    <row r="222" spans="1:14" x14ac:dyDescent="0.25">
      <c r="C222" s="544"/>
      <c r="D222" s="545"/>
      <c r="E222" s="546"/>
      <c r="G222" s="513"/>
      <c r="H222" s="520"/>
      <c r="K222" s="562">
        <f>+A189</f>
        <v>0</v>
      </c>
      <c r="L222" s="566"/>
      <c r="M222" s="563">
        <f>SUM(M189:M221)</f>
        <v>8.1044112393291456E-17</v>
      </c>
    </row>
    <row r="223" spans="1:14" x14ac:dyDescent="0.25">
      <c r="C223" s="544"/>
      <c r="D223" s="545"/>
      <c r="E223" s="546"/>
      <c r="G223" s="513"/>
      <c r="H223" s="520"/>
      <c r="K223" s="562">
        <f>+A191</f>
        <v>0</v>
      </c>
      <c r="L223" s="566">
        <f>+SUM(L189:L221)</f>
        <v>8.1044112393291456E-17</v>
      </c>
      <c r="M223" s="563">
        <f>+K223-L223</f>
        <v>-8.1044112393291456E-17</v>
      </c>
    </row>
    <row r="224" spans="1:14" x14ac:dyDescent="0.25">
      <c r="A224" s="524">
        <v>10</v>
      </c>
      <c r="B224" s="524"/>
      <c r="C224" s="524"/>
      <c r="D224" s="524"/>
      <c r="E224" s="524"/>
      <c r="F224" s="524"/>
      <c r="G224" s="524"/>
      <c r="H224" s="525"/>
      <c r="I224" s="524"/>
      <c r="J224" s="524">
        <f>+A224</f>
        <v>10</v>
      </c>
      <c r="K224">
        <v>1.28466843485615E-2</v>
      </c>
    </row>
    <row r="225" spans="1:8" x14ac:dyDescent="0.25">
      <c r="A225" s="530">
        <f>+'FL F'!F41</f>
        <v>1.7719913781146651E-2</v>
      </c>
      <c r="B225" s="521"/>
      <c r="C225" s="528">
        <f>+A233</f>
        <v>1.1813275854097767E-3</v>
      </c>
      <c r="D225" s="515"/>
      <c r="E225" s="527">
        <f>+A231</f>
        <v>1.1813275854097767E-3</v>
      </c>
      <c r="F225" s="526">
        <v>1</v>
      </c>
      <c r="G225" s="510"/>
      <c r="H225" s="517"/>
    </row>
    <row r="226" spans="1:8" x14ac:dyDescent="0.25">
      <c r="C226" s="528">
        <f>+C225+$A$233</f>
        <v>2.3626551708195533E-3</v>
      </c>
      <c r="D226" s="516"/>
      <c r="E226" s="527">
        <f>+E225+$A$231</f>
        <v>2.3626551708195533E-3</v>
      </c>
      <c r="F226" s="526">
        <v>2</v>
      </c>
      <c r="G226" s="510"/>
      <c r="H226" s="517"/>
    </row>
    <row r="227" spans="1:8" x14ac:dyDescent="0.25">
      <c r="A227" s="522">
        <f>+A225</f>
        <v>1.7719913781146651E-2</v>
      </c>
      <c r="B227" s="522"/>
      <c r="C227" s="528">
        <f>+C226+$A$233</f>
        <v>3.5439827562293302E-3</v>
      </c>
      <c r="D227" s="516"/>
      <c r="E227" s="527">
        <f>+E226+$A$231</f>
        <v>3.5439827562293302E-3</v>
      </c>
      <c r="F227" s="526">
        <v>3</v>
      </c>
      <c r="G227" s="510"/>
      <c r="H227" s="517"/>
    </row>
    <row r="228" spans="1:8" x14ac:dyDescent="0.25">
      <c r="C228" s="528">
        <f>+C227+$A$233</f>
        <v>4.7253103416391067E-3</v>
      </c>
      <c r="D228" s="518"/>
      <c r="E228" s="527">
        <f>+E227+$A$231</f>
        <v>4.7253103416391067E-3</v>
      </c>
      <c r="F228" s="526">
        <v>4</v>
      </c>
      <c r="G228" s="510"/>
      <c r="H228" s="517"/>
    </row>
    <row r="229" spans="1:8" x14ac:dyDescent="0.25">
      <c r="A229" s="532">
        <v>15</v>
      </c>
      <c r="C229" s="528">
        <f>+C228+$A$233</f>
        <v>5.9066379270488831E-3</v>
      </c>
      <c r="D229" s="516"/>
      <c r="E229" s="527">
        <f>+E228+$A$231</f>
        <v>5.9066379270488831E-3</v>
      </c>
      <c r="F229" s="526">
        <v>5</v>
      </c>
      <c r="G229" s="510"/>
      <c r="H229" s="517"/>
    </row>
    <row r="230" spans="1:8" x14ac:dyDescent="0.25">
      <c r="C230" s="528"/>
      <c r="D230" s="516"/>
      <c r="E230" s="527"/>
      <c r="F230" s="526"/>
      <c r="G230" s="510"/>
      <c r="H230" s="517"/>
    </row>
    <row r="231" spans="1:8" x14ac:dyDescent="0.25">
      <c r="A231" s="523">
        <f>+A225/A229</f>
        <v>1.1813275854097767E-3</v>
      </c>
      <c r="B231" s="523"/>
      <c r="C231" s="528"/>
      <c r="D231" s="516"/>
      <c r="E231" s="527"/>
      <c r="F231" s="526"/>
      <c r="G231" s="510"/>
      <c r="H231" s="517"/>
    </row>
    <row r="232" spans="1:8" x14ac:dyDescent="0.25">
      <c r="C232" s="528"/>
      <c r="D232" s="518"/>
      <c r="E232" s="527"/>
      <c r="F232" s="526"/>
      <c r="G232" s="510"/>
      <c r="H232" s="517"/>
    </row>
    <row r="233" spans="1:8" x14ac:dyDescent="0.25">
      <c r="A233" s="522">
        <f>+A227/A229</f>
        <v>1.1813275854097767E-3</v>
      </c>
      <c r="B233" s="522"/>
      <c r="C233" s="528"/>
      <c r="D233" s="516"/>
      <c r="E233" s="527"/>
      <c r="F233" s="526"/>
      <c r="G233" s="510"/>
      <c r="H233" s="517"/>
    </row>
    <row r="234" spans="1:8" x14ac:dyDescent="0.25">
      <c r="C234" s="528"/>
      <c r="D234" s="516"/>
      <c r="E234" s="527"/>
      <c r="F234" s="526"/>
      <c r="G234" s="510"/>
      <c r="H234" s="517"/>
    </row>
    <row r="235" spans="1:8" x14ac:dyDescent="0.25">
      <c r="C235" s="528"/>
      <c r="D235" s="516"/>
      <c r="E235" s="527"/>
      <c r="F235" s="526"/>
      <c r="G235" s="510"/>
      <c r="H235" s="517"/>
    </row>
    <row r="236" spans="1:8" x14ac:dyDescent="0.25">
      <c r="C236" s="528"/>
      <c r="D236" s="518"/>
      <c r="E236" s="527"/>
      <c r="F236" s="526"/>
      <c r="G236" s="510"/>
      <c r="H236" s="517"/>
    </row>
    <row r="237" spans="1:8" x14ac:dyDescent="0.25">
      <c r="C237" s="530"/>
      <c r="D237" s="516"/>
      <c r="E237" s="527"/>
      <c r="F237" s="526"/>
      <c r="G237" s="510"/>
      <c r="H237" s="517"/>
    </row>
    <row r="238" spans="1:8" x14ac:dyDescent="0.25">
      <c r="C238" s="528"/>
      <c r="D238" s="516"/>
      <c r="E238" s="527"/>
      <c r="F238" s="526"/>
      <c r="G238" s="510"/>
      <c r="H238" s="517"/>
    </row>
    <row r="239" spans="1:8" x14ac:dyDescent="0.25">
      <c r="C239" s="528"/>
      <c r="E239" s="527"/>
      <c r="F239" s="526"/>
      <c r="G239" s="510"/>
      <c r="H239" s="517"/>
    </row>
    <row r="240" spans="1:8" x14ac:dyDescent="0.25">
      <c r="C240" s="529"/>
      <c r="H240" s="519"/>
    </row>
    <row r="241" spans="3:8" x14ac:dyDescent="0.25">
      <c r="C241" s="528">
        <f>SUM(C225:C240)</f>
        <v>1.7719913781146651E-2</v>
      </c>
      <c r="E241" s="523">
        <f>SUM(E225:E240)</f>
        <v>1.7719913781146651E-2</v>
      </c>
      <c r="G241" s="513"/>
      <c r="H241" s="520">
        <f>+E241-A225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IH110"/>
  <sheetViews>
    <sheetView zoomScale="55" zoomScaleNormal="55" workbookViewId="0">
      <pane xSplit="2" ySplit="6" topLeftCell="DA61" activePane="bottomRight" state="frozen"/>
      <selection activeCell="EW5" sqref="EW5:FZ5"/>
      <selection pane="topRight" activeCell="EW5" sqref="EW5:FZ5"/>
      <selection pane="bottomLeft" activeCell="EW5" sqref="EW5:FZ5"/>
      <selection pane="bottomRight" activeCell="A3" sqref="A3:IH3"/>
    </sheetView>
  </sheetViews>
  <sheetFormatPr baseColWidth="10" defaultRowHeight="16.5" x14ac:dyDescent="0.25"/>
  <cols>
    <col min="1" max="1" width="8.28515625" style="846" customWidth="1"/>
    <col min="2" max="2" width="33.42578125" style="846" customWidth="1"/>
    <col min="3" max="11" width="1.7109375" style="801" bestFit="1" customWidth="1"/>
    <col min="12" max="32" width="2.42578125" style="801" bestFit="1" customWidth="1"/>
    <col min="33" max="41" width="1.7109375" style="801" bestFit="1" customWidth="1"/>
    <col min="42" max="62" width="2.42578125" style="801" bestFit="1" customWidth="1"/>
    <col min="63" max="71" width="1.7109375" style="801" bestFit="1" customWidth="1"/>
    <col min="72" max="92" width="2.42578125" style="801" bestFit="1" customWidth="1"/>
    <col min="93" max="101" width="1.7109375" style="801" bestFit="1" customWidth="1"/>
    <col min="102" max="122" width="2.42578125" style="801" bestFit="1" customWidth="1"/>
    <col min="123" max="131" width="1.7109375" style="801" bestFit="1" customWidth="1"/>
    <col min="132" max="152" width="2.42578125" style="801" bestFit="1" customWidth="1"/>
    <col min="153" max="161" width="1.7109375" style="801" bestFit="1" customWidth="1"/>
    <col min="162" max="182" width="2.42578125" style="801" bestFit="1" customWidth="1"/>
    <col min="183" max="191" width="1.7109375" style="801" bestFit="1" customWidth="1"/>
    <col min="192" max="212" width="2.42578125" style="801" bestFit="1" customWidth="1"/>
    <col min="213" max="221" width="1.7109375" style="801" bestFit="1" customWidth="1"/>
    <col min="222" max="240" width="2.42578125" style="801" bestFit="1" customWidth="1"/>
    <col min="241" max="242" width="0.28515625" style="801" customWidth="1"/>
    <col min="243" max="247" width="2.7109375" style="801" customWidth="1"/>
    <col min="248" max="16384" width="11.42578125" style="801"/>
  </cols>
  <sheetData>
    <row r="1" spans="1:242" ht="27" customHeight="1" x14ac:dyDescent="0.25">
      <c r="A1" s="1440" t="s">
        <v>975</v>
      </c>
      <c r="B1" s="1440"/>
      <c r="C1" s="1440"/>
      <c r="D1" s="1440"/>
      <c r="E1" s="1440"/>
      <c r="F1" s="1440"/>
      <c r="G1" s="1440"/>
      <c r="H1" s="1440"/>
      <c r="I1" s="1440"/>
      <c r="J1" s="1440"/>
      <c r="K1" s="1440"/>
      <c r="L1" s="1440"/>
      <c r="M1" s="1440"/>
      <c r="N1" s="1440"/>
      <c r="O1" s="1440"/>
      <c r="P1" s="1440"/>
      <c r="Q1" s="1440"/>
      <c r="R1" s="1440"/>
      <c r="S1" s="1440"/>
      <c r="T1" s="1440"/>
      <c r="U1" s="1440"/>
      <c r="V1" s="1440"/>
      <c r="W1" s="1440"/>
      <c r="X1" s="1440"/>
      <c r="Y1" s="1440"/>
      <c r="Z1" s="1440"/>
      <c r="AA1" s="1440"/>
      <c r="AB1" s="1440"/>
      <c r="AC1" s="1440"/>
      <c r="AD1" s="1440"/>
      <c r="AE1" s="1440"/>
      <c r="AF1" s="1440"/>
      <c r="AG1" s="1440"/>
      <c r="AH1" s="1440"/>
      <c r="AI1" s="1440"/>
      <c r="AJ1" s="1440"/>
      <c r="AK1" s="1440"/>
      <c r="AL1" s="1440"/>
      <c r="AM1" s="1440"/>
      <c r="AN1" s="1440"/>
      <c r="AO1" s="1440"/>
      <c r="AP1" s="1440"/>
      <c r="AQ1" s="1440"/>
      <c r="AR1" s="1440"/>
      <c r="AS1" s="1440"/>
      <c r="AT1" s="1440"/>
      <c r="AU1" s="1440"/>
      <c r="AV1" s="1440"/>
      <c r="AW1" s="1440"/>
      <c r="AX1" s="1440"/>
      <c r="AY1" s="1440"/>
      <c r="AZ1" s="1440"/>
      <c r="BA1" s="1440"/>
      <c r="BB1" s="1440"/>
      <c r="BC1" s="1440"/>
      <c r="BD1" s="1440"/>
      <c r="BE1" s="1440"/>
      <c r="BF1" s="1440"/>
      <c r="BG1" s="1440"/>
      <c r="BH1" s="1440"/>
      <c r="BI1" s="1440"/>
      <c r="BJ1" s="1440"/>
      <c r="BK1" s="1440"/>
      <c r="BL1" s="1440"/>
      <c r="BM1" s="1440"/>
      <c r="BN1" s="1440"/>
      <c r="BO1" s="1440"/>
      <c r="BP1" s="1440"/>
      <c r="BQ1" s="1440"/>
      <c r="BR1" s="1440"/>
      <c r="BS1" s="1440"/>
      <c r="BT1" s="1440"/>
      <c r="BU1" s="1440"/>
      <c r="BV1" s="1440"/>
      <c r="BW1" s="1440"/>
      <c r="BX1" s="1440"/>
      <c r="BY1" s="1440"/>
      <c r="BZ1" s="1440"/>
      <c r="CA1" s="1440"/>
      <c r="CB1" s="1440"/>
      <c r="CC1" s="1440"/>
      <c r="CD1" s="1440"/>
      <c r="CE1" s="1440"/>
      <c r="CF1" s="1440"/>
      <c r="CG1" s="1440"/>
      <c r="CH1" s="1440"/>
      <c r="CI1" s="1440"/>
      <c r="CJ1" s="1440"/>
      <c r="CK1" s="1440"/>
      <c r="CL1" s="1440"/>
      <c r="CM1" s="1440"/>
      <c r="CN1" s="1440"/>
      <c r="CO1" s="1440"/>
      <c r="CP1" s="1440"/>
      <c r="CQ1" s="1440"/>
      <c r="CR1" s="1440"/>
      <c r="CS1" s="1440"/>
      <c r="CT1" s="1440"/>
      <c r="CU1" s="1440"/>
      <c r="CV1" s="1440"/>
      <c r="CW1" s="1440"/>
      <c r="CX1" s="1440"/>
      <c r="CY1" s="1440"/>
      <c r="CZ1" s="1440"/>
      <c r="DA1" s="1440"/>
      <c r="DB1" s="1440"/>
      <c r="DC1" s="1440"/>
      <c r="DD1" s="1440"/>
      <c r="DE1" s="1440"/>
      <c r="DF1" s="1440"/>
      <c r="DG1" s="1440"/>
      <c r="DH1" s="1440"/>
      <c r="DI1" s="1440"/>
      <c r="DJ1" s="1440"/>
      <c r="DK1" s="1440"/>
      <c r="DL1" s="1440"/>
      <c r="DM1" s="1440"/>
      <c r="DN1" s="1440"/>
      <c r="DO1" s="1440"/>
      <c r="DP1" s="1440"/>
      <c r="DQ1" s="1440"/>
      <c r="DR1" s="1440"/>
      <c r="DS1" s="1440"/>
      <c r="DT1" s="1440"/>
      <c r="DU1" s="1440"/>
      <c r="DV1" s="1440"/>
      <c r="DW1" s="1440"/>
      <c r="DX1" s="1440"/>
      <c r="DY1" s="1440"/>
      <c r="DZ1" s="1440"/>
      <c r="EA1" s="1440"/>
      <c r="EB1" s="1440"/>
      <c r="EC1" s="1440"/>
      <c r="ED1" s="1440"/>
      <c r="EE1" s="1440"/>
      <c r="EF1" s="1440"/>
      <c r="EG1" s="1440"/>
      <c r="EH1" s="1440"/>
      <c r="EI1" s="1440"/>
      <c r="EJ1" s="1440"/>
      <c r="EK1" s="1440"/>
      <c r="EL1" s="1440"/>
      <c r="EM1" s="1440"/>
      <c r="EN1" s="1440"/>
      <c r="EO1" s="1440"/>
      <c r="EP1" s="1440"/>
      <c r="EQ1" s="1440"/>
      <c r="ER1" s="1440"/>
      <c r="ES1" s="1440"/>
      <c r="ET1" s="1440"/>
      <c r="EU1" s="1440"/>
      <c r="EV1" s="1440"/>
      <c r="EW1" s="1440"/>
      <c r="EX1" s="1440"/>
      <c r="EY1" s="1440"/>
      <c r="EZ1" s="1440"/>
      <c r="FA1" s="1440"/>
      <c r="FB1" s="1440"/>
      <c r="FC1" s="1440"/>
      <c r="FD1" s="1440"/>
      <c r="FE1" s="1440"/>
      <c r="FF1" s="1440"/>
      <c r="FG1" s="1440"/>
      <c r="FH1" s="1440"/>
      <c r="FI1" s="1440"/>
      <c r="FJ1" s="1440"/>
      <c r="FK1" s="1440"/>
      <c r="FL1" s="1440"/>
      <c r="FM1" s="1440"/>
      <c r="FN1" s="1440"/>
      <c r="FO1" s="1440"/>
      <c r="FP1" s="1440"/>
      <c r="FQ1" s="1440"/>
      <c r="FR1" s="1440"/>
      <c r="FS1" s="1440"/>
      <c r="FT1" s="1440"/>
      <c r="FU1" s="1440"/>
      <c r="FV1" s="1440"/>
      <c r="FW1" s="1440"/>
      <c r="FX1" s="1440"/>
      <c r="FY1" s="1440"/>
      <c r="FZ1" s="1440"/>
      <c r="GA1" s="1440"/>
      <c r="GB1" s="1440"/>
      <c r="GC1" s="1440"/>
      <c r="GD1" s="1440"/>
      <c r="GE1" s="1440"/>
      <c r="GF1" s="1440"/>
      <c r="GG1" s="1440"/>
      <c r="GH1" s="1440"/>
      <c r="GI1" s="1440"/>
      <c r="GJ1" s="1440"/>
      <c r="GK1" s="1440"/>
      <c r="GL1" s="1440"/>
      <c r="GM1" s="1440"/>
      <c r="GN1" s="1440"/>
      <c r="GO1" s="1440"/>
      <c r="GP1" s="1440"/>
      <c r="GQ1" s="1440"/>
      <c r="GR1" s="1440"/>
      <c r="GS1" s="1440"/>
      <c r="GT1" s="1440"/>
      <c r="GU1" s="1440"/>
      <c r="GV1" s="1440"/>
      <c r="GW1" s="1440"/>
      <c r="GX1" s="1440"/>
      <c r="GY1" s="1440"/>
      <c r="GZ1" s="1440"/>
      <c r="HA1" s="1440"/>
      <c r="HB1" s="1440"/>
      <c r="HC1" s="1440"/>
      <c r="HD1" s="1440"/>
      <c r="HE1" s="1440"/>
      <c r="HF1" s="1440"/>
      <c r="HG1" s="1440"/>
      <c r="HH1" s="1440"/>
      <c r="HI1" s="1440"/>
      <c r="HJ1" s="1440"/>
      <c r="HK1" s="1440"/>
      <c r="HL1" s="1440"/>
      <c r="HM1" s="1440"/>
      <c r="HN1" s="1440"/>
      <c r="HO1" s="1440"/>
      <c r="HP1" s="1440"/>
      <c r="HQ1" s="1440"/>
      <c r="HR1" s="1440"/>
      <c r="HS1" s="1440"/>
      <c r="HT1" s="1440"/>
      <c r="HU1" s="1440"/>
      <c r="HV1" s="1440"/>
      <c r="HW1" s="1440"/>
      <c r="HX1" s="1440"/>
      <c r="HY1" s="1440"/>
      <c r="HZ1" s="1440"/>
      <c r="IA1" s="1440"/>
      <c r="IB1" s="1440"/>
      <c r="IC1" s="1440"/>
      <c r="ID1" s="1440"/>
      <c r="IE1" s="1440"/>
      <c r="IF1" s="1440"/>
      <c r="IG1" s="1440"/>
      <c r="IH1" s="1440"/>
    </row>
    <row r="2" spans="1:242" ht="27" customHeight="1" x14ac:dyDescent="0.25">
      <c r="A2" s="1441" t="str">
        <f>+P.Detall!B5</f>
        <v>MEJORAMIENTO VÍA LA LAGUNA, SALINAS, LOS OLIVOS</v>
      </c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1442"/>
      <c r="Q2" s="1442"/>
      <c r="R2" s="1442"/>
      <c r="S2" s="1442"/>
      <c r="T2" s="1442"/>
      <c r="U2" s="1442"/>
      <c r="V2" s="1442"/>
      <c r="W2" s="1442"/>
      <c r="X2" s="1442"/>
      <c r="Y2" s="1442"/>
      <c r="Z2" s="1442"/>
      <c r="AA2" s="1442"/>
      <c r="AB2" s="1442"/>
      <c r="AC2" s="1442"/>
      <c r="AD2" s="1442"/>
      <c r="AE2" s="1442"/>
      <c r="AF2" s="1442"/>
      <c r="AG2" s="1442"/>
      <c r="AH2" s="1442"/>
      <c r="AI2" s="1442"/>
      <c r="AJ2" s="1442"/>
      <c r="AK2" s="1442"/>
      <c r="AL2" s="1442"/>
      <c r="AM2" s="1442"/>
      <c r="AN2" s="1442"/>
      <c r="AO2" s="1442"/>
      <c r="AP2" s="1442"/>
      <c r="AQ2" s="1442"/>
      <c r="AR2" s="1442"/>
      <c r="AS2" s="1442"/>
      <c r="AT2" s="1442"/>
      <c r="AU2" s="1442"/>
      <c r="AV2" s="1442"/>
      <c r="AW2" s="1442"/>
      <c r="AX2" s="1442"/>
      <c r="AY2" s="1442"/>
      <c r="AZ2" s="1442"/>
      <c r="BA2" s="1442"/>
      <c r="BB2" s="1442"/>
      <c r="BC2" s="1442"/>
      <c r="BD2" s="1442"/>
      <c r="BE2" s="1442"/>
      <c r="BF2" s="1442"/>
      <c r="BG2" s="1442"/>
      <c r="BH2" s="1442"/>
      <c r="BI2" s="1442"/>
      <c r="BJ2" s="1442"/>
      <c r="BK2" s="1442"/>
      <c r="BL2" s="1442"/>
      <c r="BM2" s="1442"/>
      <c r="BN2" s="1442"/>
      <c r="BO2" s="1442"/>
      <c r="BP2" s="1442"/>
      <c r="BQ2" s="1442"/>
      <c r="BR2" s="1442"/>
      <c r="BS2" s="1442"/>
      <c r="BT2" s="1442"/>
      <c r="BU2" s="1442"/>
      <c r="BV2" s="1442"/>
      <c r="BW2" s="1442"/>
      <c r="BX2" s="1442"/>
      <c r="BY2" s="1442"/>
      <c r="BZ2" s="1442"/>
      <c r="CA2" s="1442"/>
      <c r="CB2" s="1442"/>
      <c r="CC2" s="1442"/>
      <c r="CD2" s="1442"/>
      <c r="CE2" s="1442"/>
      <c r="CF2" s="1442"/>
      <c r="CG2" s="1442"/>
      <c r="CH2" s="1442"/>
      <c r="CI2" s="1442"/>
      <c r="CJ2" s="1442"/>
      <c r="CK2" s="1442"/>
      <c r="CL2" s="1442"/>
      <c r="CM2" s="1442"/>
      <c r="CN2" s="1442"/>
      <c r="CO2" s="1442"/>
      <c r="CP2" s="1442"/>
      <c r="CQ2" s="1442"/>
      <c r="CR2" s="1442"/>
      <c r="CS2" s="1442"/>
      <c r="CT2" s="1442"/>
      <c r="CU2" s="1442"/>
      <c r="CV2" s="1442"/>
      <c r="CW2" s="1442"/>
      <c r="CX2" s="1442"/>
      <c r="CY2" s="1442"/>
      <c r="CZ2" s="1442"/>
      <c r="DA2" s="1442"/>
      <c r="DB2" s="1442"/>
      <c r="DC2" s="1442"/>
      <c r="DD2" s="1442"/>
      <c r="DE2" s="1442"/>
      <c r="DF2" s="1442"/>
      <c r="DG2" s="1442"/>
      <c r="DH2" s="1442"/>
      <c r="DI2" s="1442"/>
      <c r="DJ2" s="1442"/>
      <c r="DK2" s="1442"/>
      <c r="DL2" s="1442"/>
      <c r="DM2" s="1442"/>
      <c r="DN2" s="1442"/>
      <c r="DO2" s="1442"/>
      <c r="DP2" s="1442"/>
      <c r="DQ2" s="1442"/>
      <c r="DR2" s="1442"/>
      <c r="DS2" s="1442"/>
      <c r="DT2" s="1442"/>
      <c r="DU2" s="1442"/>
      <c r="DV2" s="1442"/>
      <c r="DW2" s="1442"/>
      <c r="DX2" s="1442"/>
      <c r="DY2" s="1442"/>
      <c r="DZ2" s="1442"/>
      <c r="EA2" s="1442"/>
      <c r="EB2" s="1442"/>
      <c r="EC2" s="1442"/>
      <c r="ED2" s="1442"/>
      <c r="EE2" s="1442"/>
      <c r="EF2" s="1442"/>
      <c r="EG2" s="1442"/>
      <c r="EH2" s="1442"/>
      <c r="EI2" s="1442"/>
      <c r="EJ2" s="1442"/>
      <c r="EK2" s="1442"/>
      <c r="EL2" s="1442"/>
      <c r="EM2" s="1442"/>
      <c r="EN2" s="1442"/>
      <c r="EO2" s="1442"/>
      <c r="EP2" s="1442"/>
      <c r="EQ2" s="1442"/>
      <c r="ER2" s="1442"/>
      <c r="ES2" s="1442"/>
      <c r="ET2" s="1442"/>
      <c r="EU2" s="1442"/>
      <c r="EV2" s="1442"/>
      <c r="EW2" s="1442"/>
      <c r="EX2" s="1442"/>
      <c r="EY2" s="1442"/>
      <c r="EZ2" s="1442"/>
      <c r="FA2" s="1442"/>
      <c r="FB2" s="1442"/>
      <c r="FC2" s="1442"/>
      <c r="FD2" s="1442"/>
      <c r="FE2" s="1442"/>
      <c r="FF2" s="1442"/>
      <c r="FG2" s="1442"/>
      <c r="FH2" s="1442"/>
      <c r="FI2" s="1442"/>
      <c r="FJ2" s="1442"/>
      <c r="FK2" s="1442"/>
      <c r="FL2" s="1442"/>
      <c r="FM2" s="1442"/>
      <c r="FN2" s="1442"/>
      <c r="FO2" s="1442"/>
      <c r="FP2" s="1442"/>
      <c r="FQ2" s="1442"/>
      <c r="FR2" s="1442"/>
      <c r="FS2" s="1442"/>
      <c r="FT2" s="1442"/>
      <c r="FU2" s="1442"/>
      <c r="FV2" s="1442"/>
      <c r="FW2" s="1442"/>
      <c r="FX2" s="1442"/>
      <c r="FY2" s="1442"/>
      <c r="FZ2" s="1442"/>
      <c r="GA2" s="1442"/>
      <c r="GB2" s="1442"/>
      <c r="GC2" s="1442"/>
      <c r="GD2" s="1442"/>
      <c r="GE2" s="1442"/>
      <c r="GF2" s="1442"/>
      <c r="GG2" s="1442"/>
      <c r="GH2" s="1442"/>
      <c r="GI2" s="1442"/>
      <c r="GJ2" s="1442"/>
      <c r="GK2" s="1442"/>
      <c r="GL2" s="1442"/>
      <c r="GM2" s="1442"/>
      <c r="GN2" s="1442"/>
      <c r="GO2" s="1442"/>
      <c r="GP2" s="1442"/>
      <c r="GQ2" s="1442"/>
      <c r="GR2" s="1442"/>
      <c r="GS2" s="1442"/>
      <c r="GT2" s="1442"/>
      <c r="GU2" s="1442"/>
      <c r="GV2" s="1442"/>
      <c r="GW2" s="1442"/>
      <c r="GX2" s="1442"/>
      <c r="GY2" s="1442"/>
      <c r="GZ2" s="1442"/>
      <c r="HA2" s="1442"/>
      <c r="HB2" s="1442"/>
      <c r="HC2" s="1442"/>
      <c r="HD2" s="1442"/>
      <c r="HE2" s="1442"/>
      <c r="HF2" s="1442"/>
      <c r="HG2" s="1442"/>
      <c r="HH2" s="1442"/>
      <c r="HI2" s="1442"/>
      <c r="HJ2" s="1442"/>
      <c r="HK2" s="1442"/>
      <c r="HL2" s="1442"/>
      <c r="HM2" s="1442"/>
      <c r="HN2" s="1442"/>
      <c r="HO2" s="1442"/>
      <c r="HP2" s="1442"/>
      <c r="HQ2" s="1442"/>
      <c r="HR2" s="1442"/>
      <c r="HS2" s="1442"/>
      <c r="HT2" s="1442"/>
      <c r="HU2" s="1442"/>
      <c r="HV2" s="1442"/>
      <c r="HW2" s="1442"/>
      <c r="HX2" s="1442"/>
      <c r="HY2" s="1442"/>
      <c r="HZ2" s="1442"/>
      <c r="IA2" s="1442"/>
      <c r="IB2" s="1442"/>
      <c r="IC2" s="1442"/>
      <c r="ID2" s="1442"/>
      <c r="IE2" s="1442"/>
      <c r="IF2" s="1442"/>
      <c r="IG2" s="1442"/>
      <c r="IH2" s="1442"/>
    </row>
    <row r="3" spans="1:242" ht="27" customHeight="1" x14ac:dyDescent="0.25">
      <c r="A3" s="1441"/>
      <c r="B3" s="1442"/>
      <c r="C3" s="1442"/>
      <c r="D3" s="1442"/>
      <c r="E3" s="1442"/>
      <c r="F3" s="1442"/>
      <c r="G3" s="1442"/>
      <c r="H3" s="1442"/>
      <c r="I3" s="1442"/>
      <c r="J3" s="1442"/>
      <c r="K3" s="1442"/>
      <c r="L3" s="1442"/>
      <c r="M3" s="1442"/>
      <c r="N3" s="1442"/>
      <c r="O3" s="1442"/>
      <c r="P3" s="1442"/>
      <c r="Q3" s="1442"/>
      <c r="R3" s="1442"/>
      <c r="S3" s="1442"/>
      <c r="T3" s="1442"/>
      <c r="U3" s="1442"/>
      <c r="V3" s="1442"/>
      <c r="W3" s="1442"/>
      <c r="X3" s="1442"/>
      <c r="Y3" s="1442"/>
      <c r="Z3" s="1442"/>
      <c r="AA3" s="1442"/>
      <c r="AB3" s="1442"/>
      <c r="AC3" s="1442"/>
      <c r="AD3" s="1442"/>
      <c r="AE3" s="1442"/>
      <c r="AF3" s="1442"/>
      <c r="AG3" s="1442"/>
      <c r="AH3" s="1442"/>
      <c r="AI3" s="1442"/>
      <c r="AJ3" s="1442"/>
      <c r="AK3" s="1442"/>
      <c r="AL3" s="1442"/>
      <c r="AM3" s="1442"/>
      <c r="AN3" s="1442"/>
      <c r="AO3" s="1442"/>
      <c r="AP3" s="1442"/>
      <c r="AQ3" s="1442"/>
      <c r="AR3" s="1442"/>
      <c r="AS3" s="1442"/>
      <c r="AT3" s="1442"/>
      <c r="AU3" s="1442"/>
      <c r="AV3" s="1442"/>
      <c r="AW3" s="1442"/>
      <c r="AX3" s="1442"/>
      <c r="AY3" s="1442"/>
      <c r="AZ3" s="1442"/>
      <c r="BA3" s="1442"/>
      <c r="BB3" s="1442"/>
      <c r="BC3" s="1442"/>
      <c r="BD3" s="1442"/>
      <c r="BE3" s="1442"/>
      <c r="BF3" s="1442"/>
      <c r="BG3" s="1442"/>
      <c r="BH3" s="1442"/>
      <c r="BI3" s="1442"/>
      <c r="BJ3" s="1442"/>
      <c r="BK3" s="1442"/>
      <c r="BL3" s="1442"/>
      <c r="BM3" s="1442"/>
      <c r="BN3" s="1442"/>
      <c r="BO3" s="1442"/>
      <c r="BP3" s="1442"/>
      <c r="BQ3" s="1442"/>
      <c r="BR3" s="1442"/>
      <c r="BS3" s="1442"/>
      <c r="BT3" s="1442"/>
      <c r="BU3" s="1442"/>
      <c r="BV3" s="1442"/>
      <c r="BW3" s="1442"/>
      <c r="BX3" s="1442"/>
      <c r="BY3" s="1442"/>
      <c r="BZ3" s="1442"/>
      <c r="CA3" s="1442"/>
      <c r="CB3" s="1442"/>
      <c r="CC3" s="1442"/>
      <c r="CD3" s="1442"/>
      <c r="CE3" s="1442"/>
      <c r="CF3" s="1442"/>
      <c r="CG3" s="1442"/>
      <c r="CH3" s="1442"/>
      <c r="CI3" s="1442"/>
      <c r="CJ3" s="1442"/>
      <c r="CK3" s="1442"/>
      <c r="CL3" s="1442"/>
      <c r="CM3" s="1442"/>
      <c r="CN3" s="1442"/>
      <c r="CO3" s="1442"/>
      <c r="CP3" s="1442"/>
      <c r="CQ3" s="1442"/>
      <c r="CR3" s="1442"/>
      <c r="CS3" s="1442"/>
      <c r="CT3" s="1442"/>
      <c r="CU3" s="1442"/>
      <c r="CV3" s="1442"/>
      <c r="CW3" s="1442"/>
      <c r="CX3" s="1442"/>
      <c r="CY3" s="1442"/>
      <c r="CZ3" s="1442"/>
      <c r="DA3" s="1442"/>
      <c r="DB3" s="1442"/>
      <c r="DC3" s="1442"/>
      <c r="DD3" s="1442"/>
      <c r="DE3" s="1442"/>
      <c r="DF3" s="1442"/>
      <c r="DG3" s="1442"/>
      <c r="DH3" s="1442"/>
      <c r="DI3" s="1442"/>
      <c r="DJ3" s="1442"/>
      <c r="DK3" s="1442"/>
      <c r="DL3" s="1442"/>
      <c r="DM3" s="1442"/>
      <c r="DN3" s="1442"/>
      <c r="DO3" s="1442"/>
      <c r="DP3" s="1442"/>
      <c r="DQ3" s="1442"/>
      <c r="DR3" s="1442"/>
      <c r="DS3" s="1442"/>
      <c r="DT3" s="1442"/>
      <c r="DU3" s="1442"/>
      <c r="DV3" s="1442"/>
      <c r="DW3" s="1442"/>
      <c r="DX3" s="1442"/>
      <c r="DY3" s="1442"/>
      <c r="DZ3" s="1442"/>
      <c r="EA3" s="1442"/>
      <c r="EB3" s="1442"/>
      <c r="EC3" s="1442"/>
      <c r="ED3" s="1442"/>
      <c r="EE3" s="1442"/>
      <c r="EF3" s="1442"/>
      <c r="EG3" s="1442"/>
      <c r="EH3" s="1442"/>
      <c r="EI3" s="1442"/>
      <c r="EJ3" s="1442"/>
      <c r="EK3" s="1442"/>
      <c r="EL3" s="1442"/>
      <c r="EM3" s="1442"/>
      <c r="EN3" s="1442"/>
      <c r="EO3" s="1442"/>
      <c r="EP3" s="1442"/>
      <c r="EQ3" s="1442"/>
      <c r="ER3" s="1442"/>
      <c r="ES3" s="1442"/>
      <c r="ET3" s="1442"/>
      <c r="EU3" s="1442"/>
      <c r="EV3" s="1442"/>
      <c r="EW3" s="1442"/>
      <c r="EX3" s="1442"/>
      <c r="EY3" s="1442"/>
      <c r="EZ3" s="1442"/>
      <c r="FA3" s="1442"/>
      <c r="FB3" s="1442"/>
      <c r="FC3" s="1442"/>
      <c r="FD3" s="1442"/>
      <c r="FE3" s="1442"/>
      <c r="FF3" s="1442"/>
      <c r="FG3" s="1442"/>
      <c r="FH3" s="1442"/>
      <c r="FI3" s="1442"/>
      <c r="FJ3" s="1442"/>
      <c r="FK3" s="1442"/>
      <c r="FL3" s="1442"/>
      <c r="FM3" s="1442"/>
      <c r="FN3" s="1442"/>
      <c r="FO3" s="1442"/>
      <c r="FP3" s="1442"/>
      <c r="FQ3" s="1442"/>
      <c r="FR3" s="1442"/>
      <c r="FS3" s="1442"/>
      <c r="FT3" s="1442"/>
      <c r="FU3" s="1442"/>
      <c r="FV3" s="1442"/>
      <c r="FW3" s="1442"/>
      <c r="FX3" s="1442"/>
      <c r="FY3" s="1442"/>
      <c r="FZ3" s="1442"/>
      <c r="GA3" s="1442"/>
      <c r="GB3" s="1442"/>
      <c r="GC3" s="1442"/>
      <c r="GD3" s="1442"/>
      <c r="GE3" s="1442"/>
      <c r="GF3" s="1442"/>
      <c r="GG3" s="1442"/>
      <c r="GH3" s="1442"/>
      <c r="GI3" s="1442"/>
      <c r="GJ3" s="1442"/>
      <c r="GK3" s="1442"/>
      <c r="GL3" s="1442"/>
      <c r="GM3" s="1442"/>
      <c r="GN3" s="1442"/>
      <c r="GO3" s="1442"/>
      <c r="GP3" s="1442"/>
      <c r="GQ3" s="1442"/>
      <c r="GR3" s="1442"/>
      <c r="GS3" s="1442"/>
      <c r="GT3" s="1442"/>
      <c r="GU3" s="1442"/>
      <c r="GV3" s="1442"/>
      <c r="GW3" s="1442"/>
      <c r="GX3" s="1442"/>
      <c r="GY3" s="1442"/>
      <c r="GZ3" s="1442"/>
      <c r="HA3" s="1442"/>
      <c r="HB3" s="1442"/>
      <c r="HC3" s="1442"/>
      <c r="HD3" s="1442"/>
      <c r="HE3" s="1442"/>
      <c r="HF3" s="1442"/>
      <c r="HG3" s="1442"/>
      <c r="HH3" s="1442"/>
      <c r="HI3" s="1442"/>
      <c r="HJ3" s="1442"/>
      <c r="HK3" s="1442"/>
      <c r="HL3" s="1442"/>
      <c r="HM3" s="1442"/>
      <c r="HN3" s="1442"/>
      <c r="HO3" s="1442"/>
      <c r="HP3" s="1442"/>
      <c r="HQ3" s="1442"/>
      <c r="HR3" s="1442"/>
      <c r="HS3" s="1442"/>
      <c r="HT3" s="1442"/>
      <c r="HU3" s="1442"/>
      <c r="HV3" s="1442"/>
      <c r="HW3" s="1442"/>
      <c r="HX3" s="1442"/>
      <c r="HY3" s="1442"/>
      <c r="HZ3" s="1442"/>
      <c r="IA3" s="1442"/>
      <c r="IB3" s="1442"/>
      <c r="IC3" s="1442"/>
      <c r="ID3" s="1442"/>
      <c r="IE3" s="1442"/>
      <c r="IF3" s="1442"/>
      <c r="IG3" s="1442"/>
      <c r="IH3" s="1442"/>
    </row>
    <row r="4" spans="1:242" s="803" customFormat="1" ht="26.25" thickBot="1" x14ac:dyDescent="0.3">
      <c r="A4" s="802"/>
      <c r="B4" s="802"/>
      <c r="C4" s="802"/>
      <c r="D4" s="802"/>
      <c r="E4" s="802"/>
      <c r="F4" s="802"/>
      <c r="G4" s="802"/>
      <c r="H4" s="802"/>
      <c r="I4" s="802"/>
      <c r="J4" s="802"/>
      <c r="K4" s="802"/>
      <c r="L4" s="802"/>
      <c r="M4" s="802"/>
      <c r="N4" s="802"/>
      <c r="O4" s="802"/>
      <c r="P4" s="802"/>
      <c r="Q4" s="802"/>
      <c r="R4" s="802"/>
      <c r="S4" s="802"/>
      <c r="T4" s="802"/>
      <c r="U4" s="802"/>
      <c r="V4" s="802"/>
      <c r="W4" s="802"/>
      <c r="X4" s="802"/>
      <c r="Y4" s="802"/>
      <c r="Z4" s="802"/>
      <c r="AA4" s="802"/>
      <c r="AB4" s="802"/>
      <c r="AC4" s="802"/>
      <c r="AD4" s="802"/>
      <c r="AE4" s="802"/>
      <c r="AF4" s="802"/>
      <c r="AG4" s="802"/>
      <c r="AH4" s="802"/>
      <c r="AI4" s="802"/>
      <c r="AJ4" s="802"/>
      <c r="AK4" s="802"/>
      <c r="AL4" s="802"/>
      <c r="AM4" s="802"/>
      <c r="AN4" s="802"/>
      <c r="AO4" s="802"/>
      <c r="AP4" s="802"/>
      <c r="AQ4" s="802"/>
      <c r="AR4" s="802"/>
      <c r="AS4" s="802"/>
      <c r="AT4" s="802"/>
      <c r="AU4" s="802"/>
      <c r="AV4" s="802"/>
      <c r="AW4" s="802"/>
      <c r="AX4" s="802"/>
      <c r="AY4" s="802"/>
      <c r="AZ4" s="802"/>
      <c r="BA4" s="802"/>
      <c r="BB4" s="802"/>
      <c r="BC4" s="802"/>
      <c r="BD4" s="802"/>
      <c r="BE4" s="802"/>
      <c r="BF4" s="802"/>
      <c r="BG4" s="802"/>
      <c r="BH4" s="802"/>
      <c r="BI4" s="802"/>
      <c r="BJ4" s="802"/>
      <c r="BK4" s="802"/>
      <c r="BL4" s="802"/>
      <c r="BM4" s="802"/>
      <c r="BN4" s="802"/>
      <c r="BO4" s="802"/>
      <c r="BP4" s="802"/>
      <c r="BQ4" s="802"/>
      <c r="BR4" s="802"/>
      <c r="BS4" s="802"/>
      <c r="BT4" s="802"/>
      <c r="BU4" s="802"/>
      <c r="BV4" s="802"/>
      <c r="BW4" s="802"/>
      <c r="BX4" s="802"/>
      <c r="BY4" s="802"/>
      <c r="BZ4" s="802"/>
      <c r="CA4" s="802"/>
      <c r="CB4" s="802"/>
      <c r="CC4" s="802"/>
      <c r="CD4" s="802"/>
      <c r="CE4" s="802"/>
      <c r="CF4" s="802"/>
      <c r="CG4" s="802"/>
      <c r="CH4" s="802"/>
      <c r="CI4" s="802"/>
      <c r="CJ4" s="802"/>
      <c r="CK4" s="802"/>
      <c r="CL4" s="802"/>
      <c r="CM4" s="802"/>
      <c r="CN4" s="802"/>
      <c r="CO4" s="802"/>
      <c r="CP4" s="802"/>
      <c r="CQ4" s="802"/>
      <c r="CR4" s="802"/>
      <c r="CS4" s="802"/>
      <c r="CT4" s="802"/>
      <c r="CU4" s="802"/>
      <c r="CV4" s="802"/>
      <c r="CW4" s="802"/>
      <c r="CX4" s="802"/>
      <c r="CY4" s="802"/>
      <c r="CZ4" s="802"/>
      <c r="DA4" s="802"/>
      <c r="DB4" s="802"/>
      <c r="DC4" s="802"/>
      <c r="DD4" s="802"/>
      <c r="DE4" s="802"/>
      <c r="DF4" s="802"/>
      <c r="DG4" s="802"/>
      <c r="DH4" s="802"/>
      <c r="DI4" s="802"/>
      <c r="DJ4" s="802"/>
      <c r="DK4" s="802"/>
      <c r="DL4" s="802"/>
      <c r="DM4" s="802"/>
      <c r="DN4" s="802"/>
      <c r="DO4" s="802"/>
      <c r="DP4" s="802"/>
      <c r="DQ4" s="802"/>
      <c r="DR4" s="802"/>
      <c r="DS4" s="802"/>
      <c r="DT4" s="802"/>
      <c r="DU4" s="802"/>
      <c r="DV4" s="802"/>
      <c r="DW4" s="802"/>
      <c r="DX4" s="802"/>
      <c r="DY4" s="802"/>
      <c r="DZ4" s="802"/>
      <c r="EA4" s="802"/>
      <c r="EB4" s="802"/>
      <c r="EC4" s="802"/>
      <c r="ED4" s="802"/>
      <c r="EE4" s="802"/>
      <c r="EF4" s="802"/>
      <c r="EG4" s="802"/>
      <c r="EH4" s="802"/>
      <c r="EI4" s="802"/>
      <c r="EJ4" s="802"/>
      <c r="EK4" s="802"/>
      <c r="EL4" s="802"/>
      <c r="EM4" s="802"/>
      <c r="EN4" s="802"/>
      <c r="EO4" s="802"/>
      <c r="EP4" s="802"/>
      <c r="EQ4" s="802"/>
      <c r="ER4" s="802"/>
      <c r="ES4" s="802"/>
      <c r="ET4" s="802"/>
      <c r="EU4" s="802"/>
      <c r="EV4" s="802"/>
      <c r="EW4" s="802"/>
      <c r="EX4" s="802"/>
      <c r="EY4" s="802"/>
      <c r="EZ4" s="802"/>
      <c r="FA4" s="802"/>
      <c r="FB4" s="802"/>
      <c r="FC4" s="802"/>
      <c r="FD4" s="802"/>
      <c r="FE4" s="802"/>
      <c r="FF4" s="802"/>
      <c r="FG4" s="802"/>
      <c r="FH4" s="802"/>
      <c r="FI4" s="802"/>
      <c r="FJ4" s="802"/>
      <c r="FK4" s="802"/>
      <c r="FL4" s="802"/>
      <c r="FM4" s="802"/>
      <c r="FN4" s="802"/>
      <c r="FO4" s="802"/>
      <c r="FP4" s="802"/>
      <c r="FQ4" s="802"/>
      <c r="FR4" s="802"/>
      <c r="FS4" s="802"/>
      <c r="FT4" s="802"/>
      <c r="FU4" s="802"/>
      <c r="FV4" s="802"/>
      <c r="FW4" s="802"/>
      <c r="FX4" s="802"/>
      <c r="FY4" s="802"/>
      <c r="FZ4" s="802"/>
      <c r="GA4" s="802"/>
      <c r="GB4" s="802"/>
      <c r="GC4" s="802"/>
      <c r="GD4" s="802"/>
      <c r="GE4" s="802"/>
      <c r="GF4" s="802"/>
      <c r="GG4" s="802"/>
      <c r="GH4" s="802"/>
      <c r="GI4" s="802"/>
      <c r="GJ4" s="802"/>
      <c r="GK4" s="802"/>
      <c r="GL4" s="802"/>
      <c r="GM4" s="802"/>
      <c r="GN4" s="802"/>
      <c r="GO4" s="802"/>
      <c r="GP4" s="802"/>
      <c r="GQ4" s="802"/>
      <c r="GR4" s="802"/>
      <c r="GS4" s="802"/>
      <c r="GT4" s="802"/>
      <c r="GU4" s="802"/>
      <c r="GV4" s="802"/>
      <c r="GW4" s="802"/>
      <c r="GX4" s="802"/>
      <c r="GY4" s="802"/>
      <c r="GZ4" s="802"/>
      <c r="HA4" s="802"/>
      <c r="HB4" s="802"/>
      <c r="HC4" s="802"/>
      <c r="HD4" s="802"/>
      <c r="HE4" s="802"/>
      <c r="HF4" s="802"/>
      <c r="HG4" s="802"/>
      <c r="HH4" s="802"/>
      <c r="HI4" s="802"/>
      <c r="HJ4" s="802"/>
      <c r="HK4" s="802"/>
      <c r="HL4" s="802"/>
      <c r="HM4" s="802"/>
      <c r="HN4" s="802"/>
      <c r="HO4" s="802"/>
      <c r="HP4" s="802"/>
      <c r="HQ4" s="802"/>
      <c r="HR4" s="802"/>
      <c r="HS4" s="802"/>
      <c r="HT4" s="802"/>
      <c r="HU4" s="802"/>
      <c r="HV4" s="802"/>
      <c r="HW4" s="802"/>
      <c r="HX4" s="802"/>
      <c r="HY4" s="802"/>
      <c r="HZ4" s="802"/>
      <c r="IA4" s="802"/>
      <c r="IB4" s="802"/>
      <c r="IC4" s="802"/>
      <c r="ID4" s="802"/>
      <c r="IE4" s="802"/>
      <c r="IF4" s="802"/>
      <c r="IG4" s="802"/>
      <c r="IH4" s="802"/>
    </row>
    <row r="5" spans="1:242" s="804" customFormat="1" ht="15" customHeight="1" x14ac:dyDescent="0.25">
      <c r="A5" s="1443" t="s">
        <v>976</v>
      </c>
      <c r="B5" s="1444"/>
      <c r="C5" s="1445" t="s">
        <v>846</v>
      </c>
      <c r="D5" s="1446"/>
      <c r="E5" s="1446"/>
      <c r="F5" s="1446"/>
      <c r="G5" s="1446"/>
      <c r="H5" s="1446"/>
      <c r="I5" s="1446"/>
      <c r="J5" s="1446"/>
      <c r="K5" s="1446"/>
      <c r="L5" s="1446"/>
      <c r="M5" s="1446"/>
      <c r="N5" s="1446"/>
      <c r="O5" s="1446"/>
      <c r="P5" s="1446"/>
      <c r="Q5" s="1446"/>
      <c r="R5" s="1446"/>
      <c r="S5" s="1446"/>
      <c r="T5" s="1446"/>
      <c r="U5" s="1446"/>
      <c r="V5" s="1446"/>
      <c r="W5" s="1446"/>
      <c r="X5" s="1446"/>
      <c r="Y5" s="1446"/>
      <c r="Z5" s="1446"/>
      <c r="AA5" s="1446"/>
      <c r="AB5" s="1446"/>
      <c r="AC5" s="1446"/>
      <c r="AD5" s="1446"/>
      <c r="AE5" s="1446"/>
      <c r="AF5" s="1447"/>
      <c r="AG5" s="1445" t="s">
        <v>847</v>
      </c>
      <c r="AH5" s="1446"/>
      <c r="AI5" s="1446"/>
      <c r="AJ5" s="1446"/>
      <c r="AK5" s="1446"/>
      <c r="AL5" s="1446"/>
      <c r="AM5" s="1446"/>
      <c r="AN5" s="1446"/>
      <c r="AO5" s="1446"/>
      <c r="AP5" s="1446"/>
      <c r="AQ5" s="1446"/>
      <c r="AR5" s="1446"/>
      <c r="AS5" s="1446"/>
      <c r="AT5" s="1446"/>
      <c r="AU5" s="1446"/>
      <c r="AV5" s="1446"/>
      <c r="AW5" s="1446"/>
      <c r="AX5" s="1446"/>
      <c r="AY5" s="1446"/>
      <c r="AZ5" s="1446"/>
      <c r="BA5" s="1446"/>
      <c r="BB5" s="1446"/>
      <c r="BC5" s="1446"/>
      <c r="BD5" s="1446"/>
      <c r="BE5" s="1446"/>
      <c r="BF5" s="1446"/>
      <c r="BG5" s="1446"/>
      <c r="BH5" s="1446"/>
      <c r="BI5" s="1446"/>
      <c r="BJ5" s="1447"/>
      <c r="BK5" s="1445" t="s">
        <v>848</v>
      </c>
      <c r="BL5" s="1446"/>
      <c r="BM5" s="1446"/>
      <c r="BN5" s="1446"/>
      <c r="BO5" s="1446"/>
      <c r="BP5" s="1446"/>
      <c r="BQ5" s="1446"/>
      <c r="BR5" s="1446"/>
      <c r="BS5" s="1446"/>
      <c r="BT5" s="1446"/>
      <c r="BU5" s="1446"/>
      <c r="BV5" s="1446"/>
      <c r="BW5" s="1446"/>
      <c r="BX5" s="1446"/>
      <c r="BY5" s="1446"/>
      <c r="BZ5" s="1446"/>
      <c r="CA5" s="1446"/>
      <c r="CB5" s="1446"/>
      <c r="CC5" s="1446"/>
      <c r="CD5" s="1446"/>
      <c r="CE5" s="1446"/>
      <c r="CF5" s="1446"/>
      <c r="CG5" s="1446"/>
      <c r="CH5" s="1446"/>
      <c r="CI5" s="1446"/>
      <c r="CJ5" s="1446"/>
      <c r="CK5" s="1446"/>
      <c r="CL5" s="1446"/>
      <c r="CM5" s="1446"/>
      <c r="CN5" s="1447"/>
      <c r="CO5" s="1445" t="s">
        <v>849</v>
      </c>
      <c r="CP5" s="1446"/>
      <c r="CQ5" s="1446"/>
      <c r="CR5" s="1446"/>
      <c r="CS5" s="1446"/>
      <c r="CT5" s="1446"/>
      <c r="CU5" s="1446"/>
      <c r="CV5" s="1446"/>
      <c r="CW5" s="1446"/>
      <c r="CX5" s="1446"/>
      <c r="CY5" s="1446"/>
      <c r="CZ5" s="1446"/>
      <c r="DA5" s="1446"/>
      <c r="DB5" s="1446"/>
      <c r="DC5" s="1446"/>
      <c r="DD5" s="1446"/>
      <c r="DE5" s="1446"/>
      <c r="DF5" s="1446"/>
      <c r="DG5" s="1446"/>
      <c r="DH5" s="1446"/>
      <c r="DI5" s="1446"/>
      <c r="DJ5" s="1446"/>
      <c r="DK5" s="1446"/>
      <c r="DL5" s="1446"/>
      <c r="DM5" s="1446"/>
      <c r="DN5" s="1446"/>
      <c r="DO5" s="1446"/>
      <c r="DP5" s="1446"/>
      <c r="DQ5" s="1446"/>
      <c r="DR5" s="1447"/>
      <c r="DS5" s="1445" t="s">
        <v>867</v>
      </c>
      <c r="DT5" s="1446"/>
      <c r="DU5" s="1446"/>
      <c r="DV5" s="1446"/>
      <c r="DW5" s="1446"/>
      <c r="DX5" s="1446"/>
      <c r="DY5" s="1446"/>
      <c r="DZ5" s="1446"/>
      <c r="EA5" s="1446"/>
      <c r="EB5" s="1446"/>
      <c r="EC5" s="1446"/>
      <c r="ED5" s="1446"/>
      <c r="EE5" s="1446"/>
      <c r="EF5" s="1446"/>
      <c r="EG5" s="1446"/>
      <c r="EH5" s="1446"/>
      <c r="EI5" s="1446"/>
      <c r="EJ5" s="1446"/>
      <c r="EK5" s="1446"/>
      <c r="EL5" s="1446"/>
      <c r="EM5" s="1446"/>
      <c r="EN5" s="1446"/>
      <c r="EO5" s="1446"/>
      <c r="EP5" s="1446"/>
      <c r="EQ5" s="1446"/>
      <c r="ER5" s="1446"/>
      <c r="ES5" s="1446"/>
      <c r="ET5" s="1446"/>
      <c r="EU5" s="1446"/>
      <c r="EV5" s="1447"/>
      <c r="EW5" s="1445" t="s">
        <v>868</v>
      </c>
      <c r="EX5" s="1446"/>
      <c r="EY5" s="1446"/>
      <c r="EZ5" s="1446"/>
      <c r="FA5" s="1446"/>
      <c r="FB5" s="1446"/>
      <c r="FC5" s="1446"/>
      <c r="FD5" s="1446"/>
      <c r="FE5" s="1446"/>
      <c r="FF5" s="1446"/>
      <c r="FG5" s="1446"/>
      <c r="FH5" s="1446"/>
      <c r="FI5" s="1446"/>
      <c r="FJ5" s="1446"/>
      <c r="FK5" s="1446"/>
      <c r="FL5" s="1446"/>
      <c r="FM5" s="1446"/>
      <c r="FN5" s="1446"/>
      <c r="FO5" s="1446"/>
      <c r="FP5" s="1446"/>
      <c r="FQ5" s="1446"/>
      <c r="FR5" s="1446"/>
      <c r="FS5" s="1446"/>
      <c r="FT5" s="1446"/>
      <c r="FU5" s="1446"/>
      <c r="FV5" s="1446"/>
      <c r="FW5" s="1446"/>
      <c r="FX5" s="1446"/>
      <c r="FY5" s="1446"/>
      <c r="FZ5" s="1447"/>
      <c r="GA5" s="1445" t="s">
        <v>869</v>
      </c>
      <c r="GB5" s="1446"/>
      <c r="GC5" s="1446"/>
      <c r="GD5" s="1446"/>
      <c r="GE5" s="1446"/>
      <c r="GF5" s="1446"/>
      <c r="GG5" s="1446"/>
      <c r="GH5" s="1446"/>
      <c r="GI5" s="1446"/>
      <c r="GJ5" s="1446"/>
      <c r="GK5" s="1446"/>
      <c r="GL5" s="1446"/>
      <c r="GM5" s="1446"/>
      <c r="GN5" s="1446"/>
      <c r="GO5" s="1446"/>
      <c r="GP5" s="1446"/>
      <c r="GQ5" s="1446"/>
      <c r="GR5" s="1446"/>
      <c r="GS5" s="1446"/>
      <c r="GT5" s="1446"/>
      <c r="GU5" s="1446"/>
      <c r="GV5" s="1446"/>
      <c r="GW5" s="1446"/>
      <c r="GX5" s="1446"/>
      <c r="GY5" s="1446"/>
      <c r="GZ5" s="1446"/>
      <c r="HA5" s="1446"/>
      <c r="HB5" s="1446"/>
      <c r="HC5" s="1446"/>
      <c r="HD5" s="1447"/>
      <c r="HE5" s="1445" t="s">
        <v>870</v>
      </c>
      <c r="HF5" s="1446"/>
      <c r="HG5" s="1446"/>
      <c r="HH5" s="1446"/>
      <c r="HI5" s="1446"/>
      <c r="HJ5" s="1446"/>
      <c r="HK5" s="1446"/>
      <c r="HL5" s="1446"/>
      <c r="HM5" s="1446"/>
      <c r="HN5" s="1446"/>
      <c r="HO5" s="1446"/>
      <c r="HP5" s="1446"/>
      <c r="HQ5" s="1446"/>
      <c r="HR5" s="1446"/>
      <c r="HS5" s="1446"/>
      <c r="HT5" s="1446"/>
      <c r="HU5" s="1446"/>
      <c r="HV5" s="1446"/>
      <c r="HW5" s="1446"/>
      <c r="HX5" s="1446"/>
      <c r="HY5" s="1446"/>
      <c r="HZ5" s="1446"/>
      <c r="IA5" s="1446"/>
      <c r="IB5" s="1446"/>
      <c r="IC5" s="1446"/>
      <c r="ID5" s="1446"/>
      <c r="IE5" s="1446"/>
      <c r="IF5" s="1446"/>
      <c r="IG5" s="1446"/>
      <c r="IH5" s="1447"/>
    </row>
    <row r="6" spans="1:242" x14ac:dyDescent="0.25">
      <c r="A6" s="805" t="s">
        <v>977</v>
      </c>
      <c r="B6" s="806" t="s">
        <v>4</v>
      </c>
      <c r="C6" s="807">
        <v>1</v>
      </c>
      <c r="D6" s="808">
        <v>2</v>
      </c>
      <c r="E6" s="808">
        <v>3</v>
      </c>
      <c r="F6" s="808">
        <v>4</v>
      </c>
      <c r="G6" s="808">
        <v>5</v>
      </c>
      <c r="H6" s="808">
        <v>6</v>
      </c>
      <c r="I6" s="808">
        <v>7</v>
      </c>
      <c r="J6" s="808">
        <v>8</v>
      </c>
      <c r="K6" s="808">
        <v>9</v>
      </c>
      <c r="L6" s="808">
        <v>10</v>
      </c>
      <c r="M6" s="808">
        <v>11</v>
      </c>
      <c r="N6" s="808">
        <v>12</v>
      </c>
      <c r="O6" s="808">
        <v>13</v>
      </c>
      <c r="P6" s="808">
        <v>14</v>
      </c>
      <c r="Q6" s="808">
        <v>15</v>
      </c>
      <c r="R6" s="808">
        <v>16</v>
      </c>
      <c r="S6" s="808">
        <v>17</v>
      </c>
      <c r="T6" s="808">
        <v>18</v>
      </c>
      <c r="U6" s="808">
        <v>19</v>
      </c>
      <c r="V6" s="808">
        <v>20</v>
      </c>
      <c r="W6" s="808">
        <v>21</v>
      </c>
      <c r="X6" s="808">
        <v>22</v>
      </c>
      <c r="Y6" s="808">
        <v>23</v>
      </c>
      <c r="Z6" s="808">
        <v>24</v>
      </c>
      <c r="AA6" s="808">
        <v>25</v>
      </c>
      <c r="AB6" s="808">
        <v>26</v>
      </c>
      <c r="AC6" s="808">
        <v>27</v>
      </c>
      <c r="AD6" s="808">
        <v>28</v>
      </c>
      <c r="AE6" s="808">
        <v>29</v>
      </c>
      <c r="AF6" s="809">
        <v>30</v>
      </c>
      <c r="AG6" s="807">
        <v>1</v>
      </c>
      <c r="AH6" s="808">
        <v>2</v>
      </c>
      <c r="AI6" s="808">
        <v>3</v>
      </c>
      <c r="AJ6" s="808">
        <v>4</v>
      </c>
      <c r="AK6" s="808">
        <v>5</v>
      </c>
      <c r="AL6" s="808">
        <v>6</v>
      </c>
      <c r="AM6" s="808">
        <v>7</v>
      </c>
      <c r="AN6" s="808">
        <v>8</v>
      </c>
      <c r="AO6" s="808">
        <v>9</v>
      </c>
      <c r="AP6" s="808">
        <v>10</v>
      </c>
      <c r="AQ6" s="808">
        <v>11</v>
      </c>
      <c r="AR6" s="808">
        <v>12</v>
      </c>
      <c r="AS6" s="808">
        <v>13</v>
      </c>
      <c r="AT6" s="808">
        <v>14</v>
      </c>
      <c r="AU6" s="808">
        <v>15</v>
      </c>
      <c r="AV6" s="808">
        <v>16</v>
      </c>
      <c r="AW6" s="808">
        <v>17</v>
      </c>
      <c r="AX6" s="808">
        <v>18</v>
      </c>
      <c r="AY6" s="808">
        <v>19</v>
      </c>
      <c r="AZ6" s="808">
        <v>20</v>
      </c>
      <c r="BA6" s="808">
        <v>21</v>
      </c>
      <c r="BB6" s="808">
        <v>22</v>
      </c>
      <c r="BC6" s="808">
        <v>23</v>
      </c>
      <c r="BD6" s="808">
        <v>24</v>
      </c>
      <c r="BE6" s="808">
        <v>25</v>
      </c>
      <c r="BF6" s="808">
        <v>26</v>
      </c>
      <c r="BG6" s="808">
        <v>27</v>
      </c>
      <c r="BH6" s="808">
        <v>28</v>
      </c>
      <c r="BI6" s="808">
        <v>29</v>
      </c>
      <c r="BJ6" s="809">
        <v>30</v>
      </c>
      <c r="BK6" s="807">
        <v>1</v>
      </c>
      <c r="BL6" s="808">
        <v>2</v>
      </c>
      <c r="BM6" s="808">
        <v>3</v>
      </c>
      <c r="BN6" s="808">
        <v>4</v>
      </c>
      <c r="BO6" s="808">
        <v>5</v>
      </c>
      <c r="BP6" s="808">
        <v>6</v>
      </c>
      <c r="BQ6" s="808">
        <v>7</v>
      </c>
      <c r="BR6" s="808">
        <v>8</v>
      </c>
      <c r="BS6" s="808">
        <v>9</v>
      </c>
      <c r="BT6" s="808">
        <v>10</v>
      </c>
      <c r="BU6" s="808">
        <v>11</v>
      </c>
      <c r="BV6" s="808">
        <v>12</v>
      </c>
      <c r="BW6" s="808">
        <v>13</v>
      </c>
      <c r="BX6" s="808">
        <v>14</v>
      </c>
      <c r="BY6" s="808">
        <v>15</v>
      </c>
      <c r="BZ6" s="808">
        <v>16</v>
      </c>
      <c r="CA6" s="808">
        <v>17</v>
      </c>
      <c r="CB6" s="808">
        <v>18</v>
      </c>
      <c r="CC6" s="808">
        <v>19</v>
      </c>
      <c r="CD6" s="808">
        <v>20</v>
      </c>
      <c r="CE6" s="808">
        <v>21</v>
      </c>
      <c r="CF6" s="808">
        <v>22</v>
      </c>
      <c r="CG6" s="808">
        <v>23</v>
      </c>
      <c r="CH6" s="808">
        <v>24</v>
      </c>
      <c r="CI6" s="808">
        <v>25</v>
      </c>
      <c r="CJ6" s="808">
        <v>26</v>
      </c>
      <c r="CK6" s="808">
        <v>27</v>
      </c>
      <c r="CL6" s="808">
        <v>28</v>
      </c>
      <c r="CM6" s="808">
        <v>29</v>
      </c>
      <c r="CN6" s="809">
        <v>30</v>
      </c>
      <c r="CO6" s="807">
        <v>1</v>
      </c>
      <c r="CP6" s="808">
        <v>2</v>
      </c>
      <c r="CQ6" s="808">
        <v>3</v>
      </c>
      <c r="CR6" s="808">
        <v>4</v>
      </c>
      <c r="CS6" s="808">
        <v>5</v>
      </c>
      <c r="CT6" s="808">
        <v>6</v>
      </c>
      <c r="CU6" s="808">
        <v>7</v>
      </c>
      <c r="CV6" s="808">
        <v>8</v>
      </c>
      <c r="CW6" s="808">
        <v>9</v>
      </c>
      <c r="CX6" s="808">
        <v>10</v>
      </c>
      <c r="CY6" s="808">
        <v>11</v>
      </c>
      <c r="CZ6" s="808">
        <v>12</v>
      </c>
      <c r="DA6" s="808">
        <v>13</v>
      </c>
      <c r="DB6" s="808">
        <v>14</v>
      </c>
      <c r="DC6" s="808">
        <v>15</v>
      </c>
      <c r="DD6" s="808">
        <v>16</v>
      </c>
      <c r="DE6" s="808">
        <v>17</v>
      </c>
      <c r="DF6" s="808">
        <v>18</v>
      </c>
      <c r="DG6" s="808">
        <v>19</v>
      </c>
      <c r="DH6" s="808">
        <v>20</v>
      </c>
      <c r="DI6" s="808">
        <v>21</v>
      </c>
      <c r="DJ6" s="808">
        <v>22</v>
      </c>
      <c r="DK6" s="808">
        <v>23</v>
      </c>
      <c r="DL6" s="808">
        <v>24</v>
      </c>
      <c r="DM6" s="808">
        <v>25</v>
      </c>
      <c r="DN6" s="808">
        <v>26</v>
      </c>
      <c r="DO6" s="808">
        <v>27</v>
      </c>
      <c r="DP6" s="808">
        <v>28</v>
      </c>
      <c r="DQ6" s="808">
        <v>29</v>
      </c>
      <c r="DR6" s="809">
        <v>30</v>
      </c>
      <c r="DS6" s="807">
        <v>1</v>
      </c>
      <c r="DT6" s="808">
        <v>2</v>
      </c>
      <c r="DU6" s="808">
        <v>3</v>
      </c>
      <c r="DV6" s="808">
        <v>4</v>
      </c>
      <c r="DW6" s="808">
        <v>5</v>
      </c>
      <c r="DX6" s="808">
        <v>6</v>
      </c>
      <c r="DY6" s="808">
        <v>7</v>
      </c>
      <c r="DZ6" s="808">
        <v>8</v>
      </c>
      <c r="EA6" s="808">
        <v>9</v>
      </c>
      <c r="EB6" s="808">
        <v>10</v>
      </c>
      <c r="EC6" s="808">
        <v>11</v>
      </c>
      <c r="ED6" s="808">
        <v>12</v>
      </c>
      <c r="EE6" s="808">
        <v>13</v>
      </c>
      <c r="EF6" s="808">
        <v>14</v>
      </c>
      <c r="EG6" s="808">
        <v>15</v>
      </c>
      <c r="EH6" s="808">
        <v>16</v>
      </c>
      <c r="EI6" s="808">
        <v>17</v>
      </c>
      <c r="EJ6" s="808">
        <v>18</v>
      </c>
      <c r="EK6" s="808">
        <v>19</v>
      </c>
      <c r="EL6" s="808">
        <v>20</v>
      </c>
      <c r="EM6" s="808">
        <v>21</v>
      </c>
      <c r="EN6" s="808">
        <v>22</v>
      </c>
      <c r="EO6" s="808">
        <v>23</v>
      </c>
      <c r="EP6" s="808">
        <v>24</v>
      </c>
      <c r="EQ6" s="808">
        <v>25</v>
      </c>
      <c r="ER6" s="808">
        <v>26</v>
      </c>
      <c r="ES6" s="808">
        <v>27</v>
      </c>
      <c r="ET6" s="808">
        <v>28</v>
      </c>
      <c r="EU6" s="808">
        <v>29</v>
      </c>
      <c r="EV6" s="809">
        <v>30</v>
      </c>
      <c r="EW6" s="807">
        <v>1</v>
      </c>
      <c r="EX6" s="808">
        <v>2</v>
      </c>
      <c r="EY6" s="808">
        <v>3</v>
      </c>
      <c r="EZ6" s="808">
        <v>4</v>
      </c>
      <c r="FA6" s="808">
        <v>5</v>
      </c>
      <c r="FB6" s="808">
        <v>6</v>
      </c>
      <c r="FC6" s="808">
        <v>7</v>
      </c>
      <c r="FD6" s="808">
        <v>8</v>
      </c>
      <c r="FE6" s="808">
        <v>9</v>
      </c>
      <c r="FF6" s="808">
        <v>10</v>
      </c>
      <c r="FG6" s="808">
        <v>11</v>
      </c>
      <c r="FH6" s="808">
        <v>12</v>
      </c>
      <c r="FI6" s="808">
        <v>13</v>
      </c>
      <c r="FJ6" s="808">
        <v>14</v>
      </c>
      <c r="FK6" s="808">
        <v>15</v>
      </c>
      <c r="FL6" s="808">
        <v>16</v>
      </c>
      <c r="FM6" s="808">
        <v>17</v>
      </c>
      <c r="FN6" s="808">
        <v>18</v>
      </c>
      <c r="FO6" s="808">
        <v>19</v>
      </c>
      <c r="FP6" s="808">
        <v>20</v>
      </c>
      <c r="FQ6" s="808">
        <v>21</v>
      </c>
      <c r="FR6" s="808">
        <v>22</v>
      </c>
      <c r="FS6" s="808">
        <v>23</v>
      </c>
      <c r="FT6" s="808">
        <v>24</v>
      </c>
      <c r="FU6" s="808">
        <v>25</v>
      </c>
      <c r="FV6" s="808">
        <v>26</v>
      </c>
      <c r="FW6" s="808">
        <v>27</v>
      </c>
      <c r="FX6" s="808">
        <v>28</v>
      </c>
      <c r="FY6" s="808">
        <v>29</v>
      </c>
      <c r="FZ6" s="809">
        <v>30</v>
      </c>
      <c r="GA6" s="807">
        <v>1</v>
      </c>
      <c r="GB6" s="808">
        <v>2</v>
      </c>
      <c r="GC6" s="808">
        <v>3</v>
      </c>
      <c r="GD6" s="808">
        <v>4</v>
      </c>
      <c r="GE6" s="808">
        <v>5</v>
      </c>
      <c r="GF6" s="808">
        <v>6</v>
      </c>
      <c r="GG6" s="808">
        <v>7</v>
      </c>
      <c r="GH6" s="808">
        <v>8</v>
      </c>
      <c r="GI6" s="808">
        <v>9</v>
      </c>
      <c r="GJ6" s="808">
        <v>10</v>
      </c>
      <c r="GK6" s="808">
        <v>11</v>
      </c>
      <c r="GL6" s="808">
        <v>12</v>
      </c>
      <c r="GM6" s="808">
        <v>13</v>
      </c>
      <c r="GN6" s="808">
        <v>14</v>
      </c>
      <c r="GO6" s="808">
        <v>15</v>
      </c>
      <c r="GP6" s="808">
        <v>16</v>
      </c>
      <c r="GQ6" s="808">
        <v>17</v>
      </c>
      <c r="GR6" s="808">
        <v>18</v>
      </c>
      <c r="GS6" s="808">
        <v>19</v>
      </c>
      <c r="GT6" s="808">
        <v>20</v>
      </c>
      <c r="GU6" s="808">
        <v>21</v>
      </c>
      <c r="GV6" s="808">
        <v>22</v>
      </c>
      <c r="GW6" s="808">
        <v>23</v>
      </c>
      <c r="GX6" s="808">
        <v>24</v>
      </c>
      <c r="GY6" s="808">
        <v>25</v>
      </c>
      <c r="GZ6" s="808">
        <v>26</v>
      </c>
      <c r="HA6" s="808">
        <v>27</v>
      </c>
      <c r="HB6" s="808">
        <v>28</v>
      </c>
      <c r="HC6" s="808">
        <v>29</v>
      </c>
      <c r="HD6" s="809">
        <v>30</v>
      </c>
      <c r="HE6" s="807">
        <v>1</v>
      </c>
      <c r="HF6" s="808">
        <v>2</v>
      </c>
      <c r="HG6" s="808">
        <v>3</v>
      </c>
      <c r="HH6" s="808">
        <v>4</v>
      </c>
      <c r="HI6" s="808">
        <v>5</v>
      </c>
      <c r="HJ6" s="808">
        <v>6</v>
      </c>
      <c r="HK6" s="808">
        <v>7</v>
      </c>
      <c r="HL6" s="808">
        <v>8</v>
      </c>
      <c r="HM6" s="808">
        <v>9</v>
      </c>
      <c r="HN6" s="808">
        <v>10</v>
      </c>
      <c r="HO6" s="808">
        <v>11</v>
      </c>
      <c r="HP6" s="808">
        <v>12</v>
      </c>
      <c r="HQ6" s="808">
        <v>13</v>
      </c>
      <c r="HR6" s="808">
        <v>14</v>
      </c>
      <c r="HS6" s="808">
        <v>15</v>
      </c>
      <c r="HT6" s="808">
        <v>16</v>
      </c>
      <c r="HU6" s="808">
        <v>17</v>
      </c>
      <c r="HV6" s="808">
        <v>18</v>
      </c>
      <c r="HW6" s="808">
        <v>19</v>
      </c>
      <c r="HX6" s="808">
        <v>20</v>
      </c>
      <c r="HY6" s="808">
        <v>21</v>
      </c>
      <c r="HZ6" s="808">
        <v>22</v>
      </c>
      <c r="IA6" s="808">
        <v>23</v>
      </c>
      <c r="IB6" s="808">
        <v>24</v>
      </c>
      <c r="IC6" s="808">
        <v>25</v>
      </c>
      <c r="ID6" s="808">
        <v>26</v>
      </c>
      <c r="IE6" s="808">
        <v>27</v>
      </c>
      <c r="IF6" s="808">
        <v>28</v>
      </c>
      <c r="IG6" s="808">
        <v>29</v>
      </c>
      <c r="IH6" s="809">
        <v>30</v>
      </c>
    </row>
    <row r="7" spans="1:242" s="816" customFormat="1" x14ac:dyDescent="0.25">
      <c r="A7" s="1448" t="s">
        <v>978</v>
      </c>
      <c r="B7" s="1449"/>
      <c r="C7" s="810"/>
      <c r="D7" s="811"/>
      <c r="E7" s="811"/>
      <c r="F7" s="811"/>
      <c r="G7" s="811"/>
      <c r="H7" s="811"/>
      <c r="I7" s="811"/>
      <c r="J7" s="811"/>
      <c r="K7" s="811"/>
      <c r="L7" s="811"/>
      <c r="M7" s="811"/>
      <c r="N7" s="811"/>
      <c r="O7" s="811"/>
      <c r="P7" s="811"/>
      <c r="Q7" s="811"/>
      <c r="R7" s="811"/>
      <c r="S7" s="811"/>
      <c r="T7" s="811"/>
      <c r="U7" s="811"/>
      <c r="V7" s="811"/>
      <c r="W7" s="811"/>
      <c r="X7" s="811"/>
      <c r="Y7" s="811"/>
      <c r="Z7" s="811"/>
      <c r="AA7" s="811"/>
      <c r="AB7" s="811"/>
      <c r="AC7" s="811"/>
      <c r="AD7" s="811"/>
      <c r="AE7" s="811"/>
      <c r="AF7" s="812"/>
      <c r="AG7" s="810"/>
      <c r="AH7" s="811"/>
      <c r="AI7" s="811"/>
      <c r="AJ7" s="811"/>
      <c r="AK7" s="811"/>
      <c r="AL7" s="811"/>
      <c r="AM7" s="811"/>
      <c r="AN7" s="811"/>
      <c r="AO7" s="811"/>
      <c r="AP7" s="811"/>
      <c r="AQ7" s="811"/>
      <c r="AR7" s="811"/>
      <c r="AS7" s="811"/>
      <c r="AT7" s="811"/>
      <c r="AU7" s="811"/>
      <c r="AV7" s="811"/>
      <c r="AW7" s="811"/>
      <c r="AX7" s="811"/>
      <c r="AY7" s="811"/>
      <c r="AZ7" s="811"/>
      <c r="BA7" s="811"/>
      <c r="BB7" s="811"/>
      <c r="BC7" s="811"/>
      <c r="BD7" s="811"/>
      <c r="BE7" s="811"/>
      <c r="BF7" s="811"/>
      <c r="BG7" s="811"/>
      <c r="BH7" s="811"/>
      <c r="BI7" s="811"/>
      <c r="BJ7" s="812"/>
      <c r="BK7" s="813"/>
      <c r="BL7" s="814"/>
      <c r="BM7" s="814"/>
      <c r="BN7" s="814"/>
      <c r="BO7" s="814"/>
      <c r="BP7" s="814"/>
      <c r="BQ7" s="814"/>
      <c r="BR7" s="814"/>
      <c r="BS7" s="814"/>
      <c r="BT7" s="814"/>
      <c r="BU7" s="814"/>
      <c r="BV7" s="814"/>
      <c r="BW7" s="814"/>
      <c r="BX7" s="814"/>
      <c r="BY7" s="814"/>
      <c r="BZ7" s="814"/>
      <c r="CA7" s="814"/>
      <c r="CB7" s="814"/>
      <c r="CC7" s="814"/>
      <c r="CD7" s="814"/>
      <c r="CE7" s="814"/>
      <c r="CF7" s="814"/>
      <c r="CG7" s="814"/>
      <c r="CH7" s="814"/>
      <c r="CI7" s="814"/>
      <c r="CJ7" s="814"/>
      <c r="CK7" s="814"/>
      <c r="CL7" s="814"/>
      <c r="CM7" s="814"/>
      <c r="CN7" s="815"/>
      <c r="CO7" s="813"/>
      <c r="CP7" s="814"/>
      <c r="CQ7" s="814"/>
      <c r="CR7" s="814"/>
      <c r="CS7" s="814"/>
      <c r="CT7" s="814"/>
      <c r="CU7" s="814"/>
      <c r="CV7" s="814"/>
      <c r="CW7" s="814"/>
      <c r="CX7" s="814"/>
      <c r="CY7" s="814"/>
      <c r="CZ7" s="814"/>
      <c r="DA7" s="814"/>
      <c r="DB7" s="814"/>
      <c r="DC7" s="814"/>
      <c r="DD7" s="814"/>
      <c r="DE7" s="814"/>
      <c r="DF7" s="814"/>
      <c r="DG7" s="814"/>
      <c r="DH7" s="814"/>
      <c r="DI7" s="814"/>
      <c r="DJ7" s="814"/>
      <c r="DK7" s="814"/>
      <c r="DL7" s="814"/>
      <c r="DM7" s="814"/>
      <c r="DN7" s="814"/>
      <c r="DO7" s="814"/>
      <c r="DP7" s="814"/>
      <c r="DQ7" s="814"/>
      <c r="DR7" s="815"/>
      <c r="DS7" s="813"/>
      <c r="DT7" s="814"/>
      <c r="DU7" s="814"/>
      <c r="DV7" s="814"/>
      <c r="DW7" s="814"/>
      <c r="DX7" s="814"/>
      <c r="DY7" s="814"/>
      <c r="DZ7" s="814"/>
      <c r="EA7" s="814"/>
      <c r="EB7" s="814"/>
      <c r="EC7" s="814"/>
      <c r="ED7" s="814"/>
      <c r="EE7" s="814"/>
      <c r="EF7" s="814"/>
      <c r="EG7" s="814"/>
      <c r="EH7" s="814"/>
      <c r="EI7" s="814"/>
      <c r="EJ7" s="814"/>
      <c r="EK7" s="814"/>
      <c r="EL7" s="814"/>
      <c r="EM7" s="814"/>
      <c r="EN7" s="814"/>
      <c r="EO7" s="814"/>
      <c r="EP7" s="814"/>
      <c r="EQ7" s="814"/>
      <c r="ER7" s="814"/>
      <c r="ES7" s="814"/>
      <c r="ET7" s="814"/>
      <c r="EU7" s="814"/>
      <c r="EV7" s="815"/>
      <c r="EW7" s="813"/>
      <c r="EX7" s="814"/>
      <c r="EY7" s="814"/>
      <c r="EZ7" s="814"/>
      <c r="FA7" s="814"/>
      <c r="FB7" s="814"/>
      <c r="FC7" s="814"/>
      <c r="FD7" s="814"/>
      <c r="FE7" s="814"/>
      <c r="FF7" s="814"/>
      <c r="FG7" s="814"/>
      <c r="FH7" s="814"/>
      <c r="FI7" s="814"/>
      <c r="FJ7" s="814"/>
      <c r="FK7" s="814"/>
      <c r="FL7" s="814"/>
      <c r="FM7" s="814"/>
      <c r="FN7" s="814"/>
      <c r="FO7" s="814"/>
      <c r="FP7" s="814"/>
      <c r="FQ7" s="814"/>
      <c r="FR7" s="814"/>
      <c r="FS7" s="814"/>
      <c r="FT7" s="814"/>
      <c r="FU7" s="814"/>
      <c r="FV7" s="814"/>
      <c r="FW7" s="814"/>
      <c r="FX7" s="814"/>
      <c r="FY7" s="814"/>
      <c r="FZ7" s="815"/>
      <c r="GA7" s="813"/>
      <c r="GB7" s="814"/>
      <c r="GC7" s="814"/>
      <c r="GD7" s="814"/>
      <c r="GE7" s="814"/>
      <c r="GF7" s="814"/>
      <c r="GG7" s="814"/>
      <c r="GH7" s="814"/>
      <c r="GI7" s="814"/>
      <c r="GJ7" s="814"/>
      <c r="GK7" s="814"/>
      <c r="GL7" s="814"/>
      <c r="GM7" s="814"/>
      <c r="GN7" s="814"/>
      <c r="GO7" s="814"/>
      <c r="GP7" s="814"/>
      <c r="GQ7" s="814"/>
      <c r="GR7" s="814"/>
      <c r="GS7" s="814"/>
      <c r="GT7" s="814"/>
      <c r="GU7" s="814"/>
      <c r="GV7" s="814"/>
      <c r="GW7" s="814"/>
      <c r="GX7" s="814"/>
      <c r="GY7" s="814"/>
      <c r="GZ7" s="814"/>
      <c r="HA7" s="814"/>
      <c r="HB7" s="814"/>
      <c r="HC7" s="814"/>
      <c r="HD7" s="815"/>
      <c r="HE7" s="813"/>
      <c r="HF7" s="814"/>
      <c r="HG7" s="814"/>
      <c r="HH7" s="814"/>
      <c r="HI7" s="814"/>
      <c r="HJ7" s="814"/>
      <c r="HK7" s="814"/>
      <c r="HL7" s="814"/>
      <c r="HM7" s="814"/>
      <c r="HN7" s="814"/>
      <c r="HO7" s="814"/>
      <c r="HP7" s="814"/>
      <c r="HQ7" s="814"/>
      <c r="HR7" s="814"/>
      <c r="HS7" s="814"/>
      <c r="HT7" s="814"/>
      <c r="HU7" s="814"/>
      <c r="HV7" s="814"/>
      <c r="HW7" s="814"/>
      <c r="HX7" s="814"/>
      <c r="HY7" s="814"/>
      <c r="HZ7" s="814"/>
      <c r="IA7" s="814"/>
      <c r="IB7" s="814"/>
      <c r="IC7" s="814"/>
      <c r="ID7" s="814"/>
      <c r="IE7" s="814"/>
      <c r="IF7" s="814"/>
      <c r="IG7" s="814"/>
      <c r="IH7" s="815"/>
    </row>
    <row r="8" spans="1:242" x14ac:dyDescent="0.25">
      <c r="A8" s="1438" t="s">
        <v>93</v>
      </c>
      <c r="B8" s="1439"/>
      <c r="C8" s="817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8"/>
      <c r="Q8" s="818"/>
      <c r="R8" s="818"/>
      <c r="S8" s="818"/>
      <c r="T8" s="818"/>
      <c r="U8" s="818"/>
      <c r="V8" s="818"/>
      <c r="W8" s="818"/>
      <c r="X8" s="818"/>
      <c r="Y8" s="818"/>
      <c r="Z8" s="818"/>
      <c r="AA8" s="818"/>
      <c r="AB8" s="818"/>
      <c r="AC8" s="818"/>
      <c r="AD8" s="818"/>
      <c r="AE8" s="818"/>
      <c r="AF8" s="819"/>
      <c r="AG8" s="817"/>
      <c r="AH8" s="818"/>
      <c r="AI8" s="818"/>
      <c r="AJ8" s="818"/>
      <c r="AK8" s="818"/>
      <c r="AL8" s="818"/>
      <c r="AM8" s="818"/>
      <c r="AN8" s="818"/>
      <c r="AO8" s="818"/>
      <c r="AP8" s="818"/>
      <c r="AQ8" s="818"/>
      <c r="AR8" s="818"/>
      <c r="AS8" s="818"/>
      <c r="AT8" s="818"/>
      <c r="AU8" s="818"/>
      <c r="AV8" s="818"/>
      <c r="AW8" s="818"/>
      <c r="AX8" s="818"/>
      <c r="AY8" s="818"/>
      <c r="AZ8" s="818"/>
      <c r="BA8" s="818"/>
      <c r="BB8" s="818"/>
      <c r="BC8" s="818"/>
      <c r="BD8" s="818"/>
      <c r="BE8" s="818"/>
      <c r="BF8" s="818"/>
      <c r="BG8" s="818"/>
      <c r="BH8" s="818"/>
      <c r="BI8" s="818"/>
      <c r="BJ8" s="819"/>
      <c r="BK8" s="820"/>
      <c r="BL8" s="821"/>
      <c r="BM8" s="821"/>
      <c r="BN8" s="821"/>
      <c r="BO8" s="821"/>
      <c r="BP8" s="821"/>
      <c r="BQ8" s="821"/>
      <c r="BR8" s="821"/>
      <c r="BS8" s="821"/>
      <c r="BT8" s="821"/>
      <c r="BU8" s="821"/>
      <c r="BV8" s="821"/>
      <c r="BW8" s="821"/>
      <c r="BX8" s="821"/>
      <c r="BY8" s="821"/>
      <c r="BZ8" s="821"/>
      <c r="CA8" s="821"/>
      <c r="CB8" s="821"/>
      <c r="CC8" s="821"/>
      <c r="CD8" s="821"/>
      <c r="CE8" s="821"/>
      <c r="CF8" s="821"/>
      <c r="CG8" s="821"/>
      <c r="CH8" s="821"/>
      <c r="CI8" s="821"/>
      <c r="CJ8" s="821"/>
      <c r="CK8" s="821"/>
      <c r="CL8" s="821"/>
      <c r="CM8" s="821"/>
      <c r="CN8" s="822"/>
      <c r="CO8" s="820"/>
      <c r="CP8" s="821"/>
      <c r="CQ8" s="821"/>
      <c r="CR8" s="821"/>
      <c r="CS8" s="821"/>
      <c r="CT8" s="821"/>
      <c r="CU8" s="821"/>
      <c r="CV8" s="821"/>
      <c r="CW8" s="821"/>
      <c r="CX8" s="821"/>
      <c r="CY8" s="821"/>
      <c r="CZ8" s="821"/>
      <c r="DA8" s="821"/>
      <c r="DB8" s="821"/>
      <c r="DC8" s="821"/>
      <c r="DD8" s="821"/>
      <c r="DE8" s="821"/>
      <c r="DF8" s="821"/>
      <c r="DG8" s="821"/>
      <c r="DH8" s="821"/>
      <c r="DI8" s="821"/>
      <c r="DJ8" s="821"/>
      <c r="DK8" s="821"/>
      <c r="DL8" s="821"/>
      <c r="DM8" s="821"/>
      <c r="DN8" s="821"/>
      <c r="DO8" s="821"/>
      <c r="DP8" s="821"/>
      <c r="DQ8" s="821"/>
      <c r="DR8" s="822"/>
      <c r="DS8" s="820"/>
      <c r="DT8" s="821"/>
      <c r="DU8" s="821"/>
      <c r="DV8" s="821"/>
      <c r="DW8" s="821"/>
      <c r="DX8" s="821"/>
      <c r="DY8" s="821"/>
      <c r="DZ8" s="821"/>
      <c r="EA8" s="821"/>
      <c r="EB8" s="821"/>
      <c r="EC8" s="821"/>
      <c r="ED8" s="821"/>
      <c r="EE8" s="821"/>
      <c r="EF8" s="821"/>
      <c r="EG8" s="821"/>
      <c r="EH8" s="821"/>
      <c r="EI8" s="821"/>
      <c r="EJ8" s="821"/>
      <c r="EK8" s="821"/>
      <c r="EL8" s="821"/>
      <c r="EM8" s="821"/>
      <c r="EN8" s="821"/>
      <c r="EO8" s="821"/>
      <c r="EP8" s="821"/>
      <c r="EQ8" s="821"/>
      <c r="ER8" s="821"/>
      <c r="ES8" s="821"/>
      <c r="ET8" s="821"/>
      <c r="EU8" s="821"/>
      <c r="EV8" s="822"/>
      <c r="EW8" s="820"/>
      <c r="EX8" s="821"/>
      <c r="EY8" s="821"/>
      <c r="EZ8" s="821"/>
      <c r="FA8" s="821"/>
      <c r="FB8" s="821"/>
      <c r="FC8" s="821"/>
      <c r="FD8" s="821"/>
      <c r="FE8" s="821"/>
      <c r="FF8" s="821"/>
      <c r="FG8" s="821"/>
      <c r="FH8" s="821"/>
      <c r="FI8" s="821"/>
      <c r="FJ8" s="821"/>
      <c r="FK8" s="821"/>
      <c r="FL8" s="821"/>
      <c r="FM8" s="821"/>
      <c r="FN8" s="821"/>
      <c r="FO8" s="821"/>
      <c r="FP8" s="821"/>
      <c r="FQ8" s="821"/>
      <c r="FR8" s="821"/>
      <c r="FS8" s="821"/>
      <c r="FT8" s="821"/>
      <c r="FU8" s="821"/>
      <c r="FV8" s="821"/>
      <c r="FW8" s="821"/>
      <c r="FX8" s="821"/>
      <c r="FY8" s="821"/>
      <c r="FZ8" s="822"/>
      <c r="GA8" s="820"/>
      <c r="GB8" s="821"/>
      <c r="GC8" s="821"/>
      <c r="GD8" s="821"/>
      <c r="GE8" s="821"/>
      <c r="GF8" s="821"/>
      <c r="GG8" s="821"/>
      <c r="GH8" s="821"/>
      <c r="GI8" s="821"/>
      <c r="GJ8" s="821"/>
      <c r="GK8" s="821"/>
      <c r="GL8" s="821"/>
      <c r="GM8" s="821"/>
      <c r="GN8" s="821"/>
      <c r="GO8" s="821"/>
      <c r="GP8" s="821"/>
      <c r="GQ8" s="821"/>
      <c r="GR8" s="821"/>
      <c r="GS8" s="821"/>
      <c r="GT8" s="821"/>
      <c r="GU8" s="821"/>
      <c r="GV8" s="821"/>
      <c r="GW8" s="821"/>
      <c r="GX8" s="821"/>
      <c r="GY8" s="821"/>
      <c r="GZ8" s="821"/>
      <c r="HA8" s="821"/>
      <c r="HB8" s="821"/>
      <c r="HC8" s="821"/>
      <c r="HD8" s="822"/>
      <c r="HE8" s="820"/>
      <c r="HF8" s="821"/>
      <c r="HG8" s="821"/>
      <c r="HH8" s="821"/>
      <c r="HI8" s="821"/>
      <c r="HJ8" s="821"/>
      <c r="HK8" s="821"/>
      <c r="HL8" s="821"/>
      <c r="HM8" s="821"/>
      <c r="HN8" s="821"/>
      <c r="HO8" s="821"/>
      <c r="HP8" s="821"/>
      <c r="HQ8" s="821"/>
      <c r="HR8" s="821"/>
      <c r="HS8" s="821"/>
      <c r="HT8" s="821"/>
      <c r="HU8" s="821"/>
      <c r="HV8" s="821"/>
      <c r="HW8" s="821"/>
      <c r="HX8" s="821"/>
      <c r="HY8" s="821"/>
      <c r="HZ8" s="821"/>
      <c r="IA8" s="821"/>
      <c r="IB8" s="821"/>
      <c r="IC8" s="821"/>
      <c r="ID8" s="821"/>
      <c r="IE8" s="821"/>
      <c r="IF8" s="821"/>
      <c r="IG8" s="821"/>
      <c r="IH8" s="822"/>
    </row>
    <row r="9" spans="1:242" ht="33" x14ac:dyDescent="0.25">
      <c r="A9" s="823" t="s">
        <v>9</v>
      </c>
      <c r="B9" s="824" t="s">
        <v>10</v>
      </c>
      <c r="C9" s="825"/>
      <c r="D9" s="826"/>
      <c r="E9" s="826"/>
      <c r="F9" s="826"/>
      <c r="G9" s="826"/>
      <c r="H9" s="826"/>
      <c r="I9" s="826"/>
      <c r="J9" s="826"/>
      <c r="K9" s="826"/>
      <c r="L9" s="826"/>
      <c r="M9" s="826"/>
      <c r="N9" s="826"/>
      <c r="O9" s="826"/>
      <c r="P9" s="826"/>
      <c r="Q9" s="826"/>
      <c r="R9" s="826"/>
      <c r="S9" s="826"/>
      <c r="T9" s="826"/>
      <c r="U9" s="826"/>
      <c r="V9" s="826"/>
      <c r="W9" s="826"/>
      <c r="X9" s="826"/>
      <c r="Y9" s="826"/>
      <c r="Z9" s="826"/>
      <c r="AA9" s="826"/>
      <c r="AB9" s="826"/>
      <c r="AC9" s="826"/>
      <c r="AD9" s="826"/>
      <c r="AE9" s="826"/>
      <c r="AF9" s="824"/>
      <c r="AG9" s="825"/>
      <c r="AH9" s="826"/>
      <c r="AI9" s="826"/>
      <c r="AJ9" s="826"/>
      <c r="AK9" s="826"/>
      <c r="AL9" s="826"/>
      <c r="AM9" s="826"/>
      <c r="AN9" s="826"/>
      <c r="AO9" s="826"/>
      <c r="AP9" s="826"/>
      <c r="AQ9" s="826"/>
      <c r="AR9" s="826"/>
      <c r="AS9" s="826"/>
      <c r="AT9" s="826"/>
      <c r="AU9" s="826"/>
      <c r="AV9" s="826"/>
      <c r="AW9" s="826"/>
      <c r="AX9" s="826"/>
      <c r="AY9" s="826"/>
      <c r="AZ9" s="826"/>
      <c r="BA9" s="826"/>
      <c r="BB9" s="826"/>
      <c r="BC9" s="826"/>
      <c r="BD9" s="826"/>
      <c r="BE9" s="826"/>
      <c r="BF9" s="826"/>
      <c r="BG9" s="826"/>
      <c r="BH9" s="826"/>
      <c r="BI9" s="826"/>
      <c r="BJ9" s="824"/>
      <c r="BK9" s="810"/>
      <c r="BL9" s="811"/>
      <c r="BM9" s="811"/>
      <c r="BN9" s="811"/>
      <c r="BO9" s="811"/>
      <c r="BP9" s="811"/>
      <c r="BQ9" s="811"/>
      <c r="BR9" s="811"/>
      <c r="BS9" s="811"/>
      <c r="BT9" s="811"/>
      <c r="BU9" s="811"/>
      <c r="BV9" s="811"/>
      <c r="BW9" s="811"/>
      <c r="BX9" s="811"/>
      <c r="BY9" s="811"/>
      <c r="BZ9" s="811"/>
      <c r="CA9" s="811"/>
      <c r="CB9" s="811"/>
      <c r="CC9" s="811"/>
      <c r="CD9" s="811"/>
      <c r="CE9" s="811"/>
      <c r="CF9" s="811"/>
      <c r="CG9" s="811"/>
      <c r="CH9" s="808"/>
      <c r="CI9" s="808"/>
      <c r="CJ9" s="808"/>
      <c r="CK9" s="808"/>
      <c r="CL9" s="808"/>
      <c r="CM9" s="808"/>
      <c r="CN9" s="809"/>
      <c r="CO9" s="807"/>
      <c r="CP9" s="808"/>
      <c r="CQ9" s="808"/>
      <c r="CR9" s="808"/>
      <c r="CS9" s="808"/>
      <c r="CT9" s="808"/>
      <c r="CU9" s="808"/>
      <c r="CV9" s="808"/>
      <c r="CW9" s="808"/>
      <c r="CX9" s="808"/>
      <c r="CY9" s="808"/>
      <c r="CZ9" s="808"/>
      <c r="DA9" s="808"/>
      <c r="DB9" s="808"/>
      <c r="DC9" s="808"/>
      <c r="DD9" s="808"/>
      <c r="DE9" s="808"/>
      <c r="DF9" s="808"/>
      <c r="DG9" s="808"/>
      <c r="DH9" s="808"/>
      <c r="DI9" s="808"/>
      <c r="DJ9" s="808"/>
      <c r="DK9" s="808"/>
      <c r="DL9" s="808"/>
      <c r="DM9" s="808"/>
      <c r="DN9" s="808"/>
      <c r="DO9" s="808"/>
      <c r="DP9" s="808"/>
      <c r="DQ9" s="808"/>
      <c r="DR9" s="809"/>
      <c r="DS9" s="807"/>
      <c r="DT9" s="808"/>
      <c r="DU9" s="808"/>
      <c r="DV9" s="808"/>
      <c r="DW9" s="808"/>
      <c r="DX9" s="808"/>
      <c r="DY9" s="808"/>
      <c r="DZ9" s="808"/>
      <c r="EA9" s="808"/>
      <c r="EB9" s="808"/>
      <c r="EC9" s="808"/>
      <c r="ED9" s="808"/>
      <c r="EE9" s="808"/>
      <c r="EF9" s="808"/>
      <c r="EG9" s="808"/>
      <c r="EH9" s="808"/>
      <c r="EI9" s="808"/>
      <c r="EJ9" s="808"/>
      <c r="EK9" s="808"/>
      <c r="EL9" s="808"/>
      <c r="EM9" s="808"/>
      <c r="EN9" s="808"/>
      <c r="EO9" s="808"/>
      <c r="EP9" s="808"/>
      <c r="EQ9" s="808"/>
      <c r="ER9" s="808"/>
      <c r="ES9" s="808"/>
      <c r="ET9" s="808"/>
      <c r="EU9" s="808"/>
      <c r="EV9" s="809"/>
      <c r="EW9" s="807"/>
      <c r="EX9" s="808"/>
      <c r="EY9" s="808"/>
      <c r="EZ9" s="808"/>
      <c r="FA9" s="808"/>
      <c r="FB9" s="808"/>
      <c r="FC9" s="808"/>
      <c r="FD9" s="808"/>
      <c r="FE9" s="808"/>
      <c r="FF9" s="808"/>
      <c r="FG9" s="808"/>
      <c r="FH9" s="808"/>
      <c r="FI9" s="808"/>
      <c r="FJ9" s="808"/>
      <c r="FK9" s="808"/>
      <c r="FL9" s="808"/>
      <c r="FM9" s="808"/>
      <c r="FN9" s="808"/>
      <c r="FO9" s="808"/>
      <c r="FP9" s="808"/>
      <c r="FQ9" s="808"/>
      <c r="FR9" s="808"/>
      <c r="FS9" s="808"/>
      <c r="FT9" s="808"/>
      <c r="FU9" s="808"/>
      <c r="FV9" s="808"/>
      <c r="FW9" s="808"/>
      <c r="FX9" s="808"/>
      <c r="FY9" s="808"/>
      <c r="FZ9" s="809"/>
      <c r="GA9" s="807"/>
      <c r="GB9" s="808"/>
      <c r="GC9" s="808"/>
      <c r="GD9" s="808"/>
      <c r="GE9" s="808"/>
      <c r="GF9" s="808"/>
      <c r="GG9" s="808"/>
      <c r="GH9" s="808"/>
      <c r="GI9" s="808"/>
      <c r="GJ9" s="808"/>
      <c r="GK9" s="808"/>
      <c r="GL9" s="808"/>
      <c r="GM9" s="808"/>
      <c r="GN9" s="808"/>
      <c r="GO9" s="808"/>
      <c r="GP9" s="808"/>
      <c r="GQ9" s="808"/>
      <c r="GR9" s="808"/>
      <c r="GS9" s="808"/>
      <c r="GT9" s="808"/>
      <c r="GU9" s="808"/>
      <c r="GV9" s="808"/>
      <c r="GW9" s="808"/>
      <c r="GX9" s="808"/>
      <c r="GY9" s="808"/>
      <c r="GZ9" s="808"/>
      <c r="HA9" s="808"/>
      <c r="HB9" s="808"/>
      <c r="HC9" s="808"/>
      <c r="HD9" s="809"/>
      <c r="HE9" s="807"/>
      <c r="HF9" s="808"/>
      <c r="HG9" s="808"/>
      <c r="HH9" s="808"/>
      <c r="HI9" s="808"/>
      <c r="HJ9" s="808"/>
      <c r="HK9" s="808"/>
      <c r="HL9" s="808"/>
      <c r="HM9" s="808"/>
      <c r="HN9" s="808"/>
      <c r="HO9" s="808"/>
      <c r="HP9" s="808"/>
      <c r="HQ9" s="808"/>
      <c r="HR9" s="808"/>
      <c r="HS9" s="808"/>
      <c r="HT9" s="808"/>
      <c r="HU9" s="808"/>
      <c r="HV9" s="808"/>
      <c r="HW9" s="808"/>
      <c r="HX9" s="808"/>
      <c r="HY9" s="808"/>
      <c r="HZ9" s="808"/>
      <c r="IA9" s="808"/>
      <c r="IB9" s="808"/>
      <c r="IC9" s="808"/>
      <c r="ID9" s="808"/>
      <c r="IE9" s="808"/>
      <c r="IF9" s="808"/>
      <c r="IG9" s="808"/>
      <c r="IH9" s="809"/>
    </row>
    <row r="10" spans="1:242" ht="33" x14ac:dyDescent="0.25">
      <c r="A10" s="823" t="s">
        <v>12</v>
      </c>
      <c r="B10" s="824" t="s">
        <v>14</v>
      </c>
      <c r="C10" s="825"/>
      <c r="D10" s="826"/>
      <c r="E10" s="826"/>
      <c r="F10" s="826"/>
      <c r="G10" s="826"/>
      <c r="H10" s="826"/>
      <c r="I10" s="826"/>
      <c r="J10" s="826"/>
      <c r="K10" s="826"/>
      <c r="L10" s="826"/>
      <c r="M10" s="826"/>
      <c r="N10" s="826"/>
      <c r="O10" s="826"/>
      <c r="P10" s="826"/>
      <c r="Q10" s="826"/>
      <c r="R10" s="826"/>
      <c r="S10" s="826"/>
      <c r="T10" s="826"/>
      <c r="U10" s="826"/>
      <c r="V10" s="826"/>
      <c r="W10" s="826"/>
      <c r="X10" s="826"/>
      <c r="Y10" s="826"/>
      <c r="Z10" s="826"/>
      <c r="AA10" s="826"/>
      <c r="AB10" s="826"/>
      <c r="AC10" s="826"/>
      <c r="AD10" s="826"/>
      <c r="AE10" s="826"/>
      <c r="AF10" s="824"/>
      <c r="AG10" s="825"/>
      <c r="AH10" s="826"/>
      <c r="AI10" s="826"/>
      <c r="AJ10" s="826"/>
      <c r="AK10" s="826"/>
      <c r="AL10" s="826"/>
      <c r="AM10" s="826"/>
      <c r="AN10" s="826"/>
      <c r="AO10" s="826"/>
      <c r="AP10" s="826"/>
      <c r="AQ10" s="826"/>
      <c r="AR10" s="826"/>
      <c r="AS10" s="826"/>
      <c r="AT10" s="826"/>
      <c r="AU10" s="826"/>
      <c r="AV10" s="826"/>
      <c r="AW10" s="826"/>
      <c r="AX10" s="826"/>
      <c r="AY10" s="826"/>
      <c r="AZ10" s="826"/>
      <c r="BA10" s="826"/>
      <c r="BB10" s="826"/>
      <c r="BC10" s="826"/>
      <c r="BD10" s="826"/>
      <c r="BE10" s="826"/>
      <c r="BF10" s="826"/>
      <c r="BG10" s="826"/>
      <c r="BH10" s="826"/>
      <c r="BI10" s="826"/>
      <c r="BJ10" s="824"/>
      <c r="BK10" s="810"/>
      <c r="BL10" s="811"/>
      <c r="BM10" s="811"/>
      <c r="BN10" s="811"/>
      <c r="BO10" s="811"/>
      <c r="BP10" s="811"/>
      <c r="BQ10" s="811"/>
      <c r="BR10" s="811"/>
      <c r="BS10" s="811"/>
      <c r="BT10" s="811"/>
      <c r="BU10" s="811"/>
      <c r="BV10" s="811"/>
      <c r="BW10" s="811"/>
      <c r="BX10" s="811"/>
      <c r="BY10" s="811"/>
      <c r="BZ10" s="811"/>
      <c r="CA10" s="811"/>
      <c r="CB10" s="811"/>
      <c r="CC10" s="811"/>
      <c r="CD10" s="811"/>
      <c r="CE10" s="811"/>
      <c r="CF10" s="811"/>
      <c r="CG10" s="811"/>
      <c r="CH10" s="811"/>
      <c r="CI10" s="811"/>
      <c r="CJ10" s="811"/>
      <c r="CK10" s="811"/>
      <c r="CL10" s="808"/>
      <c r="CM10" s="808"/>
      <c r="CN10" s="809"/>
      <c r="CO10" s="807"/>
      <c r="CP10" s="808"/>
      <c r="CQ10" s="808"/>
      <c r="CR10" s="808"/>
      <c r="CS10" s="808"/>
      <c r="CT10" s="808"/>
      <c r="CU10" s="808"/>
      <c r="CV10" s="808"/>
      <c r="CW10" s="808"/>
      <c r="CX10" s="808"/>
      <c r="CY10" s="808"/>
      <c r="CZ10" s="808"/>
      <c r="DA10" s="808"/>
      <c r="DB10" s="808"/>
      <c r="DC10" s="808"/>
      <c r="DD10" s="808"/>
      <c r="DE10" s="808"/>
      <c r="DF10" s="808"/>
      <c r="DG10" s="808"/>
      <c r="DH10" s="808"/>
      <c r="DI10" s="808"/>
      <c r="DJ10" s="808"/>
      <c r="DK10" s="808"/>
      <c r="DL10" s="808"/>
      <c r="DM10" s="808"/>
      <c r="DN10" s="808"/>
      <c r="DO10" s="808"/>
      <c r="DP10" s="808"/>
      <c r="DQ10" s="808"/>
      <c r="DR10" s="809"/>
      <c r="DS10" s="807"/>
      <c r="DT10" s="808"/>
      <c r="DU10" s="808"/>
      <c r="DV10" s="808"/>
      <c r="DW10" s="808"/>
      <c r="DX10" s="808"/>
      <c r="DY10" s="808"/>
      <c r="DZ10" s="808"/>
      <c r="EA10" s="808"/>
      <c r="EB10" s="808"/>
      <c r="EC10" s="808"/>
      <c r="ED10" s="808"/>
      <c r="EE10" s="808"/>
      <c r="EF10" s="808"/>
      <c r="EG10" s="808"/>
      <c r="EH10" s="808"/>
      <c r="EI10" s="808"/>
      <c r="EJ10" s="808"/>
      <c r="EK10" s="808"/>
      <c r="EL10" s="808"/>
      <c r="EM10" s="808"/>
      <c r="EN10" s="808"/>
      <c r="EO10" s="808"/>
      <c r="EP10" s="808"/>
      <c r="EQ10" s="808"/>
      <c r="ER10" s="808"/>
      <c r="ES10" s="808"/>
      <c r="ET10" s="808"/>
      <c r="EU10" s="808"/>
      <c r="EV10" s="809"/>
      <c r="EW10" s="807"/>
      <c r="EX10" s="808"/>
      <c r="EY10" s="808"/>
      <c r="EZ10" s="808"/>
      <c r="FA10" s="808"/>
      <c r="FB10" s="808"/>
      <c r="FC10" s="808"/>
      <c r="FD10" s="808"/>
      <c r="FE10" s="808"/>
      <c r="FF10" s="808"/>
      <c r="FG10" s="808"/>
      <c r="FH10" s="808"/>
      <c r="FI10" s="808"/>
      <c r="FJ10" s="808"/>
      <c r="FK10" s="808"/>
      <c r="FL10" s="808"/>
      <c r="FM10" s="808"/>
      <c r="FN10" s="808"/>
      <c r="FO10" s="808"/>
      <c r="FP10" s="808"/>
      <c r="FQ10" s="808"/>
      <c r="FR10" s="808"/>
      <c r="FS10" s="808"/>
      <c r="FT10" s="808"/>
      <c r="FU10" s="808"/>
      <c r="FV10" s="808"/>
      <c r="FW10" s="808"/>
      <c r="FX10" s="808"/>
      <c r="FY10" s="808"/>
      <c r="FZ10" s="809"/>
      <c r="GA10" s="807"/>
      <c r="GB10" s="808"/>
      <c r="GC10" s="808"/>
      <c r="GD10" s="808"/>
      <c r="GE10" s="808"/>
      <c r="GF10" s="808"/>
      <c r="GG10" s="808"/>
      <c r="GH10" s="808"/>
      <c r="GI10" s="808"/>
      <c r="GJ10" s="808"/>
      <c r="GK10" s="808"/>
      <c r="GL10" s="808"/>
      <c r="GM10" s="808"/>
      <c r="GN10" s="808"/>
      <c r="GO10" s="808"/>
      <c r="GP10" s="808"/>
      <c r="GQ10" s="808"/>
      <c r="GR10" s="808"/>
      <c r="GS10" s="808"/>
      <c r="GT10" s="808"/>
      <c r="GU10" s="808"/>
      <c r="GV10" s="808"/>
      <c r="GW10" s="808"/>
      <c r="GX10" s="808"/>
      <c r="GY10" s="808"/>
      <c r="GZ10" s="808"/>
      <c r="HA10" s="808"/>
      <c r="HB10" s="808"/>
      <c r="HC10" s="808"/>
      <c r="HD10" s="809"/>
      <c r="HE10" s="807"/>
      <c r="HF10" s="808"/>
      <c r="HG10" s="808"/>
      <c r="HH10" s="808"/>
      <c r="HI10" s="808"/>
      <c r="HJ10" s="808"/>
      <c r="HK10" s="808"/>
      <c r="HL10" s="808"/>
      <c r="HM10" s="808"/>
      <c r="HN10" s="808"/>
      <c r="HO10" s="808"/>
      <c r="HP10" s="808"/>
      <c r="HQ10" s="808"/>
      <c r="HR10" s="808"/>
      <c r="HS10" s="808"/>
      <c r="HT10" s="808"/>
      <c r="HU10" s="808"/>
      <c r="HV10" s="808"/>
      <c r="HW10" s="808"/>
      <c r="HX10" s="808"/>
      <c r="HY10" s="808"/>
      <c r="HZ10" s="808"/>
      <c r="IA10" s="808"/>
      <c r="IB10" s="808"/>
      <c r="IC10" s="808"/>
      <c r="ID10" s="808"/>
      <c r="IE10" s="808"/>
      <c r="IF10" s="808"/>
      <c r="IG10" s="808"/>
      <c r="IH10" s="809"/>
    </row>
    <row r="11" spans="1:242" x14ac:dyDescent="0.25">
      <c r="A11" s="823" t="s">
        <v>16</v>
      </c>
      <c r="B11" s="824" t="s">
        <v>17</v>
      </c>
      <c r="C11" s="825"/>
      <c r="D11" s="826"/>
      <c r="E11" s="826"/>
      <c r="F11" s="826"/>
      <c r="G11" s="826"/>
      <c r="H11" s="826"/>
      <c r="I11" s="826"/>
      <c r="J11" s="826"/>
      <c r="K11" s="826"/>
      <c r="L11" s="826"/>
      <c r="M11" s="826"/>
      <c r="N11" s="826"/>
      <c r="O11" s="826"/>
      <c r="P11" s="826"/>
      <c r="Q11" s="826"/>
      <c r="R11" s="826"/>
      <c r="S11" s="826"/>
      <c r="T11" s="826"/>
      <c r="U11" s="826"/>
      <c r="V11" s="826"/>
      <c r="W11" s="826"/>
      <c r="X11" s="826"/>
      <c r="Y11" s="826"/>
      <c r="Z11" s="826"/>
      <c r="AA11" s="826"/>
      <c r="AB11" s="826"/>
      <c r="AC11" s="826"/>
      <c r="AD11" s="826"/>
      <c r="AE11" s="826"/>
      <c r="AF11" s="824"/>
      <c r="AG11" s="825"/>
      <c r="AH11" s="826"/>
      <c r="AI11" s="826"/>
      <c r="AJ11" s="826"/>
      <c r="AK11" s="826"/>
      <c r="AL11" s="826"/>
      <c r="AM11" s="826"/>
      <c r="AN11" s="826"/>
      <c r="AO11" s="826"/>
      <c r="AP11" s="826"/>
      <c r="AQ11" s="826"/>
      <c r="AR11" s="826"/>
      <c r="AS11" s="826"/>
      <c r="AT11" s="826"/>
      <c r="AU11" s="826"/>
      <c r="AV11" s="826"/>
      <c r="AW11" s="826"/>
      <c r="AX11" s="826"/>
      <c r="AY11" s="826"/>
      <c r="AZ11" s="826"/>
      <c r="BA11" s="826"/>
      <c r="BB11" s="826"/>
      <c r="BC11" s="826"/>
      <c r="BD11" s="826"/>
      <c r="BE11" s="826"/>
      <c r="BF11" s="826"/>
      <c r="BG11" s="826"/>
      <c r="BH11" s="826"/>
      <c r="BI11" s="826"/>
      <c r="BJ11" s="824"/>
      <c r="BK11" s="807"/>
      <c r="BL11" s="808"/>
      <c r="BM11" s="808"/>
      <c r="BN11" s="808"/>
      <c r="BO11" s="808"/>
      <c r="BP11" s="808"/>
      <c r="BQ11" s="808"/>
      <c r="BR11" s="808"/>
      <c r="BS11" s="808"/>
      <c r="BT11" s="808"/>
      <c r="BU11" s="808"/>
      <c r="BV11" s="808"/>
      <c r="BW11" s="808"/>
      <c r="BX11" s="808"/>
      <c r="BY11" s="808"/>
      <c r="BZ11" s="808"/>
      <c r="CA11" s="808"/>
      <c r="CB11" s="808"/>
      <c r="CC11" s="808"/>
      <c r="CD11" s="808"/>
      <c r="CE11" s="808"/>
      <c r="CF11" s="808"/>
      <c r="CG11" s="808"/>
      <c r="CH11" s="808"/>
      <c r="CI11" s="811"/>
      <c r="CJ11" s="811"/>
      <c r="CK11" s="811"/>
      <c r="CL11" s="811"/>
      <c r="CM11" s="811"/>
      <c r="CN11" s="812"/>
      <c r="CO11" s="810"/>
      <c r="CP11" s="811"/>
      <c r="CQ11" s="811"/>
      <c r="CR11" s="811"/>
      <c r="CS11" s="811"/>
      <c r="CT11" s="811"/>
      <c r="CU11" s="811"/>
      <c r="CV11" s="811"/>
      <c r="CW11" s="811"/>
      <c r="CX11" s="811"/>
      <c r="CY11" s="811"/>
      <c r="CZ11" s="811"/>
      <c r="DA11" s="811"/>
      <c r="DB11" s="811"/>
      <c r="DC11" s="811"/>
      <c r="DD11" s="811"/>
      <c r="DE11" s="811"/>
      <c r="DF11" s="811"/>
      <c r="DG11" s="811"/>
      <c r="DH11" s="808"/>
      <c r="DI11" s="808"/>
      <c r="DJ11" s="808"/>
      <c r="DK11" s="808"/>
      <c r="DL11" s="808"/>
      <c r="DM11" s="808"/>
      <c r="DN11" s="808"/>
      <c r="DO11" s="808"/>
      <c r="DP11" s="808"/>
      <c r="DQ11" s="808"/>
      <c r="DR11" s="809"/>
      <c r="DS11" s="807"/>
      <c r="DT11" s="808"/>
      <c r="DU11" s="808"/>
      <c r="DV11" s="808"/>
      <c r="DW11" s="808"/>
      <c r="DX11" s="808"/>
      <c r="DY11" s="808"/>
      <c r="DZ11" s="808"/>
      <c r="EA11" s="808"/>
      <c r="EB11" s="808"/>
      <c r="EC11" s="808"/>
      <c r="ED11" s="808"/>
      <c r="EE11" s="808"/>
      <c r="EF11" s="808"/>
      <c r="EG11" s="808"/>
      <c r="EH11" s="808"/>
      <c r="EI11" s="808"/>
      <c r="EJ11" s="808"/>
      <c r="EK11" s="808"/>
      <c r="EL11" s="808"/>
      <c r="EM11" s="808"/>
      <c r="EN11" s="808"/>
      <c r="EO11" s="808"/>
      <c r="EP11" s="808"/>
      <c r="EQ11" s="808"/>
      <c r="ER11" s="808"/>
      <c r="ES11" s="808"/>
      <c r="ET11" s="808"/>
      <c r="EU11" s="808"/>
      <c r="EV11" s="809"/>
      <c r="EW11" s="807"/>
      <c r="EX11" s="808"/>
      <c r="EY11" s="808"/>
      <c r="EZ11" s="808"/>
      <c r="FA11" s="808"/>
      <c r="FB11" s="808"/>
      <c r="FC11" s="808"/>
      <c r="FD11" s="808"/>
      <c r="FE11" s="808"/>
      <c r="FF11" s="808"/>
      <c r="FG11" s="808"/>
      <c r="FH11" s="808"/>
      <c r="FI11" s="808"/>
      <c r="FJ11" s="808"/>
      <c r="FK11" s="808"/>
      <c r="FL11" s="808"/>
      <c r="FM11" s="808"/>
      <c r="FN11" s="808"/>
      <c r="FO11" s="808"/>
      <c r="FP11" s="808"/>
      <c r="FQ11" s="808"/>
      <c r="FR11" s="808"/>
      <c r="FS11" s="808"/>
      <c r="FT11" s="808"/>
      <c r="FU11" s="808"/>
      <c r="FV11" s="808"/>
      <c r="FW11" s="808"/>
      <c r="FX11" s="808"/>
      <c r="FY11" s="808"/>
      <c r="FZ11" s="809"/>
      <c r="GA11" s="807"/>
      <c r="GB11" s="808"/>
      <c r="GC11" s="808"/>
      <c r="GD11" s="808"/>
      <c r="GE11" s="808"/>
      <c r="GF11" s="808"/>
      <c r="GG11" s="808"/>
      <c r="GH11" s="808"/>
      <c r="GI11" s="808"/>
      <c r="GJ11" s="808"/>
      <c r="GK11" s="808"/>
      <c r="GL11" s="808"/>
      <c r="GM11" s="808"/>
      <c r="GN11" s="808"/>
      <c r="GO11" s="808"/>
      <c r="GP11" s="808"/>
      <c r="GQ11" s="808"/>
      <c r="GR11" s="808"/>
      <c r="GS11" s="808"/>
      <c r="GT11" s="808"/>
      <c r="GU11" s="808"/>
      <c r="GV11" s="808"/>
      <c r="GW11" s="808"/>
      <c r="GX11" s="808"/>
      <c r="GY11" s="808"/>
      <c r="GZ11" s="808"/>
      <c r="HA11" s="808"/>
      <c r="HB11" s="808"/>
      <c r="HC11" s="808"/>
      <c r="HD11" s="809"/>
      <c r="HE11" s="807"/>
      <c r="HF11" s="808"/>
      <c r="HG11" s="808"/>
      <c r="HH11" s="808"/>
      <c r="HI11" s="808"/>
      <c r="HJ11" s="808"/>
      <c r="HK11" s="808"/>
      <c r="HL11" s="808"/>
      <c r="HM11" s="808"/>
      <c r="HN11" s="808"/>
      <c r="HO11" s="808"/>
      <c r="HP11" s="808"/>
      <c r="HQ11" s="808"/>
      <c r="HR11" s="808"/>
      <c r="HS11" s="808"/>
      <c r="HT11" s="808"/>
      <c r="HU11" s="808"/>
      <c r="HV11" s="808"/>
      <c r="HW11" s="808"/>
      <c r="HX11" s="808"/>
      <c r="HY11" s="808"/>
      <c r="HZ11" s="808"/>
      <c r="IA11" s="808"/>
      <c r="IB11" s="808"/>
      <c r="IC11" s="808"/>
      <c r="ID11" s="808"/>
      <c r="IE11" s="808"/>
      <c r="IF11" s="808"/>
      <c r="IG11" s="808"/>
      <c r="IH11" s="809"/>
    </row>
    <row r="12" spans="1:242" x14ac:dyDescent="0.25">
      <c r="A12" s="823">
        <v>215</v>
      </c>
      <c r="B12" s="824" t="s">
        <v>85</v>
      </c>
      <c r="C12" s="825"/>
      <c r="D12" s="826"/>
      <c r="E12" s="826"/>
      <c r="F12" s="826"/>
      <c r="G12" s="826"/>
      <c r="H12" s="826"/>
      <c r="I12" s="826"/>
      <c r="J12" s="826"/>
      <c r="K12" s="826"/>
      <c r="L12" s="826"/>
      <c r="M12" s="826"/>
      <c r="N12" s="826"/>
      <c r="O12" s="826"/>
      <c r="P12" s="826"/>
      <c r="Q12" s="826"/>
      <c r="R12" s="826"/>
      <c r="S12" s="826"/>
      <c r="T12" s="826"/>
      <c r="U12" s="826"/>
      <c r="V12" s="826"/>
      <c r="W12" s="826"/>
      <c r="X12" s="826"/>
      <c r="Y12" s="826"/>
      <c r="Z12" s="826"/>
      <c r="AA12" s="826"/>
      <c r="AB12" s="826"/>
      <c r="AC12" s="826"/>
      <c r="AD12" s="826"/>
      <c r="AE12" s="826"/>
      <c r="AF12" s="824"/>
      <c r="AG12" s="825"/>
      <c r="AH12" s="826"/>
      <c r="AI12" s="826"/>
      <c r="AJ12" s="826"/>
      <c r="AK12" s="826"/>
      <c r="AL12" s="826"/>
      <c r="AM12" s="826"/>
      <c r="AN12" s="826"/>
      <c r="AO12" s="826"/>
      <c r="AP12" s="826"/>
      <c r="AQ12" s="826"/>
      <c r="AR12" s="826"/>
      <c r="AS12" s="826"/>
      <c r="AT12" s="826"/>
      <c r="AU12" s="826"/>
      <c r="AV12" s="826"/>
      <c r="AW12" s="826"/>
      <c r="AX12" s="826"/>
      <c r="AY12" s="826"/>
      <c r="AZ12" s="826"/>
      <c r="BA12" s="826"/>
      <c r="BB12" s="826"/>
      <c r="BC12" s="826"/>
      <c r="BD12" s="826"/>
      <c r="BE12" s="826"/>
      <c r="BF12" s="826"/>
      <c r="BG12" s="826"/>
      <c r="BH12" s="826"/>
      <c r="BI12" s="826"/>
      <c r="BJ12" s="824"/>
      <c r="BK12" s="807"/>
      <c r="BL12" s="808"/>
      <c r="BM12" s="808"/>
      <c r="BN12" s="808"/>
      <c r="BO12" s="808"/>
      <c r="BP12" s="808"/>
      <c r="BQ12" s="808"/>
      <c r="BR12" s="808"/>
      <c r="BS12" s="808"/>
      <c r="BT12" s="808"/>
      <c r="BU12" s="808"/>
      <c r="BV12" s="808"/>
      <c r="BW12" s="808"/>
      <c r="BX12" s="808"/>
      <c r="BY12" s="808"/>
      <c r="BZ12" s="808"/>
      <c r="CA12" s="808"/>
      <c r="CB12" s="808"/>
      <c r="CC12" s="808"/>
      <c r="CD12" s="808"/>
      <c r="CE12" s="808"/>
      <c r="CF12" s="808"/>
      <c r="CG12" s="808"/>
      <c r="CH12" s="808"/>
      <c r="CI12" s="808"/>
      <c r="CJ12" s="808"/>
      <c r="CK12" s="808"/>
      <c r="CL12" s="808"/>
      <c r="CM12" s="808"/>
      <c r="CN12" s="809"/>
      <c r="CO12" s="807"/>
      <c r="CP12" s="808"/>
      <c r="CQ12" s="808"/>
      <c r="CR12" s="808"/>
      <c r="CS12" s="811"/>
      <c r="CT12" s="811"/>
      <c r="CU12" s="811"/>
      <c r="CV12" s="811"/>
      <c r="CW12" s="811"/>
      <c r="CX12" s="811"/>
      <c r="CY12" s="811"/>
      <c r="CZ12" s="811"/>
      <c r="DA12" s="811"/>
      <c r="DB12" s="811"/>
      <c r="DC12" s="811"/>
      <c r="DD12" s="811"/>
      <c r="DE12" s="811"/>
      <c r="DF12" s="811"/>
      <c r="DG12" s="811"/>
      <c r="DH12" s="811"/>
      <c r="DI12" s="811"/>
      <c r="DJ12" s="811"/>
      <c r="DK12" s="808"/>
      <c r="DL12" s="808"/>
      <c r="DM12" s="808"/>
      <c r="DN12" s="808"/>
      <c r="DO12" s="808"/>
      <c r="DP12" s="808"/>
      <c r="DQ12" s="808"/>
      <c r="DR12" s="809"/>
      <c r="DS12" s="807"/>
      <c r="DT12" s="808"/>
      <c r="DU12" s="808"/>
      <c r="DV12" s="808"/>
      <c r="DW12" s="808"/>
      <c r="DX12" s="808"/>
      <c r="DY12" s="808"/>
      <c r="DZ12" s="808"/>
      <c r="EA12" s="808"/>
      <c r="EB12" s="808"/>
      <c r="EC12" s="808"/>
      <c r="ED12" s="808"/>
      <c r="EE12" s="808"/>
      <c r="EF12" s="808"/>
      <c r="EG12" s="808"/>
      <c r="EH12" s="808"/>
      <c r="EI12" s="808"/>
      <c r="EJ12" s="808"/>
      <c r="EK12" s="808"/>
      <c r="EL12" s="808"/>
      <c r="EM12" s="808"/>
      <c r="EN12" s="808"/>
      <c r="EO12" s="808"/>
      <c r="EP12" s="808"/>
      <c r="EQ12" s="808"/>
      <c r="ER12" s="808"/>
      <c r="ES12" s="808"/>
      <c r="ET12" s="808"/>
      <c r="EU12" s="808"/>
      <c r="EV12" s="809"/>
      <c r="EW12" s="807"/>
      <c r="EX12" s="808"/>
      <c r="EY12" s="808"/>
      <c r="EZ12" s="808"/>
      <c r="FA12" s="808"/>
      <c r="FB12" s="808"/>
      <c r="FC12" s="808"/>
      <c r="FD12" s="808"/>
      <c r="FE12" s="808"/>
      <c r="FF12" s="808"/>
      <c r="FG12" s="808"/>
      <c r="FH12" s="808"/>
      <c r="FI12" s="808"/>
      <c r="FJ12" s="808"/>
      <c r="FK12" s="808"/>
      <c r="FL12" s="808"/>
      <c r="FM12" s="808"/>
      <c r="FN12" s="808"/>
      <c r="FO12" s="808"/>
      <c r="FP12" s="808"/>
      <c r="FQ12" s="808"/>
      <c r="FR12" s="808"/>
      <c r="FS12" s="808"/>
      <c r="FT12" s="808"/>
      <c r="FU12" s="808"/>
      <c r="FV12" s="808"/>
      <c r="FW12" s="808"/>
      <c r="FX12" s="808"/>
      <c r="FY12" s="808"/>
      <c r="FZ12" s="809"/>
      <c r="GA12" s="807"/>
      <c r="GB12" s="808"/>
      <c r="GC12" s="808"/>
      <c r="GD12" s="808"/>
      <c r="GE12" s="808"/>
      <c r="GF12" s="808"/>
      <c r="GG12" s="808"/>
      <c r="GH12" s="808"/>
      <c r="GI12" s="808"/>
      <c r="GJ12" s="808"/>
      <c r="GK12" s="808"/>
      <c r="GL12" s="808"/>
      <c r="GM12" s="808"/>
      <c r="GN12" s="808"/>
      <c r="GO12" s="808"/>
      <c r="GP12" s="808"/>
      <c r="GQ12" s="808"/>
      <c r="GR12" s="808"/>
      <c r="GS12" s="808"/>
      <c r="GT12" s="808"/>
      <c r="GU12" s="808"/>
      <c r="GV12" s="808"/>
      <c r="GW12" s="808"/>
      <c r="GX12" s="808"/>
      <c r="GY12" s="808"/>
      <c r="GZ12" s="808"/>
      <c r="HA12" s="808"/>
      <c r="HB12" s="808"/>
      <c r="HC12" s="808"/>
      <c r="HD12" s="809"/>
      <c r="HE12" s="807"/>
      <c r="HF12" s="808"/>
      <c r="HG12" s="808"/>
      <c r="HH12" s="808"/>
      <c r="HI12" s="808"/>
      <c r="HJ12" s="808"/>
      <c r="HK12" s="808"/>
      <c r="HL12" s="808"/>
      <c r="HM12" s="808"/>
      <c r="HN12" s="808"/>
      <c r="HO12" s="808"/>
      <c r="HP12" s="808"/>
      <c r="HQ12" s="808"/>
      <c r="HR12" s="808"/>
      <c r="HS12" s="808"/>
      <c r="HT12" s="808"/>
      <c r="HU12" s="808"/>
      <c r="HV12" s="808"/>
      <c r="HW12" s="808"/>
      <c r="HX12" s="808"/>
      <c r="HY12" s="808"/>
      <c r="HZ12" s="808"/>
      <c r="IA12" s="808"/>
      <c r="IB12" s="808"/>
      <c r="IC12" s="808"/>
      <c r="ID12" s="808"/>
      <c r="IE12" s="808"/>
      <c r="IF12" s="808"/>
      <c r="IG12" s="808"/>
      <c r="IH12" s="809"/>
    </row>
    <row r="13" spans="1:242" ht="33" x14ac:dyDescent="0.25">
      <c r="A13" s="823" t="s">
        <v>19</v>
      </c>
      <c r="B13" s="824" t="s">
        <v>86</v>
      </c>
      <c r="C13" s="825"/>
      <c r="D13" s="826"/>
      <c r="E13" s="826"/>
      <c r="F13" s="826"/>
      <c r="G13" s="826"/>
      <c r="H13" s="826"/>
      <c r="I13" s="826"/>
      <c r="J13" s="826"/>
      <c r="K13" s="826"/>
      <c r="L13" s="826"/>
      <c r="M13" s="826"/>
      <c r="N13" s="826"/>
      <c r="O13" s="826"/>
      <c r="P13" s="826"/>
      <c r="Q13" s="826"/>
      <c r="R13" s="826"/>
      <c r="S13" s="826"/>
      <c r="T13" s="826"/>
      <c r="U13" s="826"/>
      <c r="V13" s="826"/>
      <c r="W13" s="826"/>
      <c r="X13" s="826"/>
      <c r="Y13" s="826"/>
      <c r="Z13" s="826"/>
      <c r="AA13" s="826"/>
      <c r="AB13" s="826"/>
      <c r="AC13" s="826"/>
      <c r="AD13" s="826"/>
      <c r="AE13" s="826"/>
      <c r="AF13" s="824"/>
      <c r="AG13" s="825"/>
      <c r="AH13" s="826"/>
      <c r="AI13" s="826"/>
      <c r="AJ13" s="826"/>
      <c r="AK13" s="826"/>
      <c r="AL13" s="826"/>
      <c r="AM13" s="826"/>
      <c r="AN13" s="826"/>
      <c r="AO13" s="826"/>
      <c r="AP13" s="826"/>
      <c r="AQ13" s="826"/>
      <c r="AR13" s="826"/>
      <c r="AS13" s="826"/>
      <c r="AT13" s="826"/>
      <c r="AU13" s="826"/>
      <c r="AV13" s="826"/>
      <c r="AW13" s="826"/>
      <c r="AX13" s="826"/>
      <c r="AY13" s="826"/>
      <c r="AZ13" s="826"/>
      <c r="BA13" s="826"/>
      <c r="BB13" s="826"/>
      <c r="BC13" s="826"/>
      <c r="BD13" s="826"/>
      <c r="BE13" s="826"/>
      <c r="BF13" s="826"/>
      <c r="BG13" s="826"/>
      <c r="BH13" s="826"/>
      <c r="BI13" s="826"/>
      <c r="BJ13" s="824"/>
      <c r="BK13" s="807"/>
      <c r="BL13" s="808"/>
      <c r="BM13" s="808"/>
      <c r="BN13" s="808"/>
      <c r="BO13" s="808"/>
      <c r="BP13" s="808"/>
      <c r="BQ13" s="808"/>
      <c r="BR13" s="808"/>
      <c r="BS13" s="808"/>
      <c r="BT13" s="808"/>
      <c r="BU13" s="808"/>
      <c r="BV13" s="808"/>
      <c r="BW13" s="808"/>
      <c r="BX13" s="808"/>
      <c r="BY13" s="808"/>
      <c r="BZ13" s="808"/>
      <c r="CA13" s="808"/>
      <c r="CB13" s="808"/>
      <c r="CC13" s="808"/>
      <c r="CD13" s="808"/>
      <c r="CE13" s="808"/>
      <c r="CF13" s="808"/>
      <c r="CG13" s="808"/>
      <c r="CH13" s="808"/>
      <c r="CI13" s="811"/>
      <c r="CJ13" s="811"/>
      <c r="CK13" s="811"/>
      <c r="CL13" s="811"/>
      <c r="CM13" s="811"/>
      <c r="CN13" s="812"/>
      <c r="CO13" s="810"/>
      <c r="CP13" s="811"/>
      <c r="CQ13" s="811"/>
      <c r="CR13" s="811"/>
      <c r="CS13" s="811"/>
      <c r="CT13" s="811"/>
      <c r="CU13" s="811"/>
      <c r="CV13" s="808"/>
      <c r="CW13" s="808"/>
      <c r="CX13" s="808"/>
      <c r="CY13" s="808"/>
      <c r="CZ13" s="808"/>
      <c r="DA13" s="808"/>
      <c r="DB13" s="808"/>
      <c r="DC13" s="808"/>
      <c r="DD13" s="808"/>
      <c r="DE13" s="808"/>
      <c r="DF13" s="808"/>
      <c r="DG13" s="808"/>
      <c r="DH13" s="808"/>
      <c r="DI13" s="808"/>
      <c r="DJ13" s="808"/>
      <c r="DK13" s="808"/>
      <c r="DL13" s="808"/>
      <c r="DM13" s="808"/>
      <c r="DN13" s="808"/>
      <c r="DO13" s="808"/>
      <c r="DP13" s="808"/>
      <c r="DQ13" s="808"/>
      <c r="DR13" s="809"/>
      <c r="DS13" s="807"/>
      <c r="DT13" s="808"/>
      <c r="DU13" s="808"/>
      <c r="DV13" s="808"/>
      <c r="DW13" s="808"/>
      <c r="DX13" s="808"/>
      <c r="DY13" s="808"/>
      <c r="DZ13" s="808"/>
      <c r="EA13" s="808"/>
      <c r="EB13" s="808"/>
      <c r="EC13" s="808"/>
      <c r="ED13" s="808"/>
      <c r="EE13" s="808"/>
      <c r="EF13" s="808"/>
      <c r="EG13" s="808"/>
      <c r="EH13" s="808"/>
      <c r="EI13" s="808"/>
      <c r="EJ13" s="808"/>
      <c r="EK13" s="808"/>
      <c r="EL13" s="808"/>
      <c r="EM13" s="808"/>
      <c r="EN13" s="808"/>
      <c r="EO13" s="808"/>
      <c r="EP13" s="808"/>
      <c r="EQ13" s="808"/>
      <c r="ER13" s="808"/>
      <c r="ES13" s="808"/>
      <c r="ET13" s="808"/>
      <c r="EU13" s="808"/>
      <c r="EV13" s="809"/>
      <c r="EW13" s="807"/>
      <c r="EX13" s="808"/>
      <c r="EY13" s="808"/>
      <c r="EZ13" s="808"/>
      <c r="FA13" s="808"/>
      <c r="FB13" s="808"/>
      <c r="FC13" s="808"/>
      <c r="FD13" s="808"/>
      <c r="FE13" s="808"/>
      <c r="FF13" s="808"/>
      <c r="FG13" s="808"/>
      <c r="FH13" s="808"/>
      <c r="FI13" s="808"/>
      <c r="FJ13" s="808"/>
      <c r="FK13" s="808"/>
      <c r="FL13" s="808"/>
      <c r="FM13" s="808"/>
      <c r="FN13" s="808"/>
      <c r="FO13" s="808"/>
      <c r="FP13" s="808"/>
      <c r="FQ13" s="808"/>
      <c r="FR13" s="808"/>
      <c r="FS13" s="808"/>
      <c r="FT13" s="808"/>
      <c r="FU13" s="808"/>
      <c r="FV13" s="808"/>
      <c r="FW13" s="808"/>
      <c r="FX13" s="808"/>
      <c r="FY13" s="808"/>
      <c r="FZ13" s="809"/>
      <c r="GA13" s="807"/>
      <c r="GB13" s="808"/>
      <c r="GC13" s="808"/>
      <c r="GD13" s="808"/>
      <c r="GE13" s="808"/>
      <c r="GF13" s="808"/>
      <c r="GG13" s="808"/>
      <c r="GH13" s="808"/>
      <c r="GI13" s="808"/>
      <c r="GJ13" s="808"/>
      <c r="GK13" s="808"/>
      <c r="GL13" s="808"/>
      <c r="GM13" s="808"/>
      <c r="GN13" s="808"/>
      <c r="GO13" s="808"/>
      <c r="GP13" s="808"/>
      <c r="GQ13" s="808"/>
      <c r="GR13" s="808"/>
      <c r="GS13" s="808"/>
      <c r="GT13" s="808"/>
      <c r="GU13" s="808"/>
      <c r="GV13" s="808"/>
      <c r="GW13" s="808"/>
      <c r="GX13" s="808"/>
      <c r="GY13" s="808"/>
      <c r="GZ13" s="808"/>
      <c r="HA13" s="808"/>
      <c r="HB13" s="808"/>
      <c r="HC13" s="808"/>
      <c r="HD13" s="809"/>
      <c r="HE13" s="807"/>
      <c r="HF13" s="808"/>
      <c r="HG13" s="808"/>
      <c r="HH13" s="808"/>
      <c r="HI13" s="808"/>
      <c r="HJ13" s="808"/>
      <c r="HK13" s="808"/>
      <c r="HL13" s="808"/>
      <c r="HM13" s="808"/>
      <c r="HN13" s="808"/>
      <c r="HO13" s="808"/>
      <c r="HP13" s="808"/>
      <c r="HQ13" s="808"/>
      <c r="HR13" s="808"/>
      <c r="HS13" s="808"/>
      <c r="HT13" s="808"/>
      <c r="HU13" s="808"/>
      <c r="HV13" s="808"/>
      <c r="HW13" s="808"/>
      <c r="HX13" s="808"/>
      <c r="HY13" s="808"/>
      <c r="HZ13" s="808"/>
      <c r="IA13" s="808"/>
      <c r="IB13" s="808"/>
      <c r="IC13" s="808"/>
      <c r="ID13" s="808"/>
      <c r="IE13" s="808"/>
      <c r="IF13" s="808"/>
      <c r="IG13" s="808"/>
      <c r="IH13" s="809"/>
    </row>
    <row r="14" spans="1:242" ht="33" x14ac:dyDescent="0.25">
      <c r="A14" s="823" t="s">
        <v>20</v>
      </c>
      <c r="B14" s="824" t="s">
        <v>89</v>
      </c>
      <c r="C14" s="825"/>
      <c r="D14" s="826"/>
      <c r="E14" s="826"/>
      <c r="F14" s="826"/>
      <c r="G14" s="826"/>
      <c r="H14" s="826"/>
      <c r="I14" s="826"/>
      <c r="J14" s="826"/>
      <c r="K14" s="826"/>
      <c r="L14" s="826"/>
      <c r="M14" s="826"/>
      <c r="N14" s="826"/>
      <c r="O14" s="826"/>
      <c r="P14" s="826"/>
      <c r="Q14" s="826"/>
      <c r="R14" s="826"/>
      <c r="S14" s="826"/>
      <c r="T14" s="826"/>
      <c r="U14" s="826"/>
      <c r="V14" s="826"/>
      <c r="W14" s="826"/>
      <c r="X14" s="826"/>
      <c r="Y14" s="826"/>
      <c r="Z14" s="826"/>
      <c r="AA14" s="826"/>
      <c r="AB14" s="826"/>
      <c r="AC14" s="826"/>
      <c r="AD14" s="826"/>
      <c r="AE14" s="826"/>
      <c r="AF14" s="824"/>
      <c r="AG14" s="825"/>
      <c r="AH14" s="826"/>
      <c r="AI14" s="826"/>
      <c r="AJ14" s="826"/>
      <c r="AK14" s="826"/>
      <c r="AL14" s="826"/>
      <c r="AM14" s="826"/>
      <c r="AN14" s="826"/>
      <c r="AO14" s="826"/>
      <c r="AP14" s="826"/>
      <c r="AQ14" s="826"/>
      <c r="AR14" s="826"/>
      <c r="AS14" s="826"/>
      <c r="AT14" s="826"/>
      <c r="AU14" s="826"/>
      <c r="AV14" s="826"/>
      <c r="AW14" s="826"/>
      <c r="AX14" s="826"/>
      <c r="AY14" s="826"/>
      <c r="AZ14" s="826"/>
      <c r="BA14" s="826"/>
      <c r="BB14" s="826"/>
      <c r="BC14" s="826"/>
      <c r="BD14" s="826"/>
      <c r="BE14" s="826"/>
      <c r="BF14" s="826"/>
      <c r="BG14" s="826"/>
      <c r="BH14" s="826"/>
      <c r="BI14" s="826"/>
      <c r="BJ14" s="824"/>
      <c r="BK14" s="807"/>
      <c r="BL14" s="808"/>
      <c r="BM14" s="808"/>
      <c r="BN14" s="808"/>
      <c r="BO14" s="808"/>
      <c r="BP14" s="808"/>
      <c r="BQ14" s="808"/>
      <c r="BR14" s="808"/>
      <c r="BS14" s="808"/>
      <c r="BT14" s="808"/>
      <c r="BU14" s="808"/>
      <c r="BV14" s="808"/>
      <c r="BW14" s="808"/>
      <c r="BX14" s="808"/>
      <c r="BY14" s="808"/>
      <c r="BZ14" s="808"/>
      <c r="CA14" s="808"/>
      <c r="CB14" s="808"/>
      <c r="CC14" s="808"/>
      <c r="CD14" s="808"/>
      <c r="CE14" s="808"/>
      <c r="CF14" s="808"/>
      <c r="CG14" s="808"/>
      <c r="CH14" s="808"/>
      <c r="CI14" s="811"/>
      <c r="CJ14" s="811"/>
      <c r="CK14" s="811"/>
      <c r="CL14" s="811"/>
      <c r="CM14" s="811"/>
      <c r="CN14" s="812"/>
      <c r="CO14" s="810"/>
      <c r="CP14" s="811"/>
      <c r="CQ14" s="808"/>
      <c r="CR14" s="808"/>
      <c r="CS14" s="808"/>
      <c r="CT14" s="808"/>
      <c r="CU14" s="808"/>
      <c r="CV14" s="808"/>
      <c r="CW14" s="808"/>
      <c r="CX14" s="808"/>
      <c r="CY14" s="808"/>
      <c r="CZ14" s="808"/>
      <c r="DA14" s="808"/>
      <c r="DB14" s="808"/>
      <c r="DC14" s="808"/>
      <c r="DD14" s="808"/>
      <c r="DE14" s="808"/>
      <c r="DF14" s="808"/>
      <c r="DG14" s="808"/>
      <c r="DH14" s="808"/>
      <c r="DI14" s="808"/>
      <c r="DJ14" s="808"/>
      <c r="DK14" s="808"/>
      <c r="DL14" s="808"/>
      <c r="DM14" s="808"/>
      <c r="DN14" s="808"/>
      <c r="DO14" s="808"/>
      <c r="DP14" s="808"/>
      <c r="DQ14" s="808"/>
      <c r="DR14" s="809"/>
      <c r="DS14" s="807"/>
      <c r="DT14" s="808"/>
      <c r="DU14" s="808"/>
      <c r="DV14" s="808"/>
      <c r="DW14" s="808"/>
      <c r="DX14" s="808"/>
      <c r="DY14" s="808"/>
      <c r="DZ14" s="808"/>
      <c r="EA14" s="808"/>
      <c r="EB14" s="808"/>
      <c r="EC14" s="808"/>
      <c r="ED14" s="808"/>
      <c r="EE14" s="808"/>
      <c r="EF14" s="808"/>
      <c r="EG14" s="808"/>
      <c r="EH14" s="808"/>
      <c r="EI14" s="808"/>
      <c r="EJ14" s="808"/>
      <c r="EK14" s="808"/>
      <c r="EL14" s="808"/>
      <c r="EM14" s="808"/>
      <c r="EN14" s="808"/>
      <c r="EO14" s="808"/>
      <c r="EP14" s="808"/>
      <c r="EQ14" s="808"/>
      <c r="ER14" s="808"/>
      <c r="ES14" s="808"/>
      <c r="ET14" s="808"/>
      <c r="EU14" s="808"/>
      <c r="EV14" s="809"/>
      <c r="EW14" s="807"/>
      <c r="EX14" s="808"/>
      <c r="EY14" s="808"/>
      <c r="EZ14" s="808"/>
      <c r="FA14" s="808"/>
      <c r="FB14" s="808"/>
      <c r="FC14" s="808"/>
      <c r="FD14" s="808"/>
      <c r="FE14" s="808"/>
      <c r="FF14" s="808"/>
      <c r="FG14" s="808"/>
      <c r="FH14" s="808"/>
      <c r="FI14" s="808"/>
      <c r="FJ14" s="808"/>
      <c r="FK14" s="808"/>
      <c r="FL14" s="808"/>
      <c r="FM14" s="808"/>
      <c r="FN14" s="808"/>
      <c r="FO14" s="808"/>
      <c r="FP14" s="808"/>
      <c r="FQ14" s="808"/>
      <c r="FR14" s="808"/>
      <c r="FS14" s="808"/>
      <c r="FT14" s="808"/>
      <c r="FU14" s="808"/>
      <c r="FV14" s="808"/>
      <c r="FW14" s="808"/>
      <c r="FX14" s="808"/>
      <c r="FY14" s="808"/>
      <c r="FZ14" s="809"/>
      <c r="GA14" s="807"/>
      <c r="GB14" s="808"/>
      <c r="GC14" s="808"/>
      <c r="GD14" s="808"/>
      <c r="GE14" s="808"/>
      <c r="GF14" s="808"/>
      <c r="GG14" s="808"/>
      <c r="GH14" s="808"/>
      <c r="GI14" s="808"/>
      <c r="GJ14" s="808"/>
      <c r="GK14" s="808"/>
      <c r="GL14" s="808"/>
      <c r="GM14" s="808"/>
      <c r="GN14" s="808"/>
      <c r="GO14" s="808"/>
      <c r="GP14" s="808"/>
      <c r="GQ14" s="808"/>
      <c r="GR14" s="808"/>
      <c r="GS14" s="808"/>
      <c r="GT14" s="808"/>
      <c r="GU14" s="808"/>
      <c r="GV14" s="808"/>
      <c r="GW14" s="808"/>
      <c r="GX14" s="808"/>
      <c r="GY14" s="808"/>
      <c r="GZ14" s="808"/>
      <c r="HA14" s="808"/>
      <c r="HB14" s="808"/>
      <c r="HC14" s="808"/>
      <c r="HD14" s="809"/>
      <c r="HE14" s="807"/>
      <c r="HF14" s="808"/>
      <c r="HG14" s="808"/>
      <c r="HH14" s="808"/>
      <c r="HI14" s="808"/>
      <c r="HJ14" s="808"/>
      <c r="HK14" s="808"/>
      <c r="HL14" s="808"/>
      <c r="HM14" s="808"/>
      <c r="HN14" s="808"/>
      <c r="HO14" s="808"/>
      <c r="HP14" s="808"/>
      <c r="HQ14" s="808"/>
      <c r="HR14" s="808"/>
      <c r="HS14" s="808"/>
      <c r="HT14" s="808"/>
      <c r="HU14" s="808"/>
      <c r="HV14" s="808"/>
      <c r="HW14" s="808"/>
      <c r="HX14" s="808"/>
      <c r="HY14" s="808"/>
      <c r="HZ14" s="808"/>
      <c r="IA14" s="808"/>
      <c r="IB14" s="808"/>
      <c r="IC14" s="808"/>
      <c r="ID14" s="808"/>
      <c r="IE14" s="808"/>
      <c r="IF14" s="808"/>
      <c r="IG14" s="808"/>
      <c r="IH14" s="809"/>
    </row>
    <row r="15" spans="1:242" x14ac:dyDescent="0.25">
      <c r="A15" s="823">
        <v>211.1</v>
      </c>
      <c r="B15" s="824" t="s">
        <v>90</v>
      </c>
      <c r="C15" s="825"/>
      <c r="D15" s="826"/>
      <c r="E15" s="826"/>
      <c r="F15" s="826"/>
      <c r="G15" s="826"/>
      <c r="H15" s="826"/>
      <c r="I15" s="826"/>
      <c r="J15" s="826"/>
      <c r="K15" s="826"/>
      <c r="L15" s="826"/>
      <c r="M15" s="826"/>
      <c r="N15" s="826"/>
      <c r="O15" s="826"/>
      <c r="P15" s="826"/>
      <c r="Q15" s="826"/>
      <c r="R15" s="826"/>
      <c r="S15" s="826"/>
      <c r="T15" s="826"/>
      <c r="U15" s="826"/>
      <c r="V15" s="826"/>
      <c r="W15" s="826"/>
      <c r="X15" s="826"/>
      <c r="Y15" s="826"/>
      <c r="Z15" s="826"/>
      <c r="AA15" s="826"/>
      <c r="AB15" s="826"/>
      <c r="AC15" s="826"/>
      <c r="AD15" s="826"/>
      <c r="AE15" s="826"/>
      <c r="AF15" s="824"/>
      <c r="AG15" s="825"/>
      <c r="AH15" s="826"/>
      <c r="AI15" s="826"/>
      <c r="AJ15" s="826"/>
      <c r="AK15" s="826"/>
      <c r="AL15" s="826"/>
      <c r="AM15" s="826"/>
      <c r="AN15" s="826"/>
      <c r="AO15" s="826"/>
      <c r="AP15" s="826"/>
      <c r="AQ15" s="826"/>
      <c r="AR15" s="826"/>
      <c r="AS15" s="826"/>
      <c r="AT15" s="826"/>
      <c r="AU15" s="826"/>
      <c r="AV15" s="826"/>
      <c r="AW15" s="826"/>
      <c r="AX15" s="826"/>
      <c r="AY15" s="826"/>
      <c r="AZ15" s="826"/>
      <c r="BA15" s="826"/>
      <c r="BB15" s="826"/>
      <c r="BC15" s="826"/>
      <c r="BD15" s="826"/>
      <c r="BE15" s="826"/>
      <c r="BF15" s="826"/>
      <c r="BG15" s="826"/>
      <c r="BH15" s="826"/>
      <c r="BI15" s="826"/>
      <c r="BJ15" s="824"/>
      <c r="BK15" s="810"/>
      <c r="BL15" s="811"/>
      <c r="BM15" s="811"/>
      <c r="BN15" s="811"/>
      <c r="BO15" s="811"/>
      <c r="BP15" s="811"/>
      <c r="BQ15" s="811"/>
      <c r="BR15" s="811"/>
      <c r="BS15" s="811"/>
      <c r="BT15" s="811"/>
      <c r="BU15" s="811"/>
      <c r="BV15" s="811"/>
      <c r="BW15" s="811"/>
      <c r="BX15" s="811"/>
      <c r="BY15" s="811"/>
      <c r="BZ15" s="811"/>
      <c r="CA15" s="811"/>
      <c r="CB15" s="811"/>
      <c r="CC15" s="811"/>
      <c r="CD15" s="811"/>
      <c r="CE15" s="811"/>
      <c r="CF15" s="811"/>
      <c r="CG15" s="811"/>
      <c r="CH15" s="811"/>
      <c r="CI15" s="808"/>
      <c r="CJ15" s="808"/>
      <c r="CK15" s="808"/>
      <c r="CL15" s="808"/>
      <c r="CM15" s="808"/>
      <c r="CN15" s="809"/>
      <c r="CO15" s="807"/>
      <c r="CP15" s="808"/>
      <c r="CQ15" s="808"/>
      <c r="CR15" s="808"/>
      <c r="CS15" s="808"/>
      <c r="CT15" s="808"/>
      <c r="CU15" s="808"/>
      <c r="CV15" s="808"/>
      <c r="CW15" s="808"/>
      <c r="CX15" s="808"/>
      <c r="CY15" s="808"/>
      <c r="CZ15" s="808"/>
      <c r="DA15" s="808"/>
      <c r="DB15" s="808"/>
      <c r="DC15" s="808"/>
      <c r="DD15" s="808"/>
      <c r="DE15" s="808"/>
      <c r="DF15" s="808"/>
      <c r="DG15" s="808"/>
      <c r="DH15" s="808"/>
      <c r="DI15" s="808"/>
      <c r="DJ15" s="808"/>
      <c r="DK15" s="808"/>
      <c r="DL15" s="808"/>
      <c r="DM15" s="808"/>
      <c r="DN15" s="808"/>
      <c r="DO15" s="808"/>
      <c r="DP15" s="808"/>
      <c r="DQ15" s="808"/>
      <c r="DR15" s="809"/>
      <c r="DS15" s="807"/>
      <c r="DT15" s="808"/>
      <c r="DU15" s="808"/>
      <c r="DV15" s="808"/>
      <c r="DW15" s="808"/>
      <c r="DX15" s="808"/>
      <c r="DY15" s="808"/>
      <c r="DZ15" s="808"/>
      <c r="EA15" s="808"/>
      <c r="EB15" s="808"/>
      <c r="EC15" s="808"/>
      <c r="ED15" s="808"/>
      <c r="EE15" s="808"/>
      <c r="EF15" s="808"/>
      <c r="EG15" s="808"/>
      <c r="EH15" s="808"/>
      <c r="EI15" s="808"/>
      <c r="EJ15" s="808"/>
      <c r="EK15" s="808"/>
      <c r="EL15" s="808"/>
      <c r="EM15" s="808"/>
      <c r="EN15" s="808"/>
      <c r="EO15" s="808"/>
      <c r="EP15" s="808"/>
      <c r="EQ15" s="808"/>
      <c r="ER15" s="808"/>
      <c r="ES15" s="808"/>
      <c r="ET15" s="808"/>
      <c r="EU15" s="808"/>
      <c r="EV15" s="809"/>
      <c r="EW15" s="807"/>
      <c r="EX15" s="808"/>
      <c r="EY15" s="808"/>
      <c r="EZ15" s="808"/>
      <c r="FA15" s="808"/>
      <c r="FB15" s="808"/>
      <c r="FC15" s="808"/>
      <c r="FD15" s="808"/>
      <c r="FE15" s="808"/>
      <c r="FF15" s="808"/>
      <c r="FG15" s="808"/>
      <c r="FH15" s="808"/>
      <c r="FI15" s="808"/>
      <c r="FJ15" s="808"/>
      <c r="FK15" s="808"/>
      <c r="FL15" s="808"/>
      <c r="FM15" s="808"/>
      <c r="FN15" s="808"/>
      <c r="FO15" s="808"/>
      <c r="FP15" s="808"/>
      <c r="FQ15" s="808"/>
      <c r="FR15" s="808"/>
      <c r="FS15" s="808"/>
      <c r="FT15" s="808"/>
      <c r="FU15" s="808"/>
      <c r="FV15" s="808"/>
      <c r="FW15" s="808"/>
      <c r="FX15" s="808"/>
      <c r="FY15" s="808"/>
      <c r="FZ15" s="809"/>
      <c r="GA15" s="807"/>
      <c r="GB15" s="808"/>
      <c r="GC15" s="808"/>
      <c r="GD15" s="808"/>
      <c r="GE15" s="808"/>
      <c r="GF15" s="808"/>
      <c r="GG15" s="808"/>
      <c r="GH15" s="808"/>
      <c r="GI15" s="808"/>
      <c r="GJ15" s="808"/>
      <c r="GK15" s="808"/>
      <c r="GL15" s="808"/>
      <c r="GM15" s="808"/>
      <c r="GN15" s="808"/>
      <c r="GO15" s="808"/>
      <c r="GP15" s="808"/>
      <c r="GQ15" s="808"/>
      <c r="GR15" s="808"/>
      <c r="GS15" s="808"/>
      <c r="GT15" s="808"/>
      <c r="GU15" s="808"/>
      <c r="GV15" s="808"/>
      <c r="GW15" s="808"/>
      <c r="GX15" s="808"/>
      <c r="GY15" s="808"/>
      <c r="GZ15" s="808"/>
      <c r="HA15" s="808"/>
      <c r="HB15" s="808"/>
      <c r="HC15" s="808"/>
      <c r="HD15" s="809"/>
      <c r="HE15" s="807"/>
      <c r="HF15" s="808"/>
      <c r="HG15" s="808"/>
      <c r="HH15" s="808"/>
      <c r="HI15" s="808"/>
      <c r="HJ15" s="808"/>
      <c r="HK15" s="808"/>
      <c r="HL15" s="808"/>
      <c r="HM15" s="808"/>
      <c r="HN15" s="808"/>
      <c r="HO15" s="808"/>
      <c r="HP15" s="808"/>
      <c r="HQ15" s="808"/>
      <c r="HR15" s="808"/>
      <c r="HS15" s="808"/>
      <c r="HT15" s="808"/>
      <c r="HU15" s="808"/>
      <c r="HV15" s="808"/>
      <c r="HW15" s="808"/>
      <c r="HX15" s="808"/>
      <c r="HY15" s="808"/>
      <c r="HZ15" s="808"/>
      <c r="IA15" s="808"/>
      <c r="IB15" s="808"/>
      <c r="IC15" s="808"/>
      <c r="ID15" s="808"/>
      <c r="IE15" s="808"/>
      <c r="IF15" s="808"/>
      <c r="IG15" s="808"/>
      <c r="IH15" s="809"/>
    </row>
    <row r="16" spans="1:242" x14ac:dyDescent="0.25">
      <c r="A16" s="823">
        <v>220.1</v>
      </c>
      <c r="B16" s="824" t="s">
        <v>794</v>
      </c>
      <c r="C16" s="825"/>
      <c r="D16" s="826"/>
      <c r="E16" s="826"/>
      <c r="F16" s="826"/>
      <c r="G16" s="826"/>
      <c r="H16" s="826"/>
      <c r="I16" s="826"/>
      <c r="J16" s="826"/>
      <c r="K16" s="826"/>
      <c r="L16" s="826"/>
      <c r="M16" s="826"/>
      <c r="N16" s="826"/>
      <c r="O16" s="826"/>
      <c r="P16" s="826"/>
      <c r="Q16" s="826"/>
      <c r="R16" s="826"/>
      <c r="S16" s="826"/>
      <c r="T16" s="826"/>
      <c r="U16" s="826"/>
      <c r="V16" s="826"/>
      <c r="W16" s="826"/>
      <c r="X16" s="826"/>
      <c r="Y16" s="826"/>
      <c r="Z16" s="826"/>
      <c r="AA16" s="826"/>
      <c r="AB16" s="826"/>
      <c r="AC16" s="826"/>
      <c r="AD16" s="826"/>
      <c r="AE16" s="826"/>
      <c r="AF16" s="824"/>
      <c r="AG16" s="825"/>
      <c r="AH16" s="826"/>
      <c r="AI16" s="826"/>
      <c r="AJ16" s="826"/>
      <c r="AK16" s="826"/>
      <c r="AL16" s="826"/>
      <c r="AM16" s="826"/>
      <c r="AN16" s="826"/>
      <c r="AO16" s="826"/>
      <c r="AP16" s="826"/>
      <c r="AQ16" s="826"/>
      <c r="AR16" s="826"/>
      <c r="AS16" s="826"/>
      <c r="AT16" s="826"/>
      <c r="AU16" s="826"/>
      <c r="AV16" s="826"/>
      <c r="AW16" s="826"/>
      <c r="AX16" s="826"/>
      <c r="AY16" s="826"/>
      <c r="AZ16" s="826"/>
      <c r="BA16" s="826"/>
      <c r="BB16" s="826"/>
      <c r="BC16" s="826"/>
      <c r="BD16" s="826"/>
      <c r="BE16" s="826"/>
      <c r="BF16" s="826"/>
      <c r="BG16" s="826"/>
      <c r="BH16" s="826"/>
      <c r="BI16" s="826"/>
      <c r="BJ16" s="824"/>
      <c r="BK16" s="807"/>
      <c r="BL16" s="808"/>
      <c r="BM16" s="808"/>
      <c r="BN16" s="808"/>
      <c r="BO16" s="808"/>
      <c r="BP16" s="808"/>
      <c r="BQ16" s="808"/>
      <c r="BR16" s="808"/>
      <c r="BS16" s="808"/>
      <c r="BT16" s="808"/>
      <c r="BU16" s="808"/>
      <c r="BV16" s="808"/>
      <c r="BW16" s="808"/>
      <c r="BX16" s="808"/>
      <c r="BY16" s="808"/>
      <c r="BZ16" s="808"/>
      <c r="CA16" s="808"/>
      <c r="CB16" s="808"/>
      <c r="CC16" s="808"/>
      <c r="CD16" s="808"/>
      <c r="CE16" s="808"/>
      <c r="CF16" s="808"/>
      <c r="CG16" s="808"/>
      <c r="CH16" s="808"/>
      <c r="CI16" s="808"/>
      <c r="CJ16" s="808"/>
      <c r="CK16" s="811"/>
      <c r="CL16" s="811"/>
      <c r="CM16" s="811"/>
      <c r="CN16" s="812"/>
      <c r="CO16" s="810"/>
      <c r="CP16" s="811"/>
      <c r="CQ16" s="811"/>
      <c r="CR16" s="811"/>
      <c r="CS16" s="811"/>
      <c r="CT16" s="811"/>
      <c r="CU16" s="811"/>
      <c r="CV16" s="811"/>
      <c r="CW16" s="811"/>
      <c r="CX16" s="811"/>
      <c r="CY16" s="811"/>
      <c r="CZ16" s="811"/>
      <c r="DA16" s="811"/>
      <c r="DB16" s="811"/>
      <c r="DC16" s="811"/>
      <c r="DD16" s="811"/>
      <c r="DE16" s="811"/>
      <c r="DF16" s="811"/>
      <c r="DG16" s="811"/>
      <c r="DH16" s="811"/>
      <c r="DI16" s="811"/>
      <c r="DJ16" s="811"/>
      <c r="DK16" s="811"/>
      <c r="DL16" s="811"/>
      <c r="DM16" s="808"/>
      <c r="DN16" s="808"/>
      <c r="DO16" s="808"/>
      <c r="DP16" s="808"/>
      <c r="DQ16" s="808"/>
      <c r="DR16" s="809"/>
      <c r="DS16" s="807"/>
      <c r="DT16" s="808"/>
      <c r="DU16" s="808"/>
      <c r="DV16" s="808"/>
      <c r="DW16" s="808"/>
      <c r="DX16" s="808"/>
      <c r="DY16" s="808"/>
      <c r="DZ16" s="808"/>
      <c r="EA16" s="808"/>
      <c r="EB16" s="808"/>
      <c r="EC16" s="808"/>
      <c r="ED16" s="808"/>
      <c r="EE16" s="808"/>
      <c r="EF16" s="808"/>
      <c r="EG16" s="808"/>
      <c r="EH16" s="808"/>
      <c r="EI16" s="808"/>
      <c r="EJ16" s="808"/>
      <c r="EK16" s="808"/>
      <c r="EL16" s="808"/>
      <c r="EM16" s="808"/>
      <c r="EN16" s="808"/>
      <c r="EO16" s="808"/>
      <c r="EP16" s="808"/>
      <c r="EQ16" s="808"/>
      <c r="ER16" s="808"/>
      <c r="ES16" s="808"/>
      <c r="ET16" s="808"/>
      <c r="EU16" s="808"/>
      <c r="EV16" s="809"/>
      <c r="EW16" s="807"/>
      <c r="EX16" s="808"/>
      <c r="EY16" s="808"/>
      <c r="EZ16" s="808"/>
      <c r="FA16" s="808"/>
      <c r="FB16" s="808"/>
      <c r="FC16" s="808"/>
      <c r="FD16" s="808"/>
      <c r="FE16" s="808"/>
      <c r="FF16" s="808"/>
      <c r="FG16" s="808"/>
      <c r="FH16" s="808"/>
      <c r="FI16" s="808"/>
      <c r="FJ16" s="808"/>
      <c r="FK16" s="808"/>
      <c r="FL16" s="808"/>
      <c r="FM16" s="808"/>
      <c r="FN16" s="808"/>
      <c r="FO16" s="808"/>
      <c r="FP16" s="808"/>
      <c r="FQ16" s="808"/>
      <c r="FR16" s="808"/>
      <c r="FS16" s="808"/>
      <c r="FT16" s="808"/>
      <c r="FU16" s="808"/>
      <c r="FV16" s="808"/>
      <c r="FW16" s="808"/>
      <c r="FX16" s="808"/>
      <c r="FY16" s="808"/>
      <c r="FZ16" s="809"/>
      <c r="GA16" s="807"/>
      <c r="GB16" s="808"/>
      <c r="GC16" s="808"/>
      <c r="GD16" s="808"/>
      <c r="GE16" s="808"/>
      <c r="GF16" s="808"/>
      <c r="GG16" s="808"/>
      <c r="GH16" s="808"/>
      <c r="GI16" s="808"/>
      <c r="GJ16" s="808"/>
      <c r="GK16" s="808"/>
      <c r="GL16" s="808"/>
      <c r="GM16" s="808"/>
      <c r="GN16" s="808"/>
      <c r="GO16" s="808"/>
      <c r="GP16" s="808"/>
      <c r="GQ16" s="808"/>
      <c r="GR16" s="808"/>
      <c r="GS16" s="808"/>
      <c r="GT16" s="808"/>
      <c r="GU16" s="808"/>
      <c r="GV16" s="808"/>
      <c r="GW16" s="808"/>
      <c r="GX16" s="808"/>
      <c r="GY16" s="808"/>
      <c r="GZ16" s="808"/>
      <c r="HA16" s="808"/>
      <c r="HB16" s="808"/>
      <c r="HC16" s="808"/>
      <c r="HD16" s="809"/>
      <c r="HE16" s="807"/>
      <c r="HF16" s="808"/>
      <c r="HG16" s="808"/>
      <c r="HH16" s="808"/>
      <c r="HI16" s="808"/>
      <c r="HJ16" s="808"/>
      <c r="HK16" s="808"/>
      <c r="HL16" s="808"/>
      <c r="HM16" s="808"/>
      <c r="HN16" s="808"/>
      <c r="HO16" s="808"/>
      <c r="HP16" s="808"/>
      <c r="HQ16" s="808"/>
      <c r="HR16" s="808"/>
      <c r="HS16" s="808"/>
      <c r="HT16" s="808"/>
      <c r="HU16" s="808"/>
      <c r="HV16" s="808"/>
      <c r="HW16" s="808"/>
      <c r="HX16" s="808"/>
      <c r="HY16" s="808"/>
      <c r="HZ16" s="808"/>
      <c r="IA16" s="808"/>
      <c r="IB16" s="808"/>
      <c r="IC16" s="808"/>
      <c r="ID16" s="808"/>
      <c r="IE16" s="808"/>
      <c r="IF16" s="808"/>
      <c r="IG16" s="808"/>
      <c r="IH16" s="809"/>
    </row>
    <row r="17" spans="1:242" ht="49.5" x14ac:dyDescent="0.25">
      <c r="A17" s="823">
        <v>230.1</v>
      </c>
      <c r="B17" s="824" t="s">
        <v>91</v>
      </c>
      <c r="C17" s="825"/>
      <c r="D17" s="826"/>
      <c r="E17" s="826"/>
      <c r="F17" s="826"/>
      <c r="G17" s="826"/>
      <c r="H17" s="826"/>
      <c r="I17" s="826"/>
      <c r="J17" s="826"/>
      <c r="K17" s="826"/>
      <c r="L17" s="826"/>
      <c r="M17" s="826"/>
      <c r="N17" s="826"/>
      <c r="O17" s="826"/>
      <c r="P17" s="826"/>
      <c r="Q17" s="826"/>
      <c r="R17" s="826"/>
      <c r="S17" s="826"/>
      <c r="T17" s="826"/>
      <c r="U17" s="826"/>
      <c r="V17" s="826"/>
      <c r="W17" s="826"/>
      <c r="X17" s="826"/>
      <c r="Y17" s="826"/>
      <c r="Z17" s="826"/>
      <c r="AA17" s="826"/>
      <c r="AB17" s="826"/>
      <c r="AC17" s="826"/>
      <c r="AD17" s="826"/>
      <c r="AE17" s="826"/>
      <c r="AF17" s="824"/>
      <c r="AG17" s="825"/>
      <c r="AH17" s="826"/>
      <c r="AI17" s="826"/>
      <c r="AJ17" s="826"/>
      <c r="AK17" s="826"/>
      <c r="AL17" s="826"/>
      <c r="AM17" s="826"/>
      <c r="AN17" s="826"/>
      <c r="AO17" s="826"/>
      <c r="AP17" s="826"/>
      <c r="AQ17" s="826"/>
      <c r="AR17" s="826"/>
      <c r="AS17" s="826"/>
      <c r="AT17" s="826"/>
      <c r="AU17" s="826"/>
      <c r="AV17" s="826"/>
      <c r="AW17" s="826"/>
      <c r="AX17" s="826"/>
      <c r="AY17" s="826"/>
      <c r="AZ17" s="826"/>
      <c r="BA17" s="826"/>
      <c r="BB17" s="826"/>
      <c r="BC17" s="826"/>
      <c r="BD17" s="826"/>
      <c r="BE17" s="826"/>
      <c r="BF17" s="826"/>
      <c r="BG17" s="826"/>
      <c r="BH17" s="826"/>
      <c r="BI17" s="826"/>
      <c r="BJ17" s="824"/>
      <c r="BK17" s="807"/>
      <c r="BL17" s="808"/>
      <c r="BM17" s="808"/>
      <c r="BN17" s="808"/>
      <c r="BO17" s="808"/>
      <c r="BP17" s="808"/>
      <c r="BQ17" s="808"/>
      <c r="BR17" s="808"/>
      <c r="BS17" s="808"/>
      <c r="BT17" s="808"/>
      <c r="BU17" s="808"/>
      <c r="BV17" s="808"/>
      <c r="BW17" s="808"/>
      <c r="BX17" s="808"/>
      <c r="BY17" s="808"/>
      <c r="BZ17" s="808"/>
      <c r="CA17" s="808"/>
      <c r="CB17" s="808"/>
      <c r="CC17" s="808"/>
      <c r="CD17" s="808"/>
      <c r="CE17" s="808"/>
      <c r="CF17" s="808"/>
      <c r="CG17" s="808"/>
      <c r="CH17" s="808"/>
      <c r="CI17" s="808"/>
      <c r="CJ17" s="808"/>
      <c r="CK17" s="808"/>
      <c r="CL17" s="808"/>
      <c r="CM17" s="808"/>
      <c r="CN17" s="809"/>
      <c r="CO17" s="807"/>
      <c r="CP17" s="808"/>
      <c r="CQ17" s="808"/>
      <c r="CR17" s="808"/>
      <c r="CS17" s="808"/>
      <c r="CT17" s="808"/>
      <c r="CU17" s="808"/>
      <c r="CV17" s="811"/>
      <c r="CW17" s="811"/>
      <c r="CX17" s="811"/>
      <c r="CY17" s="811"/>
      <c r="CZ17" s="811"/>
      <c r="DA17" s="811"/>
      <c r="DB17" s="811"/>
      <c r="DC17" s="811"/>
      <c r="DD17" s="811"/>
      <c r="DE17" s="811"/>
      <c r="DF17" s="811"/>
      <c r="DG17" s="811"/>
      <c r="DH17" s="811"/>
      <c r="DI17" s="811"/>
      <c r="DJ17" s="811"/>
      <c r="DK17" s="811"/>
      <c r="DL17" s="811"/>
      <c r="DM17" s="811"/>
      <c r="DN17" s="808"/>
      <c r="DO17" s="808"/>
      <c r="DP17" s="808"/>
      <c r="DQ17" s="808"/>
      <c r="DR17" s="809"/>
      <c r="DS17" s="807"/>
      <c r="DT17" s="808"/>
      <c r="DU17" s="808"/>
      <c r="DV17" s="808"/>
      <c r="DW17" s="808"/>
      <c r="DX17" s="808"/>
      <c r="DY17" s="808"/>
      <c r="DZ17" s="808"/>
      <c r="EA17" s="808"/>
      <c r="EB17" s="808"/>
      <c r="EC17" s="808"/>
      <c r="ED17" s="808"/>
      <c r="EE17" s="808"/>
      <c r="EF17" s="808"/>
      <c r="EG17" s="808"/>
      <c r="EH17" s="808"/>
      <c r="EI17" s="808"/>
      <c r="EJ17" s="808"/>
      <c r="EK17" s="808"/>
      <c r="EL17" s="808"/>
      <c r="EM17" s="808"/>
      <c r="EN17" s="808"/>
      <c r="EO17" s="808"/>
      <c r="EP17" s="808"/>
      <c r="EQ17" s="808"/>
      <c r="ER17" s="808"/>
      <c r="ES17" s="808"/>
      <c r="ET17" s="808"/>
      <c r="EU17" s="808"/>
      <c r="EV17" s="809"/>
      <c r="EW17" s="807"/>
      <c r="EX17" s="808"/>
      <c r="EY17" s="808"/>
      <c r="EZ17" s="808"/>
      <c r="FA17" s="808"/>
      <c r="FB17" s="808"/>
      <c r="FC17" s="808"/>
      <c r="FD17" s="808"/>
      <c r="FE17" s="808"/>
      <c r="FF17" s="808"/>
      <c r="FG17" s="808"/>
      <c r="FH17" s="808"/>
      <c r="FI17" s="808"/>
      <c r="FJ17" s="808"/>
      <c r="FK17" s="808"/>
      <c r="FL17" s="808"/>
      <c r="FM17" s="808"/>
      <c r="FN17" s="808"/>
      <c r="FO17" s="808"/>
      <c r="FP17" s="808"/>
      <c r="FQ17" s="808"/>
      <c r="FR17" s="808"/>
      <c r="FS17" s="808"/>
      <c r="FT17" s="808"/>
      <c r="FU17" s="808"/>
      <c r="FV17" s="808"/>
      <c r="FW17" s="808"/>
      <c r="FX17" s="808"/>
      <c r="FY17" s="808"/>
      <c r="FZ17" s="809"/>
      <c r="GA17" s="807"/>
      <c r="GB17" s="808"/>
      <c r="GC17" s="808"/>
      <c r="GD17" s="808"/>
      <c r="GE17" s="808"/>
      <c r="GF17" s="808"/>
      <c r="GG17" s="808"/>
      <c r="GH17" s="808"/>
      <c r="GI17" s="808"/>
      <c r="GJ17" s="808"/>
      <c r="GK17" s="808"/>
      <c r="GL17" s="808"/>
      <c r="GM17" s="808"/>
      <c r="GN17" s="808"/>
      <c r="GO17" s="808"/>
      <c r="GP17" s="808"/>
      <c r="GQ17" s="808"/>
      <c r="GR17" s="808"/>
      <c r="GS17" s="808"/>
      <c r="GT17" s="808"/>
      <c r="GU17" s="808"/>
      <c r="GV17" s="808"/>
      <c r="GW17" s="808"/>
      <c r="GX17" s="808"/>
      <c r="GY17" s="808"/>
      <c r="GZ17" s="808"/>
      <c r="HA17" s="808"/>
      <c r="HB17" s="808"/>
      <c r="HC17" s="808"/>
      <c r="HD17" s="809"/>
      <c r="HE17" s="807"/>
      <c r="HF17" s="808"/>
      <c r="HG17" s="808"/>
      <c r="HH17" s="808"/>
      <c r="HI17" s="808"/>
      <c r="HJ17" s="808"/>
      <c r="HK17" s="808"/>
      <c r="HL17" s="808"/>
      <c r="HM17" s="808"/>
      <c r="HN17" s="808"/>
      <c r="HO17" s="808"/>
      <c r="HP17" s="808"/>
      <c r="HQ17" s="808"/>
      <c r="HR17" s="808"/>
      <c r="HS17" s="808"/>
      <c r="HT17" s="808"/>
      <c r="HU17" s="808"/>
      <c r="HV17" s="808"/>
      <c r="HW17" s="808"/>
      <c r="HX17" s="808"/>
      <c r="HY17" s="808"/>
      <c r="HZ17" s="808"/>
      <c r="IA17" s="808"/>
      <c r="IB17" s="808"/>
      <c r="IC17" s="808"/>
      <c r="ID17" s="808"/>
      <c r="IE17" s="808"/>
      <c r="IF17" s="808"/>
      <c r="IG17" s="808"/>
      <c r="IH17" s="809"/>
    </row>
    <row r="18" spans="1:242" ht="49.5" x14ac:dyDescent="0.25">
      <c r="A18" s="823">
        <v>310.10000000000002</v>
      </c>
      <c r="B18" s="824" t="s">
        <v>92</v>
      </c>
      <c r="C18" s="825"/>
      <c r="D18" s="826"/>
      <c r="E18" s="826"/>
      <c r="F18" s="826"/>
      <c r="G18" s="826"/>
      <c r="H18" s="826"/>
      <c r="I18" s="826"/>
      <c r="J18" s="826"/>
      <c r="K18" s="826"/>
      <c r="L18" s="826"/>
      <c r="M18" s="826"/>
      <c r="N18" s="826"/>
      <c r="O18" s="826"/>
      <c r="P18" s="826"/>
      <c r="Q18" s="826"/>
      <c r="R18" s="826"/>
      <c r="S18" s="826"/>
      <c r="T18" s="826"/>
      <c r="U18" s="826"/>
      <c r="V18" s="826"/>
      <c r="W18" s="826"/>
      <c r="X18" s="826"/>
      <c r="Y18" s="826"/>
      <c r="Z18" s="826"/>
      <c r="AA18" s="826"/>
      <c r="AB18" s="826"/>
      <c r="AC18" s="826"/>
      <c r="AD18" s="826"/>
      <c r="AE18" s="826"/>
      <c r="AF18" s="824"/>
      <c r="AG18" s="825"/>
      <c r="AH18" s="826"/>
      <c r="AI18" s="826"/>
      <c r="AJ18" s="826"/>
      <c r="AK18" s="826"/>
      <c r="AL18" s="826"/>
      <c r="AM18" s="826"/>
      <c r="AN18" s="826"/>
      <c r="AO18" s="826"/>
      <c r="AP18" s="826"/>
      <c r="AQ18" s="826"/>
      <c r="AR18" s="826"/>
      <c r="AS18" s="826"/>
      <c r="AT18" s="826"/>
      <c r="AU18" s="826"/>
      <c r="AV18" s="826"/>
      <c r="AW18" s="826"/>
      <c r="AX18" s="826"/>
      <c r="AY18" s="826"/>
      <c r="AZ18" s="826"/>
      <c r="BA18" s="826"/>
      <c r="BB18" s="826"/>
      <c r="BC18" s="826"/>
      <c r="BD18" s="826"/>
      <c r="BE18" s="826"/>
      <c r="BF18" s="826"/>
      <c r="BG18" s="826"/>
      <c r="BH18" s="826"/>
      <c r="BI18" s="826"/>
      <c r="BJ18" s="824"/>
      <c r="BK18" s="807"/>
      <c r="BL18" s="808"/>
      <c r="BM18" s="808"/>
      <c r="BN18" s="808"/>
      <c r="BO18" s="808"/>
      <c r="BP18" s="808"/>
      <c r="BQ18" s="808"/>
      <c r="BR18" s="808"/>
      <c r="BS18" s="808"/>
      <c r="BT18" s="808"/>
      <c r="BU18" s="808"/>
      <c r="BV18" s="808"/>
      <c r="BW18" s="808"/>
      <c r="BX18" s="808"/>
      <c r="BY18" s="808"/>
      <c r="BZ18" s="808"/>
      <c r="CA18" s="808"/>
      <c r="CB18" s="808"/>
      <c r="CC18" s="808"/>
      <c r="CD18" s="808"/>
      <c r="CE18" s="808"/>
      <c r="CF18" s="808"/>
      <c r="CG18" s="808"/>
      <c r="CH18" s="808"/>
      <c r="CI18" s="808"/>
      <c r="CJ18" s="808"/>
      <c r="CK18" s="808"/>
      <c r="CL18" s="808"/>
      <c r="CM18" s="808"/>
      <c r="CN18" s="809"/>
      <c r="CO18" s="807"/>
      <c r="CP18" s="808"/>
      <c r="CQ18" s="808"/>
      <c r="CR18" s="808"/>
      <c r="CS18" s="808"/>
      <c r="CT18" s="808"/>
      <c r="CU18" s="808"/>
      <c r="CV18" s="811"/>
      <c r="CW18" s="811"/>
      <c r="CX18" s="811"/>
      <c r="CY18" s="811"/>
      <c r="CZ18" s="811"/>
      <c r="DA18" s="811"/>
      <c r="DB18" s="811"/>
      <c r="DC18" s="811"/>
      <c r="DD18" s="811"/>
      <c r="DE18" s="811"/>
      <c r="DF18" s="811"/>
      <c r="DG18" s="811"/>
      <c r="DH18" s="811"/>
      <c r="DI18" s="811"/>
      <c r="DJ18" s="811"/>
      <c r="DK18" s="811"/>
      <c r="DL18" s="811"/>
      <c r="DM18" s="811"/>
      <c r="DN18" s="808"/>
      <c r="DO18" s="808"/>
      <c r="DP18" s="808"/>
      <c r="DQ18" s="808"/>
      <c r="DR18" s="809"/>
      <c r="DS18" s="807"/>
      <c r="DT18" s="808"/>
      <c r="DU18" s="808"/>
      <c r="DV18" s="808"/>
      <c r="DW18" s="808"/>
      <c r="DX18" s="808"/>
      <c r="DY18" s="808"/>
      <c r="DZ18" s="808"/>
      <c r="EA18" s="808"/>
      <c r="EB18" s="808"/>
      <c r="EC18" s="808"/>
      <c r="ED18" s="808"/>
      <c r="EE18" s="808"/>
      <c r="EF18" s="808"/>
      <c r="EG18" s="808"/>
      <c r="EH18" s="808"/>
      <c r="EI18" s="808"/>
      <c r="EJ18" s="808"/>
      <c r="EK18" s="808"/>
      <c r="EL18" s="808"/>
      <c r="EM18" s="808"/>
      <c r="EN18" s="808"/>
      <c r="EO18" s="808"/>
      <c r="EP18" s="808"/>
      <c r="EQ18" s="808"/>
      <c r="ER18" s="808"/>
      <c r="ES18" s="808"/>
      <c r="ET18" s="808"/>
      <c r="EU18" s="808"/>
      <c r="EV18" s="809"/>
      <c r="EW18" s="807"/>
      <c r="EX18" s="808"/>
      <c r="EY18" s="808"/>
      <c r="EZ18" s="808"/>
      <c r="FA18" s="808"/>
      <c r="FB18" s="808"/>
      <c r="FC18" s="808"/>
      <c r="FD18" s="808"/>
      <c r="FE18" s="808"/>
      <c r="FF18" s="808"/>
      <c r="FG18" s="808"/>
      <c r="FH18" s="808"/>
      <c r="FI18" s="808"/>
      <c r="FJ18" s="808"/>
      <c r="FK18" s="808"/>
      <c r="FL18" s="808"/>
      <c r="FM18" s="808"/>
      <c r="FN18" s="808"/>
      <c r="FO18" s="808"/>
      <c r="FP18" s="808"/>
      <c r="FQ18" s="808"/>
      <c r="FR18" s="808"/>
      <c r="FS18" s="808"/>
      <c r="FT18" s="808"/>
      <c r="FU18" s="808"/>
      <c r="FV18" s="808"/>
      <c r="FW18" s="808"/>
      <c r="FX18" s="808"/>
      <c r="FY18" s="808"/>
      <c r="FZ18" s="809"/>
      <c r="GA18" s="807"/>
      <c r="GB18" s="808"/>
      <c r="GC18" s="808"/>
      <c r="GD18" s="808"/>
      <c r="GE18" s="808"/>
      <c r="GF18" s="808"/>
      <c r="GG18" s="808"/>
      <c r="GH18" s="808"/>
      <c r="GI18" s="808"/>
      <c r="GJ18" s="808"/>
      <c r="GK18" s="808"/>
      <c r="GL18" s="808"/>
      <c r="GM18" s="808"/>
      <c r="GN18" s="808"/>
      <c r="GO18" s="808"/>
      <c r="GP18" s="808"/>
      <c r="GQ18" s="808"/>
      <c r="GR18" s="808"/>
      <c r="GS18" s="808"/>
      <c r="GT18" s="808"/>
      <c r="GU18" s="808"/>
      <c r="GV18" s="808"/>
      <c r="GW18" s="808"/>
      <c r="GX18" s="808"/>
      <c r="GY18" s="808"/>
      <c r="GZ18" s="808"/>
      <c r="HA18" s="808"/>
      <c r="HB18" s="808"/>
      <c r="HC18" s="808"/>
      <c r="HD18" s="809"/>
      <c r="HE18" s="807"/>
      <c r="HF18" s="808"/>
      <c r="HG18" s="808"/>
      <c r="HH18" s="808"/>
      <c r="HI18" s="808"/>
      <c r="HJ18" s="808"/>
      <c r="HK18" s="808"/>
      <c r="HL18" s="808"/>
      <c r="HM18" s="808"/>
      <c r="HN18" s="808"/>
      <c r="HO18" s="808"/>
      <c r="HP18" s="808"/>
      <c r="HQ18" s="808"/>
      <c r="HR18" s="808"/>
      <c r="HS18" s="808"/>
      <c r="HT18" s="808"/>
      <c r="HU18" s="808"/>
      <c r="HV18" s="808"/>
      <c r="HW18" s="808"/>
      <c r="HX18" s="808"/>
      <c r="HY18" s="808"/>
      <c r="HZ18" s="808"/>
      <c r="IA18" s="808"/>
      <c r="IB18" s="808"/>
      <c r="IC18" s="808"/>
      <c r="ID18" s="808"/>
      <c r="IE18" s="808"/>
      <c r="IF18" s="808"/>
      <c r="IG18" s="808"/>
      <c r="IH18" s="809"/>
    </row>
    <row r="19" spans="1:242" x14ac:dyDescent="0.25">
      <c r="A19" s="1438" t="s">
        <v>94</v>
      </c>
      <c r="B19" s="1439"/>
      <c r="C19" s="817"/>
      <c r="D19" s="818"/>
      <c r="E19" s="818"/>
      <c r="F19" s="818"/>
      <c r="G19" s="818"/>
      <c r="H19" s="818"/>
      <c r="I19" s="818"/>
      <c r="J19" s="818"/>
      <c r="K19" s="818"/>
      <c r="L19" s="818"/>
      <c r="M19" s="818"/>
      <c r="N19" s="818"/>
      <c r="O19" s="818"/>
      <c r="P19" s="818"/>
      <c r="Q19" s="818"/>
      <c r="R19" s="818"/>
      <c r="S19" s="818"/>
      <c r="T19" s="818"/>
      <c r="U19" s="818"/>
      <c r="V19" s="818"/>
      <c r="W19" s="818"/>
      <c r="X19" s="818"/>
      <c r="Y19" s="818"/>
      <c r="Z19" s="818"/>
      <c r="AA19" s="818"/>
      <c r="AB19" s="818"/>
      <c r="AC19" s="818"/>
      <c r="AD19" s="818"/>
      <c r="AE19" s="818"/>
      <c r="AF19" s="819"/>
      <c r="AG19" s="817"/>
      <c r="AH19" s="818"/>
      <c r="AI19" s="818"/>
      <c r="AJ19" s="818"/>
      <c r="AK19" s="818"/>
      <c r="AL19" s="818"/>
      <c r="AM19" s="818"/>
      <c r="AN19" s="818"/>
      <c r="AO19" s="818"/>
      <c r="AP19" s="818"/>
      <c r="AQ19" s="818"/>
      <c r="AR19" s="818"/>
      <c r="AS19" s="818"/>
      <c r="AT19" s="818"/>
      <c r="AU19" s="818"/>
      <c r="AV19" s="818"/>
      <c r="AW19" s="818"/>
      <c r="AX19" s="818"/>
      <c r="AY19" s="818"/>
      <c r="AZ19" s="818"/>
      <c r="BA19" s="818"/>
      <c r="BB19" s="818"/>
      <c r="BC19" s="818"/>
      <c r="BD19" s="818"/>
      <c r="BE19" s="818"/>
      <c r="BF19" s="818"/>
      <c r="BG19" s="818"/>
      <c r="BH19" s="818"/>
      <c r="BI19" s="818"/>
      <c r="BJ19" s="819"/>
      <c r="BK19" s="820"/>
      <c r="BL19" s="821"/>
      <c r="BM19" s="821"/>
      <c r="BN19" s="821"/>
      <c r="BO19" s="821"/>
      <c r="BP19" s="821"/>
      <c r="BQ19" s="821"/>
      <c r="BR19" s="821"/>
      <c r="BS19" s="821"/>
      <c r="BT19" s="821"/>
      <c r="BU19" s="821"/>
      <c r="BV19" s="821"/>
      <c r="BW19" s="821"/>
      <c r="BX19" s="821"/>
      <c r="BY19" s="821"/>
      <c r="BZ19" s="821"/>
      <c r="CA19" s="821"/>
      <c r="CB19" s="821"/>
      <c r="CC19" s="821"/>
      <c r="CD19" s="821"/>
      <c r="CE19" s="821"/>
      <c r="CF19" s="821"/>
      <c r="CG19" s="821"/>
      <c r="CH19" s="821"/>
      <c r="CI19" s="821"/>
      <c r="CJ19" s="821"/>
      <c r="CK19" s="821"/>
      <c r="CL19" s="821"/>
      <c r="CM19" s="821"/>
      <c r="CN19" s="822"/>
      <c r="CO19" s="820"/>
      <c r="CP19" s="821"/>
      <c r="CQ19" s="821"/>
      <c r="CR19" s="821"/>
      <c r="CS19" s="821"/>
      <c r="CT19" s="821"/>
      <c r="CU19" s="821"/>
      <c r="CV19" s="821"/>
      <c r="CW19" s="821"/>
      <c r="CX19" s="821"/>
      <c r="CY19" s="821"/>
      <c r="CZ19" s="821"/>
      <c r="DA19" s="821"/>
      <c r="DB19" s="821"/>
      <c r="DC19" s="821"/>
      <c r="DD19" s="821"/>
      <c r="DE19" s="821"/>
      <c r="DF19" s="821"/>
      <c r="DG19" s="821"/>
      <c r="DH19" s="821"/>
      <c r="DI19" s="821"/>
      <c r="DJ19" s="821"/>
      <c r="DK19" s="821"/>
      <c r="DL19" s="821"/>
      <c r="DM19" s="821"/>
      <c r="DN19" s="821"/>
      <c r="DO19" s="821"/>
      <c r="DP19" s="821"/>
      <c r="DQ19" s="821"/>
      <c r="DR19" s="822"/>
      <c r="DS19" s="820"/>
      <c r="DT19" s="821"/>
      <c r="DU19" s="821"/>
      <c r="DV19" s="821"/>
      <c r="DW19" s="821"/>
      <c r="DX19" s="821"/>
      <c r="DY19" s="821"/>
      <c r="DZ19" s="821"/>
      <c r="EA19" s="821"/>
      <c r="EB19" s="821"/>
      <c r="EC19" s="821"/>
      <c r="ED19" s="821"/>
      <c r="EE19" s="821"/>
      <c r="EF19" s="821"/>
      <c r="EG19" s="821"/>
      <c r="EH19" s="821"/>
      <c r="EI19" s="821"/>
      <c r="EJ19" s="821"/>
      <c r="EK19" s="821"/>
      <c r="EL19" s="821"/>
      <c r="EM19" s="821"/>
      <c r="EN19" s="821"/>
      <c r="EO19" s="821"/>
      <c r="EP19" s="821"/>
      <c r="EQ19" s="821"/>
      <c r="ER19" s="821"/>
      <c r="ES19" s="821"/>
      <c r="ET19" s="821"/>
      <c r="EU19" s="821"/>
      <c r="EV19" s="822"/>
      <c r="EW19" s="820"/>
      <c r="EX19" s="821"/>
      <c r="EY19" s="821"/>
      <c r="EZ19" s="821"/>
      <c r="FA19" s="821"/>
      <c r="FB19" s="821"/>
      <c r="FC19" s="821"/>
      <c r="FD19" s="821"/>
      <c r="FE19" s="821"/>
      <c r="FF19" s="821"/>
      <c r="FG19" s="821"/>
      <c r="FH19" s="821"/>
      <c r="FI19" s="821"/>
      <c r="FJ19" s="821"/>
      <c r="FK19" s="821"/>
      <c r="FL19" s="821"/>
      <c r="FM19" s="821"/>
      <c r="FN19" s="821"/>
      <c r="FO19" s="821"/>
      <c r="FP19" s="821"/>
      <c r="FQ19" s="821"/>
      <c r="FR19" s="821"/>
      <c r="FS19" s="821"/>
      <c r="FT19" s="821"/>
      <c r="FU19" s="821"/>
      <c r="FV19" s="821"/>
      <c r="FW19" s="821"/>
      <c r="FX19" s="821"/>
      <c r="FY19" s="821"/>
      <c r="FZ19" s="822"/>
      <c r="GA19" s="820"/>
      <c r="GB19" s="821"/>
      <c r="GC19" s="821"/>
      <c r="GD19" s="821"/>
      <c r="GE19" s="821"/>
      <c r="GF19" s="821"/>
      <c r="GG19" s="821"/>
      <c r="GH19" s="821"/>
      <c r="GI19" s="821"/>
      <c r="GJ19" s="821"/>
      <c r="GK19" s="821"/>
      <c r="GL19" s="821"/>
      <c r="GM19" s="821"/>
      <c r="GN19" s="821"/>
      <c r="GO19" s="821"/>
      <c r="GP19" s="821"/>
      <c r="GQ19" s="821"/>
      <c r="GR19" s="821"/>
      <c r="GS19" s="821"/>
      <c r="GT19" s="821"/>
      <c r="GU19" s="821"/>
      <c r="GV19" s="821"/>
      <c r="GW19" s="821"/>
      <c r="GX19" s="821"/>
      <c r="GY19" s="821"/>
      <c r="GZ19" s="821"/>
      <c r="HA19" s="821"/>
      <c r="HB19" s="821"/>
      <c r="HC19" s="821"/>
      <c r="HD19" s="822"/>
      <c r="HE19" s="820"/>
      <c r="HF19" s="821"/>
      <c r="HG19" s="821"/>
      <c r="HH19" s="821"/>
      <c r="HI19" s="821"/>
      <c r="HJ19" s="821"/>
      <c r="HK19" s="821"/>
      <c r="HL19" s="821"/>
      <c r="HM19" s="821"/>
      <c r="HN19" s="821"/>
      <c r="HO19" s="821"/>
      <c r="HP19" s="821"/>
      <c r="HQ19" s="821"/>
      <c r="HR19" s="821"/>
      <c r="HS19" s="821"/>
      <c r="HT19" s="821"/>
      <c r="HU19" s="821"/>
      <c r="HV19" s="821"/>
      <c r="HW19" s="821"/>
      <c r="HX19" s="821"/>
      <c r="HY19" s="821"/>
      <c r="HZ19" s="821"/>
      <c r="IA19" s="821"/>
      <c r="IB19" s="821"/>
      <c r="IC19" s="821"/>
      <c r="ID19" s="821"/>
      <c r="IE19" s="821"/>
      <c r="IF19" s="821"/>
      <c r="IG19" s="821"/>
      <c r="IH19" s="822"/>
    </row>
    <row r="20" spans="1:242" x14ac:dyDescent="0.25">
      <c r="A20" s="823" t="s">
        <v>25</v>
      </c>
      <c r="B20" s="824" t="s">
        <v>26</v>
      </c>
      <c r="C20" s="825"/>
      <c r="D20" s="826"/>
      <c r="E20" s="826"/>
      <c r="F20" s="826"/>
      <c r="G20" s="826"/>
      <c r="H20" s="826"/>
      <c r="I20" s="826"/>
      <c r="J20" s="826"/>
      <c r="K20" s="826"/>
      <c r="L20" s="826"/>
      <c r="M20" s="826"/>
      <c r="N20" s="826"/>
      <c r="O20" s="826"/>
      <c r="P20" s="826"/>
      <c r="Q20" s="826"/>
      <c r="R20" s="826"/>
      <c r="S20" s="826"/>
      <c r="T20" s="826"/>
      <c r="U20" s="826"/>
      <c r="V20" s="826"/>
      <c r="W20" s="826"/>
      <c r="X20" s="826"/>
      <c r="Y20" s="826"/>
      <c r="Z20" s="826"/>
      <c r="AA20" s="826"/>
      <c r="AB20" s="826"/>
      <c r="AC20" s="826"/>
      <c r="AD20" s="826"/>
      <c r="AE20" s="826"/>
      <c r="AF20" s="824"/>
      <c r="AG20" s="825"/>
      <c r="AH20" s="826"/>
      <c r="AI20" s="826"/>
      <c r="AJ20" s="826"/>
      <c r="AK20" s="826"/>
      <c r="AL20" s="826"/>
      <c r="AM20" s="826"/>
      <c r="AN20" s="826"/>
      <c r="AO20" s="826"/>
      <c r="AP20" s="826"/>
      <c r="AQ20" s="826"/>
      <c r="AR20" s="826"/>
      <c r="AS20" s="826"/>
      <c r="AT20" s="826"/>
      <c r="AU20" s="826"/>
      <c r="AV20" s="826"/>
      <c r="AW20" s="826"/>
      <c r="AX20" s="826"/>
      <c r="AY20" s="826"/>
      <c r="AZ20" s="826"/>
      <c r="BA20" s="826"/>
      <c r="BB20" s="826"/>
      <c r="BC20" s="826"/>
      <c r="BD20" s="826"/>
      <c r="BE20" s="826"/>
      <c r="BF20" s="826"/>
      <c r="BG20" s="826"/>
      <c r="BH20" s="826"/>
      <c r="BI20" s="826"/>
      <c r="BJ20" s="824"/>
      <c r="BK20" s="807"/>
      <c r="BL20" s="808"/>
      <c r="BM20" s="808"/>
      <c r="BN20" s="808"/>
      <c r="BO20" s="808"/>
      <c r="BP20" s="808"/>
      <c r="BQ20" s="808"/>
      <c r="BR20" s="808"/>
      <c r="BS20" s="808"/>
      <c r="BT20" s="808"/>
      <c r="BU20" s="808"/>
      <c r="BV20" s="808"/>
      <c r="BW20" s="808"/>
      <c r="BX20" s="808"/>
      <c r="BY20" s="808"/>
      <c r="BZ20" s="808"/>
      <c r="CA20" s="808"/>
      <c r="CB20" s="808"/>
      <c r="CC20" s="808"/>
      <c r="CD20" s="808"/>
      <c r="CE20" s="808"/>
      <c r="CF20" s="808"/>
      <c r="CG20" s="808"/>
      <c r="CH20" s="808"/>
      <c r="CI20" s="808"/>
      <c r="CJ20" s="808"/>
      <c r="CK20" s="808"/>
      <c r="CL20" s="808"/>
      <c r="CM20" s="808"/>
      <c r="CN20" s="809"/>
      <c r="CO20" s="807"/>
      <c r="CP20" s="808"/>
      <c r="CQ20" s="808"/>
      <c r="CR20" s="808"/>
      <c r="CS20" s="808"/>
      <c r="CT20" s="808"/>
      <c r="CU20" s="808"/>
      <c r="CV20" s="808"/>
      <c r="CW20" s="808"/>
      <c r="CX20" s="808"/>
      <c r="CY20" s="808"/>
      <c r="CZ20" s="808"/>
      <c r="DA20" s="808"/>
      <c r="DB20" s="808"/>
      <c r="DC20" s="811"/>
      <c r="DD20" s="811"/>
      <c r="DE20" s="811"/>
      <c r="DF20" s="811"/>
      <c r="DG20" s="811"/>
      <c r="DH20" s="811"/>
      <c r="DI20" s="811"/>
      <c r="DJ20" s="811"/>
      <c r="DK20" s="811"/>
      <c r="DL20" s="811"/>
      <c r="DM20" s="811"/>
      <c r="DN20" s="811"/>
      <c r="DO20" s="811"/>
      <c r="DP20" s="811"/>
      <c r="DQ20" s="811"/>
      <c r="DR20" s="812"/>
      <c r="DS20" s="810"/>
      <c r="DT20" s="811"/>
      <c r="DU20" s="811"/>
      <c r="DV20" s="811"/>
      <c r="DW20" s="811"/>
      <c r="DX20" s="811"/>
      <c r="DY20" s="811"/>
      <c r="DZ20" s="811"/>
      <c r="EA20" s="811"/>
      <c r="EB20" s="811"/>
      <c r="EC20" s="811"/>
      <c r="ED20" s="811"/>
      <c r="EE20" s="811"/>
      <c r="EF20" s="811"/>
      <c r="EG20" s="811"/>
      <c r="EH20" s="811"/>
      <c r="EI20" s="811"/>
      <c r="EJ20" s="811"/>
      <c r="EK20" s="811"/>
      <c r="EL20" s="811"/>
      <c r="EM20" s="811"/>
      <c r="EN20" s="811"/>
      <c r="EO20" s="811"/>
      <c r="EP20" s="811"/>
      <c r="EQ20" s="811"/>
      <c r="ER20" s="811"/>
      <c r="ES20" s="811"/>
      <c r="ET20" s="811"/>
      <c r="EU20" s="811"/>
      <c r="EV20" s="812"/>
      <c r="EW20" s="810"/>
      <c r="EX20" s="811"/>
      <c r="EY20" s="811"/>
      <c r="EZ20" s="811"/>
      <c r="FA20" s="808"/>
      <c r="FB20" s="808"/>
      <c r="FC20" s="808"/>
      <c r="FD20" s="808"/>
      <c r="FE20" s="808"/>
      <c r="FF20" s="808"/>
      <c r="FG20" s="808"/>
      <c r="FH20" s="808"/>
      <c r="FI20" s="808"/>
      <c r="FJ20" s="808"/>
      <c r="FK20" s="808"/>
      <c r="FL20" s="808"/>
      <c r="FM20" s="808"/>
      <c r="FN20" s="808"/>
      <c r="FO20" s="808"/>
      <c r="FP20" s="808"/>
      <c r="FQ20" s="808"/>
      <c r="FR20" s="808"/>
      <c r="FS20" s="808"/>
      <c r="FT20" s="808"/>
      <c r="FU20" s="808"/>
      <c r="FV20" s="808"/>
      <c r="FW20" s="808"/>
      <c r="FX20" s="808"/>
      <c r="FY20" s="808"/>
      <c r="FZ20" s="809"/>
      <c r="GA20" s="807"/>
      <c r="GB20" s="808"/>
      <c r="GC20" s="808"/>
      <c r="GD20" s="808"/>
      <c r="GE20" s="808"/>
      <c r="GF20" s="808"/>
      <c r="GG20" s="808"/>
      <c r="GH20" s="808"/>
      <c r="GI20" s="808"/>
      <c r="GJ20" s="808"/>
      <c r="GK20" s="808"/>
      <c r="GL20" s="808"/>
      <c r="GM20" s="808"/>
      <c r="GN20" s="808"/>
      <c r="GO20" s="808"/>
      <c r="GP20" s="808"/>
      <c r="GQ20" s="808"/>
      <c r="GR20" s="808"/>
      <c r="GS20" s="808"/>
      <c r="GT20" s="808"/>
      <c r="GU20" s="808"/>
      <c r="GV20" s="808"/>
      <c r="GW20" s="808"/>
      <c r="GX20" s="808"/>
      <c r="GY20" s="808"/>
      <c r="GZ20" s="808"/>
      <c r="HA20" s="808"/>
      <c r="HB20" s="808"/>
      <c r="HC20" s="808"/>
      <c r="HD20" s="809"/>
      <c r="HE20" s="807"/>
      <c r="HF20" s="808"/>
      <c r="HG20" s="808"/>
      <c r="HH20" s="808"/>
      <c r="HI20" s="808"/>
      <c r="HJ20" s="808"/>
      <c r="HK20" s="808"/>
      <c r="HL20" s="808"/>
      <c r="HM20" s="808"/>
      <c r="HN20" s="808"/>
      <c r="HO20" s="808"/>
      <c r="HP20" s="808"/>
      <c r="HQ20" s="808"/>
      <c r="HR20" s="808"/>
      <c r="HS20" s="808"/>
      <c r="HT20" s="808"/>
      <c r="HU20" s="808"/>
      <c r="HV20" s="808"/>
      <c r="HW20" s="808"/>
      <c r="HX20" s="808"/>
      <c r="HY20" s="808"/>
      <c r="HZ20" s="808"/>
      <c r="IA20" s="808"/>
      <c r="IB20" s="808"/>
      <c r="IC20" s="808"/>
      <c r="ID20" s="808"/>
      <c r="IE20" s="808"/>
      <c r="IF20" s="808"/>
      <c r="IG20" s="808"/>
      <c r="IH20" s="809"/>
    </row>
    <row r="21" spans="1:242" x14ac:dyDescent="0.25">
      <c r="A21" s="823">
        <v>320.10000000000002</v>
      </c>
      <c r="B21" s="824" t="s">
        <v>95</v>
      </c>
      <c r="C21" s="825"/>
      <c r="D21" s="826"/>
      <c r="E21" s="826"/>
      <c r="F21" s="826"/>
      <c r="G21" s="826"/>
      <c r="H21" s="826"/>
      <c r="I21" s="826"/>
      <c r="J21" s="826"/>
      <c r="K21" s="826"/>
      <c r="L21" s="826"/>
      <c r="M21" s="826"/>
      <c r="N21" s="826"/>
      <c r="O21" s="826"/>
      <c r="P21" s="826"/>
      <c r="Q21" s="826"/>
      <c r="R21" s="826"/>
      <c r="S21" s="826"/>
      <c r="T21" s="826"/>
      <c r="U21" s="826"/>
      <c r="V21" s="826"/>
      <c r="W21" s="826"/>
      <c r="X21" s="826"/>
      <c r="Y21" s="826"/>
      <c r="Z21" s="826"/>
      <c r="AA21" s="826"/>
      <c r="AB21" s="826"/>
      <c r="AC21" s="826"/>
      <c r="AD21" s="826"/>
      <c r="AE21" s="826"/>
      <c r="AF21" s="824"/>
      <c r="AG21" s="825"/>
      <c r="AH21" s="826"/>
      <c r="AI21" s="826"/>
      <c r="AJ21" s="826"/>
      <c r="AK21" s="826"/>
      <c r="AL21" s="826"/>
      <c r="AM21" s="826"/>
      <c r="AN21" s="826"/>
      <c r="AO21" s="826"/>
      <c r="AP21" s="826"/>
      <c r="AQ21" s="826"/>
      <c r="AR21" s="826"/>
      <c r="AS21" s="826"/>
      <c r="AT21" s="826"/>
      <c r="AU21" s="826"/>
      <c r="AV21" s="826"/>
      <c r="AW21" s="826"/>
      <c r="AX21" s="826"/>
      <c r="AY21" s="826"/>
      <c r="AZ21" s="826"/>
      <c r="BA21" s="826"/>
      <c r="BB21" s="826"/>
      <c r="BC21" s="826"/>
      <c r="BD21" s="826"/>
      <c r="BE21" s="826"/>
      <c r="BF21" s="826"/>
      <c r="BG21" s="826"/>
      <c r="BH21" s="826"/>
      <c r="BI21" s="826"/>
      <c r="BJ21" s="824"/>
      <c r="BK21" s="807"/>
      <c r="BL21" s="808"/>
      <c r="BM21" s="808"/>
      <c r="BN21" s="808"/>
      <c r="BO21" s="808"/>
      <c r="BP21" s="808"/>
      <c r="BQ21" s="808"/>
      <c r="BR21" s="808"/>
      <c r="BS21" s="808"/>
      <c r="BT21" s="808"/>
      <c r="BU21" s="808"/>
      <c r="BV21" s="808"/>
      <c r="BW21" s="808"/>
      <c r="BX21" s="808"/>
      <c r="BY21" s="808"/>
      <c r="BZ21" s="808"/>
      <c r="CA21" s="808"/>
      <c r="CB21" s="808"/>
      <c r="CC21" s="808"/>
      <c r="CD21" s="808"/>
      <c r="CE21" s="808"/>
      <c r="CF21" s="808"/>
      <c r="CG21" s="808"/>
      <c r="CH21" s="808"/>
      <c r="CI21" s="808"/>
      <c r="CJ21" s="808"/>
      <c r="CK21" s="808"/>
      <c r="CL21" s="808"/>
      <c r="CM21" s="808"/>
      <c r="CN21" s="809"/>
      <c r="CO21" s="807"/>
      <c r="CP21" s="808"/>
      <c r="CQ21" s="808"/>
      <c r="CR21" s="808"/>
      <c r="CS21" s="808"/>
      <c r="CT21" s="808"/>
      <c r="CU21" s="808"/>
      <c r="CV21" s="808"/>
      <c r="CW21" s="808"/>
      <c r="CX21" s="808"/>
      <c r="CY21" s="808"/>
      <c r="CZ21" s="808"/>
      <c r="DA21" s="808"/>
      <c r="DB21" s="808"/>
      <c r="DC21" s="808"/>
      <c r="DD21" s="808"/>
      <c r="DE21" s="808"/>
      <c r="DF21" s="808"/>
      <c r="DG21" s="808"/>
      <c r="DH21" s="808"/>
      <c r="DI21" s="808"/>
      <c r="DJ21" s="811"/>
      <c r="DK21" s="811"/>
      <c r="DL21" s="811"/>
      <c r="DM21" s="811"/>
      <c r="DN21" s="811"/>
      <c r="DO21" s="811"/>
      <c r="DP21" s="811"/>
      <c r="DQ21" s="811"/>
      <c r="DR21" s="812"/>
      <c r="DS21" s="810"/>
      <c r="DT21" s="811"/>
      <c r="DU21" s="811"/>
      <c r="DV21" s="811"/>
      <c r="DW21" s="811"/>
      <c r="DX21" s="811"/>
      <c r="DY21" s="811"/>
      <c r="DZ21" s="811"/>
      <c r="EA21" s="811"/>
      <c r="EB21" s="811"/>
      <c r="EC21" s="811"/>
      <c r="ED21" s="811"/>
      <c r="EE21" s="811"/>
      <c r="EF21" s="811"/>
      <c r="EG21" s="811"/>
      <c r="EH21" s="811"/>
      <c r="EI21" s="811"/>
      <c r="EJ21" s="811"/>
      <c r="EK21" s="811"/>
      <c r="EL21" s="811"/>
      <c r="EM21" s="811"/>
      <c r="EN21" s="811"/>
      <c r="EO21" s="811"/>
      <c r="EP21" s="811"/>
      <c r="EQ21" s="811"/>
      <c r="ER21" s="811"/>
      <c r="ES21" s="811"/>
      <c r="ET21" s="811"/>
      <c r="EU21" s="811"/>
      <c r="EV21" s="812"/>
      <c r="EW21" s="810"/>
      <c r="EX21" s="811"/>
      <c r="EY21" s="811"/>
      <c r="EZ21" s="811"/>
      <c r="FA21" s="811"/>
      <c r="FB21" s="811"/>
      <c r="FC21" s="811"/>
      <c r="FD21" s="811"/>
      <c r="FE21" s="811"/>
      <c r="FF21" s="811"/>
      <c r="FG21" s="811"/>
      <c r="FH21" s="808"/>
      <c r="FI21" s="808"/>
      <c r="FJ21" s="808"/>
      <c r="FK21" s="808"/>
      <c r="FL21" s="808"/>
      <c r="FM21" s="808"/>
      <c r="FN21" s="808"/>
      <c r="FO21" s="808"/>
      <c r="FP21" s="808"/>
      <c r="FQ21" s="808"/>
      <c r="FR21" s="808"/>
      <c r="FS21" s="808"/>
      <c r="FT21" s="808"/>
      <c r="FU21" s="808"/>
      <c r="FV21" s="808"/>
      <c r="FW21" s="808"/>
      <c r="FX21" s="808"/>
      <c r="FY21" s="808"/>
      <c r="FZ21" s="809"/>
      <c r="GA21" s="807"/>
      <c r="GB21" s="808"/>
      <c r="GC21" s="808"/>
      <c r="GD21" s="808"/>
      <c r="GE21" s="808"/>
      <c r="GF21" s="808"/>
      <c r="GG21" s="808"/>
      <c r="GH21" s="808"/>
      <c r="GI21" s="808"/>
      <c r="GJ21" s="808"/>
      <c r="GK21" s="808"/>
      <c r="GL21" s="808"/>
      <c r="GM21" s="808"/>
      <c r="GN21" s="808"/>
      <c r="GO21" s="808"/>
      <c r="GP21" s="808"/>
      <c r="GQ21" s="808"/>
      <c r="GR21" s="808"/>
      <c r="GS21" s="808"/>
      <c r="GT21" s="808"/>
      <c r="GU21" s="808"/>
      <c r="GV21" s="808"/>
      <c r="GW21" s="808"/>
      <c r="GX21" s="808"/>
      <c r="GY21" s="808"/>
      <c r="GZ21" s="808"/>
      <c r="HA21" s="808"/>
      <c r="HB21" s="808"/>
      <c r="HC21" s="808"/>
      <c r="HD21" s="809"/>
      <c r="HE21" s="807"/>
      <c r="HF21" s="808"/>
      <c r="HG21" s="808"/>
      <c r="HH21" s="808"/>
      <c r="HI21" s="808"/>
      <c r="HJ21" s="808"/>
      <c r="HK21" s="808"/>
      <c r="HL21" s="808"/>
      <c r="HM21" s="808"/>
      <c r="HN21" s="808"/>
      <c r="HO21" s="808"/>
      <c r="HP21" s="808"/>
      <c r="HQ21" s="808"/>
      <c r="HR21" s="808"/>
      <c r="HS21" s="808"/>
      <c r="HT21" s="808"/>
      <c r="HU21" s="808"/>
      <c r="HV21" s="808"/>
      <c r="HW21" s="808"/>
      <c r="HX21" s="808"/>
      <c r="HY21" s="808"/>
      <c r="HZ21" s="808"/>
      <c r="IA21" s="808"/>
      <c r="IB21" s="808"/>
      <c r="IC21" s="808"/>
      <c r="ID21" s="808"/>
      <c r="IE21" s="808"/>
      <c r="IF21" s="808"/>
      <c r="IG21" s="808"/>
      <c r="IH21" s="809"/>
    </row>
    <row r="22" spans="1:242" x14ac:dyDescent="0.25">
      <c r="A22" s="1438" t="s">
        <v>99</v>
      </c>
      <c r="B22" s="1439"/>
      <c r="C22" s="817"/>
      <c r="D22" s="818"/>
      <c r="E22" s="818"/>
      <c r="F22" s="818"/>
      <c r="G22" s="818"/>
      <c r="H22" s="818"/>
      <c r="I22" s="818"/>
      <c r="J22" s="818"/>
      <c r="K22" s="818"/>
      <c r="L22" s="818"/>
      <c r="M22" s="818"/>
      <c r="N22" s="818"/>
      <c r="O22" s="818"/>
      <c r="P22" s="818"/>
      <c r="Q22" s="818"/>
      <c r="R22" s="818"/>
      <c r="S22" s="818"/>
      <c r="T22" s="818"/>
      <c r="U22" s="818"/>
      <c r="V22" s="818"/>
      <c r="W22" s="818"/>
      <c r="X22" s="818"/>
      <c r="Y22" s="818"/>
      <c r="Z22" s="818"/>
      <c r="AA22" s="818"/>
      <c r="AB22" s="818"/>
      <c r="AC22" s="818"/>
      <c r="AD22" s="818"/>
      <c r="AE22" s="818"/>
      <c r="AF22" s="819"/>
      <c r="AG22" s="817"/>
      <c r="AH22" s="818"/>
      <c r="AI22" s="818"/>
      <c r="AJ22" s="818"/>
      <c r="AK22" s="818"/>
      <c r="AL22" s="818"/>
      <c r="AM22" s="818"/>
      <c r="AN22" s="818"/>
      <c r="AO22" s="818"/>
      <c r="AP22" s="818"/>
      <c r="AQ22" s="818"/>
      <c r="AR22" s="818"/>
      <c r="AS22" s="818"/>
      <c r="AT22" s="818"/>
      <c r="AU22" s="818"/>
      <c r="AV22" s="818"/>
      <c r="AW22" s="818"/>
      <c r="AX22" s="818"/>
      <c r="AY22" s="818"/>
      <c r="AZ22" s="818"/>
      <c r="BA22" s="818"/>
      <c r="BB22" s="818"/>
      <c r="BC22" s="818"/>
      <c r="BD22" s="818"/>
      <c r="BE22" s="818"/>
      <c r="BF22" s="818"/>
      <c r="BG22" s="818"/>
      <c r="BH22" s="818"/>
      <c r="BI22" s="818"/>
      <c r="BJ22" s="819"/>
      <c r="BK22" s="820"/>
      <c r="BL22" s="821"/>
      <c r="BM22" s="821"/>
      <c r="BN22" s="821"/>
      <c r="BO22" s="821"/>
      <c r="BP22" s="821"/>
      <c r="BQ22" s="821"/>
      <c r="BR22" s="821"/>
      <c r="BS22" s="821"/>
      <c r="BT22" s="821"/>
      <c r="BU22" s="821"/>
      <c r="BV22" s="821"/>
      <c r="BW22" s="821"/>
      <c r="BX22" s="821"/>
      <c r="BY22" s="821"/>
      <c r="BZ22" s="821"/>
      <c r="CA22" s="821"/>
      <c r="CB22" s="821"/>
      <c r="CC22" s="821"/>
      <c r="CD22" s="821"/>
      <c r="CE22" s="821"/>
      <c r="CF22" s="821"/>
      <c r="CG22" s="821"/>
      <c r="CH22" s="821"/>
      <c r="CI22" s="821"/>
      <c r="CJ22" s="821"/>
      <c r="CK22" s="821"/>
      <c r="CL22" s="821"/>
      <c r="CM22" s="821"/>
      <c r="CN22" s="822"/>
      <c r="CO22" s="820"/>
      <c r="CP22" s="821"/>
      <c r="CQ22" s="821"/>
      <c r="CR22" s="821"/>
      <c r="CS22" s="821"/>
      <c r="CT22" s="821"/>
      <c r="CU22" s="821"/>
      <c r="CV22" s="821"/>
      <c r="CW22" s="821"/>
      <c r="CX22" s="821"/>
      <c r="CY22" s="821"/>
      <c r="CZ22" s="821"/>
      <c r="DA22" s="821"/>
      <c r="DB22" s="821"/>
      <c r="DC22" s="821"/>
      <c r="DD22" s="821"/>
      <c r="DE22" s="821"/>
      <c r="DF22" s="821"/>
      <c r="DG22" s="821"/>
      <c r="DH22" s="821"/>
      <c r="DI22" s="821"/>
      <c r="DJ22" s="821"/>
      <c r="DK22" s="821"/>
      <c r="DL22" s="821"/>
      <c r="DM22" s="821"/>
      <c r="DN22" s="821"/>
      <c r="DO22" s="821"/>
      <c r="DP22" s="821"/>
      <c r="DQ22" s="821"/>
      <c r="DR22" s="822"/>
      <c r="DS22" s="820"/>
      <c r="DT22" s="821"/>
      <c r="DU22" s="821"/>
      <c r="DV22" s="821"/>
      <c r="DW22" s="821"/>
      <c r="DX22" s="821"/>
      <c r="DY22" s="821"/>
      <c r="DZ22" s="821"/>
      <c r="EA22" s="821"/>
      <c r="EB22" s="821"/>
      <c r="EC22" s="821"/>
      <c r="ED22" s="821"/>
      <c r="EE22" s="821"/>
      <c r="EF22" s="821"/>
      <c r="EG22" s="821"/>
      <c r="EH22" s="821"/>
      <c r="EI22" s="821"/>
      <c r="EJ22" s="821"/>
      <c r="EK22" s="821"/>
      <c r="EL22" s="821"/>
      <c r="EM22" s="821"/>
      <c r="EN22" s="821"/>
      <c r="EO22" s="821"/>
      <c r="EP22" s="821"/>
      <c r="EQ22" s="821"/>
      <c r="ER22" s="821"/>
      <c r="ES22" s="821"/>
      <c r="ET22" s="821"/>
      <c r="EU22" s="821"/>
      <c r="EV22" s="822"/>
      <c r="EW22" s="820"/>
      <c r="EX22" s="821"/>
      <c r="EY22" s="821"/>
      <c r="EZ22" s="821"/>
      <c r="FA22" s="821"/>
      <c r="FB22" s="821"/>
      <c r="FC22" s="821"/>
      <c r="FD22" s="821"/>
      <c r="FE22" s="821"/>
      <c r="FF22" s="821"/>
      <c r="FG22" s="821"/>
      <c r="FH22" s="821"/>
      <c r="FI22" s="821"/>
      <c r="FJ22" s="821"/>
      <c r="FK22" s="821"/>
      <c r="FL22" s="821"/>
      <c r="FM22" s="821"/>
      <c r="FN22" s="821"/>
      <c r="FO22" s="821"/>
      <c r="FP22" s="821"/>
      <c r="FQ22" s="821"/>
      <c r="FR22" s="821"/>
      <c r="FS22" s="821"/>
      <c r="FT22" s="821"/>
      <c r="FU22" s="821"/>
      <c r="FV22" s="821"/>
      <c r="FW22" s="821"/>
      <c r="FX22" s="821"/>
      <c r="FY22" s="821"/>
      <c r="FZ22" s="822"/>
      <c r="GA22" s="820"/>
      <c r="GB22" s="821"/>
      <c r="GC22" s="821"/>
      <c r="GD22" s="821"/>
      <c r="GE22" s="821"/>
      <c r="GF22" s="821"/>
      <c r="GG22" s="821"/>
      <c r="GH22" s="821"/>
      <c r="GI22" s="821"/>
      <c r="GJ22" s="821"/>
      <c r="GK22" s="821"/>
      <c r="GL22" s="821"/>
      <c r="GM22" s="821"/>
      <c r="GN22" s="821"/>
      <c r="GO22" s="821"/>
      <c r="GP22" s="821"/>
      <c r="GQ22" s="821"/>
      <c r="GR22" s="821"/>
      <c r="GS22" s="821"/>
      <c r="GT22" s="821"/>
      <c r="GU22" s="821"/>
      <c r="GV22" s="821"/>
      <c r="GW22" s="821"/>
      <c r="GX22" s="821"/>
      <c r="GY22" s="821"/>
      <c r="GZ22" s="821"/>
      <c r="HA22" s="821"/>
      <c r="HB22" s="821"/>
      <c r="HC22" s="821"/>
      <c r="HD22" s="822"/>
      <c r="HE22" s="820"/>
      <c r="HF22" s="821"/>
      <c r="HG22" s="821"/>
      <c r="HH22" s="821"/>
      <c r="HI22" s="821"/>
      <c r="HJ22" s="821"/>
      <c r="HK22" s="821"/>
      <c r="HL22" s="821"/>
      <c r="HM22" s="821"/>
      <c r="HN22" s="821"/>
      <c r="HO22" s="821"/>
      <c r="HP22" s="821"/>
      <c r="HQ22" s="821"/>
      <c r="HR22" s="821"/>
      <c r="HS22" s="821"/>
      <c r="HT22" s="821"/>
      <c r="HU22" s="821"/>
      <c r="HV22" s="821"/>
      <c r="HW22" s="821"/>
      <c r="HX22" s="821"/>
      <c r="HY22" s="821"/>
      <c r="HZ22" s="821"/>
      <c r="IA22" s="821"/>
      <c r="IB22" s="821"/>
      <c r="IC22" s="821"/>
      <c r="ID22" s="821"/>
      <c r="IE22" s="821"/>
      <c r="IF22" s="821"/>
      <c r="IG22" s="821"/>
      <c r="IH22" s="822"/>
    </row>
    <row r="23" spans="1:242" ht="33" x14ac:dyDescent="0.25">
      <c r="A23" s="823">
        <v>500.1</v>
      </c>
      <c r="B23" s="824" t="s">
        <v>28</v>
      </c>
      <c r="C23" s="825"/>
      <c r="D23" s="826"/>
      <c r="E23" s="826"/>
      <c r="F23" s="826"/>
      <c r="G23" s="826"/>
      <c r="H23" s="826"/>
      <c r="I23" s="826"/>
      <c r="J23" s="826"/>
      <c r="K23" s="826"/>
      <c r="L23" s="826"/>
      <c r="M23" s="826"/>
      <c r="N23" s="826"/>
      <c r="O23" s="826"/>
      <c r="P23" s="826"/>
      <c r="Q23" s="826"/>
      <c r="R23" s="826"/>
      <c r="S23" s="826"/>
      <c r="T23" s="826"/>
      <c r="U23" s="826"/>
      <c r="V23" s="826"/>
      <c r="W23" s="826"/>
      <c r="X23" s="826"/>
      <c r="Y23" s="826"/>
      <c r="Z23" s="826"/>
      <c r="AA23" s="826"/>
      <c r="AB23" s="826"/>
      <c r="AC23" s="826"/>
      <c r="AD23" s="826"/>
      <c r="AE23" s="826"/>
      <c r="AF23" s="824"/>
      <c r="AG23" s="825"/>
      <c r="AH23" s="826"/>
      <c r="AI23" s="826"/>
      <c r="AJ23" s="826"/>
      <c r="AK23" s="826"/>
      <c r="AL23" s="826"/>
      <c r="AM23" s="826"/>
      <c r="AN23" s="826"/>
      <c r="AO23" s="826"/>
      <c r="AP23" s="826"/>
      <c r="AQ23" s="826"/>
      <c r="AR23" s="826"/>
      <c r="AS23" s="826"/>
      <c r="AT23" s="826"/>
      <c r="AU23" s="826"/>
      <c r="AV23" s="826"/>
      <c r="AW23" s="826"/>
      <c r="AX23" s="826"/>
      <c r="AY23" s="826"/>
      <c r="AZ23" s="826"/>
      <c r="BA23" s="826"/>
      <c r="BB23" s="826"/>
      <c r="BC23" s="826"/>
      <c r="BD23" s="826"/>
      <c r="BE23" s="826"/>
      <c r="BF23" s="826"/>
      <c r="BG23" s="826"/>
      <c r="BH23" s="826"/>
      <c r="BI23" s="826"/>
      <c r="BJ23" s="824"/>
      <c r="BK23" s="807"/>
      <c r="BL23" s="808"/>
      <c r="BM23" s="808"/>
      <c r="BN23" s="808"/>
      <c r="BO23" s="808"/>
      <c r="BP23" s="808"/>
      <c r="BQ23" s="808"/>
      <c r="BR23" s="808"/>
      <c r="BS23" s="808"/>
      <c r="BT23" s="808"/>
      <c r="BU23" s="808"/>
      <c r="BV23" s="808"/>
      <c r="BW23" s="808"/>
      <c r="BX23" s="808"/>
      <c r="BY23" s="808"/>
      <c r="BZ23" s="808"/>
      <c r="CA23" s="808"/>
      <c r="CB23" s="808"/>
      <c r="CC23" s="808"/>
      <c r="CD23" s="808"/>
      <c r="CE23" s="808"/>
      <c r="CF23" s="808"/>
      <c r="CG23" s="808"/>
      <c r="CH23" s="808"/>
      <c r="CI23" s="808"/>
      <c r="CJ23" s="808"/>
      <c r="CK23" s="808"/>
      <c r="CL23" s="808"/>
      <c r="CM23" s="808"/>
      <c r="CN23" s="809"/>
      <c r="CO23" s="807"/>
      <c r="CP23" s="808"/>
      <c r="CQ23" s="808"/>
      <c r="CR23" s="808"/>
      <c r="CS23" s="808"/>
      <c r="CT23" s="808"/>
      <c r="CU23" s="808"/>
      <c r="CV23" s="808"/>
      <c r="CW23" s="808"/>
      <c r="CX23" s="808"/>
      <c r="CY23" s="808"/>
      <c r="CZ23" s="808"/>
      <c r="DA23" s="808"/>
      <c r="DB23" s="808"/>
      <c r="DC23" s="808"/>
      <c r="DD23" s="808"/>
      <c r="DE23" s="808"/>
      <c r="DF23" s="808"/>
      <c r="DG23" s="808"/>
      <c r="DH23" s="808"/>
      <c r="DI23" s="808"/>
      <c r="DJ23" s="808"/>
      <c r="DK23" s="808"/>
      <c r="DL23" s="808"/>
      <c r="DM23" s="808"/>
      <c r="DN23" s="808"/>
      <c r="DO23" s="808"/>
      <c r="DP23" s="808"/>
      <c r="DQ23" s="811"/>
      <c r="DR23" s="812"/>
      <c r="DS23" s="810"/>
      <c r="DT23" s="811"/>
      <c r="DU23" s="811"/>
      <c r="DV23" s="811"/>
      <c r="DW23" s="811"/>
      <c r="DX23" s="811"/>
      <c r="DY23" s="811"/>
      <c r="DZ23" s="811"/>
      <c r="EA23" s="811"/>
      <c r="EB23" s="811"/>
      <c r="EC23" s="811"/>
      <c r="ED23" s="811"/>
      <c r="EE23" s="811"/>
      <c r="EF23" s="811"/>
      <c r="EG23" s="811"/>
      <c r="EH23" s="811"/>
      <c r="EI23" s="811"/>
      <c r="EJ23" s="811"/>
      <c r="EK23" s="811"/>
      <c r="EL23" s="811"/>
      <c r="EM23" s="811"/>
      <c r="EN23" s="811"/>
      <c r="EO23" s="811"/>
      <c r="EP23" s="811"/>
      <c r="EQ23" s="811"/>
      <c r="ER23" s="811"/>
      <c r="ES23" s="811"/>
      <c r="ET23" s="811"/>
      <c r="EU23" s="811"/>
      <c r="EV23" s="812"/>
      <c r="EW23" s="810"/>
      <c r="EX23" s="811"/>
      <c r="EY23" s="811"/>
      <c r="EZ23" s="811"/>
      <c r="FA23" s="811"/>
      <c r="FB23" s="811"/>
      <c r="FC23" s="811"/>
      <c r="FD23" s="811"/>
      <c r="FE23" s="811"/>
      <c r="FF23" s="811"/>
      <c r="FG23" s="811"/>
      <c r="FH23" s="811"/>
      <c r="FI23" s="811"/>
      <c r="FJ23" s="811"/>
      <c r="FK23" s="811"/>
      <c r="FL23" s="811"/>
      <c r="FM23" s="811"/>
      <c r="FN23" s="811"/>
      <c r="FO23" s="808"/>
      <c r="FP23" s="808"/>
      <c r="FQ23" s="808"/>
      <c r="FR23" s="808"/>
      <c r="FS23" s="808"/>
      <c r="FT23" s="808"/>
      <c r="FU23" s="808"/>
      <c r="FV23" s="808"/>
      <c r="FW23" s="808"/>
      <c r="FX23" s="808"/>
      <c r="FY23" s="808"/>
      <c r="FZ23" s="809"/>
      <c r="GA23" s="807"/>
      <c r="GB23" s="808"/>
      <c r="GC23" s="808"/>
      <c r="GD23" s="808"/>
      <c r="GE23" s="808"/>
      <c r="GF23" s="808"/>
      <c r="GG23" s="808"/>
      <c r="GH23" s="808"/>
      <c r="GI23" s="808"/>
      <c r="GJ23" s="808"/>
      <c r="GK23" s="808"/>
      <c r="GL23" s="808"/>
      <c r="GM23" s="808"/>
      <c r="GN23" s="808"/>
      <c r="GO23" s="808"/>
      <c r="GP23" s="808"/>
      <c r="GQ23" s="808"/>
      <c r="GR23" s="808"/>
      <c r="GS23" s="808"/>
      <c r="GT23" s="808"/>
      <c r="GU23" s="808"/>
      <c r="GV23" s="808"/>
      <c r="GW23" s="808"/>
      <c r="GX23" s="808"/>
      <c r="GY23" s="808"/>
      <c r="GZ23" s="808"/>
      <c r="HA23" s="808"/>
      <c r="HB23" s="808"/>
      <c r="HC23" s="808"/>
      <c r="HD23" s="809"/>
      <c r="HE23" s="807"/>
      <c r="HF23" s="808"/>
      <c r="HG23" s="808"/>
      <c r="HH23" s="808"/>
      <c r="HI23" s="808"/>
      <c r="HJ23" s="808"/>
      <c r="HK23" s="808"/>
      <c r="HL23" s="808"/>
      <c r="HM23" s="808"/>
      <c r="HN23" s="808"/>
      <c r="HO23" s="808"/>
      <c r="HP23" s="808"/>
      <c r="HQ23" s="808"/>
      <c r="HR23" s="808"/>
      <c r="HS23" s="808"/>
      <c r="HT23" s="808"/>
      <c r="HU23" s="808"/>
      <c r="HV23" s="808"/>
      <c r="HW23" s="808"/>
      <c r="HX23" s="808"/>
      <c r="HY23" s="808"/>
      <c r="HZ23" s="808"/>
      <c r="IA23" s="808"/>
      <c r="IB23" s="808"/>
      <c r="IC23" s="808"/>
      <c r="ID23" s="808"/>
      <c r="IE23" s="808"/>
      <c r="IF23" s="808"/>
      <c r="IG23" s="808"/>
      <c r="IH23" s="809"/>
    </row>
    <row r="24" spans="1:242" ht="31.5" customHeight="1" x14ac:dyDescent="0.25">
      <c r="A24" s="1454" t="s">
        <v>101</v>
      </c>
      <c r="B24" s="1455"/>
      <c r="C24" s="817"/>
      <c r="D24" s="818"/>
      <c r="E24" s="818"/>
      <c r="F24" s="818"/>
      <c r="G24" s="818"/>
      <c r="H24" s="818"/>
      <c r="I24" s="818"/>
      <c r="J24" s="818"/>
      <c r="K24" s="818"/>
      <c r="L24" s="818"/>
      <c r="M24" s="818"/>
      <c r="N24" s="818"/>
      <c r="O24" s="818"/>
      <c r="P24" s="818"/>
      <c r="Q24" s="818"/>
      <c r="R24" s="818"/>
      <c r="S24" s="818"/>
      <c r="T24" s="818"/>
      <c r="U24" s="818"/>
      <c r="V24" s="818"/>
      <c r="W24" s="818"/>
      <c r="X24" s="818"/>
      <c r="Y24" s="818"/>
      <c r="Z24" s="818"/>
      <c r="AA24" s="818"/>
      <c r="AB24" s="818"/>
      <c r="AC24" s="818"/>
      <c r="AD24" s="818"/>
      <c r="AE24" s="818"/>
      <c r="AF24" s="819"/>
      <c r="AG24" s="817"/>
      <c r="AH24" s="818"/>
      <c r="AI24" s="818"/>
      <c r="AJ24" s="818"/>
      <c r="AK24" s="818"/>
      <c r="AL24" s="818"/>
      <c r="AM24" s="818"/>
      <c r="AN24" s="818"/>
      <c r="AO24" s="818"/>
      <c r="AP24" s="818"/>
      <c r="AQ24" s="818"/>
      <c r="AR24" s="818"/>
      <c r="AS24" s="818"/>
      <c r="AT24" s="818"/>
      <c r="AU24" s="818"/>
      <c r="AV24" s="818"/>
      <c r="AW24" s="818"/>
      <c r="AX24" s="818"/>
      <c r="AY24" s="818"/>
      <c r="AZ24" s="818"/>
      <c r="BA24" s="818"/>
      <c r="BB24" s="818"/>
      <c r="BC24" s="818"/>
      <c r="BD24" s="818"/>
      <c r="BE24" s="818"/>
      <c r="BF24" s="818"/>
      <c r="BG24" s="818"/>
      <c r="BH24" s="818"/>
      <c r="BI24" s="818"/>
      <c r="BJ24" s="819"/>
      <c r="BK24" s="820"/>
      <c r="BL24" s="821"/>
      <c r="BM24" s="821"/>
      <c r="BN24" s="821"/>
      <c r="BO24" s="821"/>
      <c r="BP24" s="821"/>
      <c r="BQ24" s="821"/>
      <c r="BR24" s="821"/>
      <c r="BS24" s="821"/>
      <c r="BT24" s="821"/>
      <c r="BU24" s="821"/>
      <c r="BV24" s="821"/>
      <c r="BW24" s="821"/>
      <c r="BX24" s="821"/>
      <c r="BY24" s="821"/>
      <c r="BZ24" s="821"/>
      <c r="CA24" s="821"/>
      <c r="CB24" s="821"/>
      <c r="CC24" s="821"/>
      <c r="CD24" s="821"/>
      <c r="CE24" s="821"/>
      <c r="CF24" s="821"/>
      <c r="CG24" s="821"/>
      <c r="CH24" s="821"/>
      <c r="CI24" s="821"/>
      <c r="CJ24" s="821"/>
      <c r="CK24" s="821"/>
      <c r="CL24" s="821"/>
      <c r="CM24" s="821"/>
      <c r="CN24" s="822"/>
      <c r="CO24" s="820"/>
      <c r="CP24" s="821"/>
      <c r="CQ24" s="821"/>
      <c r="CR24" s="821"/>
      <c r="CS24" s="821"/>
      <c r="CT24" s="821"/>
      <c r="CU24" s="821"/>
      <c r="CV24" s="821"/>
      <c r="CW24" s="821"/>
      <c r="CX24" s="821"/>
      <c r="CY24" s="821"/>
      <c r="CZ24" s="821"/>
      <c r="DA24" s="821"/>
      <c r="DB24" s="821"/>
      <c r="DC24" s="821"/>
      <c r="DD24" s="821"/>
      <c r="DE24" s="821"/>
      <c r="DF24" s="821"/>
      <c r="DG24" s="821"/>
      <c r="DH24" s="821"/>
      <c r="DI24" s="821"/>
      <c r="DJ24" s="821"/>
      <c r="DK24" s="821"/>
      <c r="DL24" s="821"/>
      <c r="DM24" s="821"/>
      <c r="DN24" s="821"/>
      <c r="DO24" s="821"/>
      <c r="DP24" s="821"/>
      <c r="DQ24" s="821"/>
      <c r="DR24" s="822"/>
      <c r="DS24" s="820"/>
      <c r="DT24" s="821"/>
      <c r="DU24" s="821"/>
      <c r="DV24" s="821"/>
      <c r="DW24" s="821"/>
      <c r="DX24" s="821"/>
      <c r="DY24" s="821"/>
      <c r="DZ24" s="821"/>
      <c r="EA24" s="821"/>
      <c r="EB24" s="821"/>
      <c r="EC24" s="821"/>
      <c r="ED24" s="821"/>
      <c r="EE24" s="821"/>
      <c r="EF24" s="821"/>
      <c r="EG24" s="821"/>
      <c r="EH24" s="821"/>
      <c r="EI24" s="821"/>
      <c r="EJ24" s="821"/>
      <c r="EK24" s="821"/>
      <c r="EL24" s="821"/>
      <c r="EM24" s="821"/>
      <c r="EN24" s="821"/>
      <c r="EO24" s="821"/>
      <c r="EP24" s="821"/>
      <c r="EQ24" s="821"/>
      <c r="ER24" s="821"/>
      <c r="ES24" s="821"/>
      <c r="ET24" s="821"/>
      <c r="EU24" s="821"/>
      <c r="EV24" s="822"/>
      <c r="EW24" s="820"/>
      <c r="EX24" s="821"/>
      <c r="EY24" s="821"/>
      <c r="EZ24" s="821"/>
      <c r="FA24" s="821"/>
      <c r="FB24" s="821"/>
      <c r="FC24" s="821"/>
      <c r="FD24" s="821"/>
      <c r="FE24" s="821"/>
      <c r="FF24" s="821"/>
      <c r="FG24" s="821"/>
      <c r="FH24" s="821"/>
      <c r="FI24" s="821"/>
      <c r="FJ24" s="821"/>
      <c r="FK24" s="821"/>
      <c r="FL24" s="821"/>
      <c r="FM24" s="821"/>
      <c r="FN24" s="821"/>
      <c r="FO24" s="821"/>
      <c r="FP24" s="821"/>
      <c r="FQ24" s="821"/>
      <c r="FR24" s="821"/>
      <c r="FS24" s="821"/>
      <c r="FT24" s="821"/>
      <c r="FU24" s="821"/>
      <c r="FV24" s="821"/>
      <c r="FW24" s="821"/>
      <c r="FX24" s="821"/>
      <c r="FY24" s="821"/>
      <c r="FZ24" s="822"/>
      <c r="GA24" s="820"/>
      <c r="GB24" s="821"/>
      <c r="GC24" s="821"/>
      <c r="GD24" s="821"/>
      <c r="GE24" s="821"/>
      <c r="GF24" s="821"/>
      <c r="GG24" s="821"/>
      <c r="GH24" s="821"/>
      <c r="GI24" s="821"/>
      <c r="GJ24" s="821"/>
      <c r="GK24" s="821"/>
      <c r="GL24" s="821"/>
      <c r="GM24" s="821"/>
      <c r="GN24" s="821"/>
      <c r="GO24" s="821"/>
      <c r="GP24" s="821"/>
      <c r="GQ24" s="821"/>
      <c r="GR24" s="821"/>
      <c r="GS24" s="821"/>
      <c r="GT24" s="821"/>
      <c r="GU24" s="821"/>
      <c r="GV24" s="821"/>
      <c r="GW24" s="821"/>
      <c r="GX24" s="821"/>
      <c r="GY24" s="821"/>
      <c r="GZ24" s="821"/>
      <c r="HA24" s="821"/>
      <c r="HB24" s="821"/>
      <c r="HC24" s="821"/>
      <c r="HD24" s="822"/>
      <c r="HE24" s="820"/>
      <c r="HF24" s="821"/>
      <c r="HG24" s="821"/>
      <c r="HH24" s="821"/>
      <c r="HI24" s="821"/>
      <c r="HJ24" s="821"/>
      <c r="HK24" s="821"/>
      <c r="HL24" s="821"/>
      <c r="HM24" s="821"/>
      <c r="HN24" s="821"/>
      <c r="HO24" s="821"/>
      <c r="HP24" s="821"/>
      <c r="HQ24" s="821"/>
      <c r="HR24" s="821"/>
      <c r="HS24" s="821"/>
      <c r="HT24" s="821"/>
      <c r="HU24" s="821"/>
      <c r="HV24" s="821"/>
      <c r="HW24" s="821"/>
      <c r="HX24" s="821"/>
      <c r="HY24" s="821"/>
      <c r="HZ24" s="821"/>
      <c r="IA24" s="821"/>
      <c r="IB24" s="821"/>
      <c r="IC24" s="821"/>
      <c r="ID24" s="821"/>
      <c r="IE24" s="821"/>
      <c r="IF24" s="821"/>
      <c r="IG24" s="821"/>
      <c r="IH24" s="822"/>
    </row>
    <row r="25" spans="1:242" s="833" customFormat="1" ht="31.5" customHeight="1" x14ac:dyDescent="0.25">
      <c r="A25" s="1456" t="s">
        <v>102</v>
      </c>
      <c r="B25" s="1457"/>
      <c r="C25" s="827"/>
      <c r="D25" s="828"/>
      <c r="E25" s="828"/>
      <c r="F25" s="828"/>
      <c r="G25" s="828"/>
      <c r="H25" s="828"/>
      <c r="I25" s="828"/>
      <c r="J25" s="828"/>
      <c r="K25" s="828"/>
      <c r="L25" s="828"/>
      <c r="M25" s="828"/>
      <c r="N25" s="828"/>
      <c r="O25" s="828"/>
      <c r="P25" s="828"/>
      <c r="Q25" s="828"/>
      <c r="R25" s="828"/>
      <c r="S25" s="828"/>
      <c r="T25" s="828"/>
      <c r="U25" s="828"/>
      <c r="V25" s="828"/>
      <c r="W25" s="828"/>
      <c r="X25" s="828"/>
      <c r="Y25" s="828"/>
      <c r="Z25" s="828"/>
      <c r="AA25" s="828"/>
      <c r="AB25" s="828"/>
      <c r="AC25" s="828"/>
      <c r="AD25" s="828"/>
      <c r="AE25" s="828"/>
      <c r="AF25" s="829"/>
      <c r="AG25" s="827"/>
      <c r="AH25" s="828"/>
      <c r="AI25" s="828"/>
      <c r="AJ25" s="828"/>
      <c r="AK25" s="828"/>
      <c r="AL25" s="828"/>
      <c r="AM25" s="828"/>
      <c r="AN25" s="828"/>
      <c r="AO25" s="828"/>
      <c r="AP25" s="828"/>
      <c r="AQ25" s="828"/>
      <c r="AR25" s="828"/>
      <c r="AS25" s="828"/>
      <c r="AT25" s="828"/>
      <c r="AU25" s="828"/>
      <c r="AV25" s="828"/>
      <c r="AW25" s="828"/>
      <c r="AX25" s="828"/>
      <c r="AY25" s="828"/>
      <c r="AZ25" s="828"/>
      <c r="BA25" s="828"/>
      <c r="BB25" s="828"/>
      <c r="BC25" s="828"/>
      <c r="BD25" s="828"/>
      <c r="BE25" s="828"/>
      <c r="BF25" s="828"/>
      <c r="BG25" s="828"/>
      <c r="BH25" s="828"/>
      <c r="BI25" s="828"/>
      <c r="BJ25" s="829"/>
      <c r="BK25" s="830"/>
      <c r="BL25" s="831"/>
      <c r="BM25" s="831"/>
      <c r="BN25" s="831"/>
      <c r="BO25" s="831"/>
      <c r="BP25" s="831"/>
      <c r="BQ25" s="831"/>
      <c r="BR25" s="831"/>
      <c r="BS25" s="831"/>
      <c r="BT25" s="831"/>
      <c r="BU25" s="831"/>
      <c r="BV25" s="831"/>
      <c r="BW25" s="831"/>
      <c r="BX25" s="831"/>
      <c r="BY25" s="831"/>
      <c r="BZ25" s="831"/>
      <c r="CA25" s="831"/>
      <c r="CB25" s="831"/>
      <c r="CC25" s="831"/>
      <c r="CD25" s="831"/>
      <c r="CE25" s="831"/>
      <c r="CF25" s="831"/>
      <c r="CG25" s="831"/>
      <c r="CH25" s="831"/>
      <c r="CI25" s="831"/>
      <c r="CJ25" s="831"/>
      <c r="CK25" s="831"/>
      <c r="CL25" s="831"/>
      <c r="CM25" s="831"/>
      <c r="CN25" s="832"/>
      <c r="CO25" s="830"/>
      <c r="CP25" s="831"/>
      <c r="CQ25" s="831"/>
      <c r="CR25" s="831"/>
      <c r="CS25" s="831"/>
      <c r="CT25" s="831"/>
      <c r="CU25" s="831"/>
      <c r="CV25" s="831"/>
      <c r="CW25" s="831"/>
      <c r="CX25" s="831"/>
      <c r="CY25" s="831"/>
      <c r="CZ25" s="831"/>
      <c r="DA25" s="831"/>
      <c r="DB25" s="831"/>
      <c r="DC25" s="831"/>
      <c r="DD25" s="831"/>
      <c r="DE25" s="831"/>
      <c r="DF25" s="831"/>
      <c r="DG25" s="831"/>
      <c r="DH25" s="831"/>
      <c r="DI25" s="831"/>
      <c r="DJ25" s="831"/>
      <c r="DK25" s="831"/>
      <c r="DL25" s="831"/>
      <c r="DM25" s="831"/>
      <c r="DN25" s="831"/>
      <c r="DO25" s="831"/>
      <c r="DP25" s="831"/>
      <c r="DQ25" s="831"/>
      <c r="DR25" s="832"/>
      <c r="DS25" s="830"/>
      <c r="DT25" s="831"/>
      <c r="DU25" s="831"/>
      <c r="DV25" s="831"/>
      <c r="DW25" s="831"/>
      <c r="DX25" s="831"/>
      <c r="DY25" s="831"/>
      <c r="DZ25" s="831"/>
      <c r="EA25" s="831"/>
      <c r="EB25" s="831"/>
      <c r="EC25" s="831"/>
      <c r="ED25" s="831"/>
      <c r="EE25" s="831"/>
      <c r="EF25" s="831"/>
      <c r="EG25" s="831"/>
      <c r="EH25" s="831"/>
      <c r="EI25" s="831"/>
      <c r="EJ25" s="831"/>
      <c r="EK25" s="831"/>
      <c r="EL25" s="831"/>
      <c r="EM25" s="831"/>
      <c r="EN25" s="831"/>
      <c r="EO25" s="831"/>
      <c r="EP25" s="831"/>
      <c r="EQ25" s="831"/>
      <c r="ER25" s="831"/>
      <c r="ES25" s="831"/>
      <c r="ET25" s="831"/>
      <c r="EU25" s="831"/>
      <c r="EV25" s="832"/>
      <c r="EW25" s="830"/>
      <c r="EX25" s="831"/>
      <c r="EY25" s="831"/>
      <c r="EZ25" s="831"/>
      <c r="FA25" s="831"/>
      <c r="FB25" s="831"/>
      <c r="FC25" s="831"/>
      <c r="FD25" s="831"/>
      <c r="FE25" s="831"/>
      <c r="FF25" s="831"/>
      <c r="FG25" s="831"/>
      <c r="FH25" s="831"/>
      <c r="FI25" s="831"/>
      <c r="FJ25" s="831"/>
      <c r="FK25" s="831"/>
      <c r="FL25" s="831"/>
      <c r="FM25" s="831"/>
      <c r="FN25" s="831"/>
      <c r="FO25" s="831"/>
      <c r="FP25" s="831"/>
      <c r="FQ25" s="831"/>
      <c r="FR25" s="831"/>
      <c r="FS25" s="831"/>
      <c r="FT25" s="831"/>
      <c r="FU25" s="831"/>
      <c r="FV25" s="831"/>
      <c r="FW25" s="831"/>
      <c r="FX25" s="831"/>
      <c r="FY25" s="831"/>
      <c r="FZ25" s="832"/>
      <c r="GA25" s="830"/>
      <c r="GB25" s="831"/>
      <c r="GC25" s="831"/>
      <c r="GD25" s="831"/>
      <c r="GE25" s="831"/>
      <c r="GF25" s="831"/>
      <c r="GG25" s="831"/>
      <c r="GH25" s="831"/>
      <c r="GI25" s="831"/>
      <c r="GJ25" s="831"/>
      <c r="GK25" s="831"/>
      <c r="GL25" s="831"/>
      <c r="GM25" s="831"/>
      <c r="GN25" s="831"/>
      <c r="GO25" s="831"/>
      <c r="GP25" s="831"/>
      <c r="GQ25" s="831"/>
      <c r="GR25" s="831"/>
      <c r="GS25" s="831"/>
      <c r="GT25" s="831"/>
      <c r="GU25" s="831"/>
      <c r="GV25" s="831"/>
      <c r="GW25" s="831"/>
      <c r="GX25" s="831"/>
      <c r="GY25" s="831"/>
      <c r="GZ25" s="831"/>
      <c r="HA25" s="831"/>
      <c r="HB25" s="831"/>
      <c r="HC25" s="831"/>
      <c r="HD25" s="832"/>
      <c r="HE25" s="830"/>
      <c r="HF25" s="831"/>
      <c r="HG25" s="831"/>
      <c r="HH25" s="831"/>
      <c r="HI25" s="831"/>
      <c r="HJ25" s="831"/>
      <c r="HK25" s="831"/>
      <c r="HL25" s="831"/>
      <c r="HM25" s="831"/>
      <c r="HN25" s="831"/>
      <c r="HO25" s="831"/>
      <c r="HP25" s="831"/>
      <c r="HQ25" s="831"/>
      <c r="HR25" s="831"/>
      <c r="HS25" s="831"/>
      <c r="HT25" s="831"/>
      <c r="HU25" s="831"/>
      <c r="HV25" s="831"/>
      <c r="HW25" s="831"/>
      <c r="HX25" s="831"/>
      <c r="HY25" s="831"/>
      <c r="HZ25" s="831"/>
      <c r="IA25" s="831"/>
      <c r="IB25" s="831"/>
      <c r="IC25" s="831"/>
      <c r="ID25" s="831"/>
      <c r="IE25" s="831"/>
      <c r="IF25" s="831"/>
      <c r="IG25" s="831"/>
      <c r="IH25" s="832"/>
    </row>
    <row r="26" spans="1:242" ht="33" x14ac:dyDescent="0.25">
      <c r="A26" s="823" t="s">
        <v>103</v>
      </c>
      <c r="B26" s="824" t="s">
        <v>29</v>
      </c>
      <c r="C26" s="825"/>
      <c r="D26" s="826"/>
      <c r="E26" s="826"/>
      <c r="F26" s="826"/>
      <c r="G26" s="826"/>
      <c r="H26" s="826"/>
      <c r="I26" s="826"/>
      <c r="J26" s="826"/>
      <c r="K26" s="826"/>
      <c r="L26" s="826"/>
      <c r="M26" s="826"/>
      <c r="N26" s="826"/>
      <c r="O26" s="826"/>
      <c r="P26" s="826"/>
      <c r="Q26" s="826"/>
      <c r="R26" s="826"/>
      <c r="S26" s="826"/>
      <c r="T26" s="826"/>
      <c r="U26" s="826"/>
      <c r="V26" s="826"/>
      <c r="W26" s="826"/>
      <c r="X26" s="826"/>
      <c r="Y26" s="826"/>
      <c r="Z26" s="826"/>
      <c r="AA26" s="826"/>
      <c r="AB26" s="826"/>
      <c r="AC26" s="826"/>
      <c r="AD26" s="826"/>
      <c r="AE26" s="826"/>
      <c r="AF26" s="824"/>
      <c r="AG26" s="825"/>
      <c r="AH26" s="826"/>
      <c r="AI26" s="826"/>
      <c r="AJ26" s="826"/>
      <c r="AK26" s="826"/>
      <c r="AL26" s="826"/>
      <c r="AM26" s="826"/>
      <c r="AN26" s="826"/>
      <c r="AO26" s="826"/>
      <c r="AP26" s="826"/>
      <c r="AQ26" s="826"/>
      <c r="AR26" s="826"/>
      <c r="AS26" s="826"/>
      <c r="AT26" s="826"/>
      <c r="AU26" s="826"/>
      <c r="AV26" s="826"/>
      <c r="AW26" s="826"/>
      <c r="AX26" s="826"/>
      <c r="AY26" s="826"/>
      <c r="AZ26" s="826"/>
      <c r="BA26" s="826"/>
      <c r="BB26" s="826"/>
      <c r="BC26" s="826"/>
      <c r="BD26" s="826"/>
      <c r="BE26" s="826"/>
      <c r="BF26" s="826"/>
      <c r="BG26" s="826"/>
      <c r="BH26" s="826"/>
      <c r="BI26" s="826"/>
      <c r="BJ26" s="824"/>
      <c r="BK26" s="807"/>
      <c r="BL26" s="808"/>
      <c r="BM26" s="808"/>
      <c r="BN26" s="808"/>
      <c r="BO26" s="808"/>
      <c r="BP26" s="808"/>
      <c r="BQ26" s="808"/>
      <c r="BR26" s="808"/>
      <c r="BS26" s="808"/>
      <c r="BT26" s="808"/>
      <c r="BU26" s="808"/>
      <c r="BV26" s="808"/>
      <c r="BW26" s="808"/>
      <c r="BX26" s="808"/>
      <c r="BY26" s="808"/>
      <c r="BZ26" s="808"/>
      <c r="CA26" s="808"/>
      <c r="CB26" s="808"/>
      <c r="CC26" s="808"/>
      <c r="CD26" s="808"/>
      <c r="CE26" s="808"/>
      <c r="CF26" s="808"/>
      <c r="CG26" s="808"/>
      <c r="CH26" s="808"/>
      <c r="CI26" s="811"/>
      <c r="CJ26" s="811"/>
      <c r="CK26" s="811"/>
      <c r="CL26" s="811"/>
      <c r="CM26" s="811"/>
      <c r="CN26" s="812"/>
      <c r="CO26" s="810"/>
      <c r="CP26" s="811"/>
      <c r="CQ26" s="811"/>
      <c r="CR26" s="811"/>
      <c r="CS26" s="811"/>
      <c r="CT26" s="811"/>
      <c r="CU26" s="811"/>
      <c r="CV26" s="811"/>
      <c r="CW26" s="811"/>
      <c r="CX26" s="811"/>
      <c r="CY26" s="811"/>
      <c r="CZ26" s="811"/>
      <c r="DA26" s="811"/>
      <c r="DB26" s="811"/>
      <c r="DC26" s="811"/>
      <c r="DD26" s="811"/>
      <c r="DE26" s="811"/>
      <c r="DF26" s="811"/>
      <c r="DG26" s="811"/>
      <c r="DH26" s="811"/>
      <c r="DI26" s="811"/>
      <c r="DJ26" s="811"/>
      <c r="DK26" s="811"/>
      <c r="DL26" s="811"/>
      <c r="DM26" s="811"/>
      <c r="DN26" s="811"/>
      <c r="DO26" s="811"/>
      <c r="DP26" s="811"/>
      <c r="DQ26" s="811"/>
      <c r="DR26" s="812"/>
      <c r="DS26" s="810"/>
      <c r="DT26" s="811"/>
      <c r="DU26" s="811"/>
      <c r="DV26" s="811"/>
      <c r="DW26" s="808"/>
      <c r="DX26" s="808"/>
      <c r="DY26" s="808"/>
      <c r="DZ26" s="808"/>
      <c r="EA26" s="808"/>
      <c r="EB26" s="808"/>
      <c r="EC26" s="808"/>
      <c r="ED26" s="808"/>
      <c r="EE26" s="808"/>
      <c r="EF26" s="808"/>
      <c r="EG26" s="808"/>
      <c r="EH26" s="808"/>
      <c r="EI26" s="808"/>
      <c r="EJ26" s="808"/>
      <c r="EK26" s="808"/>
      <c r="EL26" s="808"/>
      <c r="EM26" s="808"/>
      <c r="EN26" s="808"/>
      <c r="EO26" s="808"/>
      <c r="EP26" s="808"/>
      <c r="EQ26" s="808"/>
      <c r="ER26" s="808"/>
      <c r="ES26" s="808"/>
      <c r="ET26" s="808"/>
      <c r="EU26" s="808"/>
      <c r="EV26" s="809"/>
      <c r="EW26" s="807"/>
      <c r="EX26" s="808"/>
      <c r="EY26" s="808"/>
      <c r="EZ26" s="808"/>
      <c r="FA26" s="808"/>
      <c r="FB26" s="808"/>
      <c r="FC26" s="808"/>
      <c r="FD26" s="808"/>
      <c r="FE26" s="808"/>
      <c r="FF26" s="808"/>
      <c r="FG26" s="808"/>
      <c r="FH26" s="808"/>
      <c r="FI26" s="808"/>
      <c r="FJ26" s="808"/>
      <c r="FK26" s="808"/>
      <c r="FL26" s="808"/>
      <c r="FM26" s="808"/>
      <c r="FN26" s="808"/>
      <c r="FO26" s="808"/>
      <c r="FP26" s="808"/>
      <c r="FQ26" s="808"/>
      <c r="FR26" s="808"/>
      <c r="FS26" s="808"/>
      <c r="FT26" s="808"/>
      <c r="FU26" s="808"/>
      <c r="FV26" s="808"/>
      <c r="FW26" s="808"/>
      <c r="FX26" s="808"/>
      <c r="FY26" s="808"/>
      <c r="FZ26" s="809"/>
      <c r="GA26" s="807"/>
      <c r="GB26" s="808"/>
      <c r="GC26" s="808"/>
      <c r="GD26" s="808"/>
      <c r="GE26" s="808"/>
      <c r="GF26" s="808"/>
      <c r="GG26" s="808"/>
      <c r="GH26" s="808"/>
      <c r="GI26" s="808"/>
      <c r="GJ26" s="808"/>
      <c r="GK26" s="808"/>
      <c r="GL26" s="808"/>
      <c r="GM26" s="808"/>
      <c r="GN26" s="808"/>
      <c r="GO26" s="808"/>
      <c r="GP26" s="808"/>
      <c r="GQ26" s="808"/>
      <c r="GR26" s="808"/>
      <c r="GS26" s="808"/>
      <c r="GT26" s="808"/>
      <c r="GU26" s="808"/>
      <c r="GV26" s="808"/>
      <c r="GW26" s="808"/>
      <c r="GX26" s="808"/>
      <c r="GY26" s="808"/>
      <c r="GZ26" s="808"/>
      <c r="HA26" s="808"/>
      <c r="HB26" s="808"/>
      <c r="HC26" s="808"/>
      <c r="HD26" s="809"/>
      <c r="HE26" s="807"/>
      <c r="HF26" s="808"/>
      <c r="HG26" s="808"/>
      <c r="HH26" s="808"/>
      <c r="HI26" s="808"/>
      <c r="HJ26" s="808"/>
      <c r="HK26" s="808"/>
      <c r="HL26" s="808"/>
      <c r="HM26" s="808"/>
      <c r="HN26" s="808"/>
      <c r="HO26" s="808"/>
      <c r="HP26" s="808"/>
      <c r="HQ26" s="808"/>
      <c r="HR26" s="808"/>
      <c r="HS26" s="808"/>
      <c r="HT26" s="808"/>
      <c r="HU26" s="808"/>
      <c r="HV26" s="808"/>
      <c r="HW26" s="808"/>
      <c r="HX26" s="808"/>
      <c r="HY26" s="808"/>
      <c r="HZ26" s="808"/>
      <c r="IA26" s="808"/>
      <c r="IB26" s="808"/>
      <c r="IC26" s="808"/>
      <c r="ID26" s="808"/>
      <c r="IE26" s="808"/>
      <c r="IF26" s="808"/>
      <c r="IG26" s="808"/>
      <c r="IH26" s="809"/>
    </row>
    <row r="27" spans="1:242" ht="33" x14ac:dyDescent="0.25">
      <c r="A27" s="823" t="s">
        <v>106</v>
      </c>
      <c r="B27" s="824" t="s">
        <v>30</v>
      </c>
      <c r="C27" s="825"/>
      <c r="D27" s="826"/>
      <c r="E27" s="826"/>
      <c r="F27" s="826"/>
      <c r="G27" s="826"/>
      <c r="H27" s="826"/>
      <c r="I27" s="826"/>
      <c r="J27" s="826"/>
      <c r="K27" s="826"/>
      <c r="L27" s="826"/>
      <c r="M27" s="826"/>
      <c r="N27" s="826"/>
      <c r="O27" s="826"/>
      <c r="P27" s="826"/>
      <c r="Q27" s="826"/>
      <c r="R27" s="826"/>
      <c r="S27" s="826"/>
      <c r="T27" s="826"/>
      <c r="U27" s="826"/>
      <c r="V27" s="826"/>
      <c r="W27" s="826"/>
      <c r="X27" s="826"/>
      <c r="Y27" s="826"/>
      <c r="Z27" s="826"/>
      <c r="AA27" s="826"/>
      <c r="AB27" s="826"/>
      <c r="AC27" s="826"/>
      <c r="AD27" s="826"/>
      <c r="AE27" s="826"/>
      <c r="AF27" s="824"/>
      <c r="AG27" s="825"/>
      <c r="AH27" s="826"/>
      <c r="AI27" s="826"/>
      <c r="AJ27" s="826"/>
      <c r="AK27" s="826"/>
      <c r="AL27" s="826"/>
      <c r="AM27" s="826"/>
      <c r="AN27" s="826"/>
      <c r="AO27" s="826"/>
      <c r="AP27" s="826"/>
      <c r="AQ27" s="826"/>
      <c r="AR27" s="826"/>
      <c r="AS27" s="826"/>
      <c r="AT27" s="826"/>
      <c r="AU27" s="826"/>
      <c r="AV27" s="826"/>
      <c r="AW27" s="826"/>
      <c r="AX27" s="826"/>
      <c r="AY27" s="826"/>
      <c r="AZ27" s="826"/>
      <c r="BA27" s="826"/>
      <c r="BB27" s="826"/>
      <c r="BC27" s="826"/>
      <c r="BD27" s="826"/>
      <c r="BE27" s="826"/>
      <c r="BF27" s="826"/>
      <c r="BG27" s="826"/>
      <c r="BH27" s="826"/>
      <c r="BI27" s="826"/>
      <c r="BJ27" s="824"/>
      <c r="BK27" s="807"/>
      <c r="BL27" s="808"/>
      <c r="BM27" s="808"/>
      <c r="BN27" s="808"/>
      <c r="BO27" s="808"/>
      <c r="BP27" s="808"/>
      <c r="BQ27" s="808"/>
      <c r="BR27" s="808"/>
      <c r="BS27" s="808"/>
      <c r="BT27" s="808"/>
      <c r="BU27" s="808"/>
      <c r="BV27" s="808"/>
      <c r="BW27" s="808"/>
      <c r="BX27" s="808"/>
      <c r="BY27" s="808"/>
      <c r="BZ27" s="808"/>
      <c r="CA27" s="808"/>
      <c r="CB27" s="808"/>
      <c r="CC27" s="808"/>
      <c r="CD27" s="808"/>
      <c r="CE27" s="808"/>
      <c r="CF27" s="808"/>
      <c r="CG27" s="808"/>
      <c r="CH27" s="808"/>
      <c r="CI27" s="811"/>
      <c r="CJ27" s="811"/>
      <c r="CK27" s="811"/>
      <c r="CL27" s="811"/>
      <c r="CM27" s="811"/>
      <c r="CN27" s="812"/>
      <c r="CO27" s="810"/>
      <c r="CP27" s="811"/>
      <c r="CQ27" s="811"/>
      <c r="CR27" s="811"/>
      <c r="CS27" s="811"/>
      <c r="CT27" s="811"/>
      <c r="CU27" s="811"/>
      <c r="CV27" s="811"/>
      <c r="CW27" s="811"/>
      <c r="CX27" s="811"/>
      <c r="CY27" s="811"/>
      <c r="CZ27" s="811"/>
      <c r="DA27" s="811"/>
      <c r="DB27" s="811"/>
      <c r="DC27" s="808"/>
      <c r="DD27" s="808"/>
      <c r="DE27" s="808"/>
      <c r="DF27" s="808"/>
      <c r="DG27" s="808"/>
      <c r="DH27" s="808"/>
      <c r="DI27" s="808"/>
      <c r="DJ27" s="808"/>
      <c r="DK27" s="808"/>
      <c r="DL27" s="808"/>
      <c r="DM27" s="808"/>
      <c r="DN27" s="808"/>
      <c r="DO27" s="808"/>
      <c r="DP27" s="808"/>
      <c r="DQ27" s="808"/>
      <c r="DR27" s="809"/>
      <c r="DS27" s="807"/>
      <c r="DT27" s="808"/>
      <c r="DU27" s="808"/>
      <c r="DV27" s="808"/>
      <c r="DW27" s="808"/>
      <c r="DX27" s="808"/>
      <c r="DY27" s="808"/>
      <c r="DZ27" s="808"/>
      <c r="EA27" s="808"/>
      <c r="EB27" s="808"/>
      <c r="EC27" s="808"/>
      <c r="ED27" s="808"/>
      <c r="EE27" s="808"/>
      <c r="EF27" s="808"/>
      <c r="EG27" s="808"/>
      <c r="EH27" s="808"/>
      <c r="EI27" s="808"/>
      <c r="EJ27" s="808"/>
      <c r="EK27" s="808"/>
      <c r="EL27" s="808"/>
      <c r="EM27" s="808"/>
      <c r="EN27" s="808"/>
      <c r="EO27" s="808"/>
      <c r="EP27" s="808"/>
      <c r="EQ27" s="808"/>
      <c r="ER27" s="808"/>
      <c r="ES27" s="808"/>
      <c r="ET27" s="808"/>
      <c r="EU27" s="808"/>
      <c r="EV27" s="809"/>
      <c r="EW27" s="807"/>
      <c r="EX27" s="808"/>
      <c r="EY27" s="808"/>
      <c r="EZ27" s="808"/>
      <c r="FA27" s="808"/>
      <c r="FB27" s="808"/>
      <c r="FC27" s="808"/>
      <c r="FD27" s="808"/>
      <c r="FE27" s="808"/>
      <c r="FF27" s="808"/>
      <c r="FG27" s="808"/>
      <c r="FH27" s="808"/>
      <c r="FI27" s="808"/>
      <c r="FJ27" s="808"/>
      <c r="FK27" s="808"/>
      <c r="FL27" s="808"/>
      <c r="FM27" s="808"/>
      <c r="FN27" s="808"/>
      <c r="FO27" s="808"/>
      <c r="FP27" s="808"/>
      <c r="FQ27" s="808"/>
      <c r="FR27" s="808"/>
      <c r="FS27" s="808"/>
      <c r="FT27" s="808"/>
      <c r="FU27" s="808"/>
      <c r="FV27" s="808"/>
      <c r="FW27" s="808"/>
      <c r="FX27" s="808"/>
      <c r="FY27" s="808"/>
      <c r="FZ27" s="809"/>
      <c r="GA27" s="807"/>
      <c r="GB27" s="808"/>
      <c r="GC27" s="808"/>
      <c r="GD27" s="808"/>
      <c r="GE27" s="808"/>
      <c r="GF27" s="808"/>
      <c r="GG27" s="808"/>
      <c r="GH27" s="808"/>
      <c r="GI27" s="808"/>
      <c r="GJ27" s="808"/>
      <c r="GK27" s="808"/>
      <c r="GL27" s="808"/>
      <c r="GM27" s="808"/>
      <c r="GN27" s="808"/>
      <c r="GO27" s="808"/>
      <c r="GP27" s="808"/>
      <c r="GQ27" s="808"/>
      <c r="GR27" s="808"/>
      <c r="GS27" s="808"/>
      <c r="GT27" s="808"/>
      <c r="GU27" s="808"/>
      <c r="GV27" s="808"/>
      <c r="GW27" s="808"/>
      <c r="GX27" s="808"/>
      <c r="GY27" s="808"/>
      <c r="GZ27" s="808"/>
      <c r="HA27" s="808"/>
      <c r="HB27" s="808"/>
      <c r="HC27" s="808"/>
      <c r="HD27" s="809"/>
      <c r="HE27" s="807"/>
      <c r="HF27" s="808"/>
      <c r="HG27" s="808"/>
      <c r="HH27" s="808"/>
      <c r="HI27" s="808"/>
      <c r="HJ27" s="808"/>
      <c r="HK27" s="808"/>
      <c r="HL27" s="808"/>
      <c r="HM27" s="808"/>
      <c r="HN27" s="808"/>
      <c r="HO27" s="808"/>
      <c r="HP27" s="808"/>
      <c r="HQ27" s="808"/>
      <c r="HR27" s="808"/>
      <c r="HS27" s="808"/>
      <c r="HT27" s="808"/>
      <c r="HU27" s="808"/>
      <c r="HV27" s="808"/>
      <c r="HW27" s="808"/>
      <c r="HX27" s="808"/>
      <c r="HY27" s="808"/>
      <c r="HZ27" s="808"/>
      <c r="IA27" s="808"/>
      <c r="IB27" s="808"/>
      <c r="IC27" s="808"/>
      <c r="ID27" s="808"/>
      <c r="IE27" s="808"/>
      <c r="IF27" s="808"/>
      <c r="IG27" s="808"/>
      <c r="IH27" s="809"/>
    </row>
    <row r="28" spans="1:242" ht="33" x14ac:dyDescent="0.25">
      <c r="A28" s="823" t="s">
        <v>109</v>
      </c>
      <c r="B28" s="824" t="s">
        <v>32</v>
      </c>
      <c r="C28" s="825"/>
      <c r="D28" s="826"/>
      <c r="E28" s="826"/>
      <c r="F28" s="826"/>
      <c r="G28" s="826"/>
      <c r="H28" s="826"/>
      <c r="I28" s="826"/>
      <c r="J28" s="826"/>
      <c r="K28" s="826"/>
      <c r="L28" s="826"/>
      <c r="M28" s="826"/>
      <c r="N28" s="826"/>
      <c r="O28" s="826"/>
      <c r="P28" s="826"/>
      <c r="Q28" s="826"/>
      <c r="R28" s="826"/>
      <c r="S28" s="826"/>
      <c r="T28" s="826"/>
      <c r="U28" s="826"/>
      <c r="V28" s="826"/>
      <c r="W28" s="826"/>
      <c r="X28" s="826"/>
      <c r="Y28" s="826"/>
      <c r="Z28" s="826"/>
      <c r="AA28" s="826"/>
      <c r="AB28" s="826"/>
      <c r="AC28" s="826"/>
      <c r="AD28" s="826"/>
      <c r="AE28" s="826"/>
      <c r="AF28" s="824"/>
      <c r="AG28" s="825"/>
      <c r="AH28" s="826"/>
      <c r="AI28" s="826"/>
      <c r="AJ28" s="826"/>
      <c r="AK28" s="826"/>
      <c r="AL28" s="826"/>
      <c r="AM28" s="826"/>
      <c r="AN28" s="826"/>
      <c r="AO28" s="826"/>
      <c r="AP28" s="826"/>
      <c r="AQ28" s="826"/>
      <c r="AR28" s="826"/>
      <c r="AS28" s="826"/>
      <c r="AT28" s="826"/>
      <c r="AU28" s="826"/>
      <c r="AV28" s="826"/>
      <c r="AW28" s="826"/>
      <c r="AX28" s="826"/>
      <c r="AY28" s="826"/>
      <c r="AZ28" s="826"/>
      <c r="BA28" s="826"/>
      <c r="BB28" s="826"/>
      <c r="BC28" s="826"/>
      <c r="BD28" s="826"/>
      <c r="BE28" s="826"/>
      <c r="BF28" s="826"/>
      <c r="BG28" s="826"/>
      <c r="BH28" s="826"/>
      <c r="BI28" s="826"/>
      <c r="BJ28" s="824"/>
      <c r="BK28" s="807"/>
      <c r="BL28" s="808"/>
      <c r="BM28" s="808"/>
      <c r="BN28" s="808"/>
      <c r="BO28" s="808"/>
      <c r="BP28" s="808"/>
      <c r="BQ28" s="808"/>
      <c r="BR28" s="808"/>
      <c r="BS28" s="808"/>
      <c r="BT28" s="808"/>
      <c r="BU28" s="808"/>
      <c r="BV28" s="808"/>
      <c r="BW28" s="808"/>
      <c r="BX28" s="808"/>
      <c r="BY28" s="808"/>
      <c r="BZ28" s="808"/>
      <c r="CA28" s="808"/>
      <c r="CB28" s="808"/>
      <c r="CC28" s="808"/>
      <c r="CD28" s="808"/>
      <c r="CE28" s="808"/>
      <c r="CF28" s="808"/>
      <c r="CG28" s="808"/>
      <c r="CH28" s="808"/>
      <c r="CI28" s="811"/>
      <c r="CJ28" s="811"/>
      <c r="CK28" s="811"/>
      <c r="CL28" s="811"/>
      <c r="CM28" s="811"/>
      <c r="CN28" s="812"/>
      <c r="CO28" s="810"/>
      <c r="CP28" s="811"/>
      <c r="CQ28" s="811"/>
      <c r="CR28" s="811"/>
      <c r="CS28" s="811"/>
      <c r="CT28" s="811"/>
      <c r="CU28" s="811"/>
      <c r="CV28" s="811"/>
      <c r="CW28" s="811"/>
      <c r="CX28" s="811"/>
      <c r="CY28" s="811"/>
      <c r="CZ28" s="811"/>
      <c r="DA28" s="811"/>
      <c r="DB28" s="811"/>
      <c r="DC28" s="811"/>
      <c r="DD28" s="811"/>
      <c r="DE28" s="811"/>
      <c r="DF28" s="811"/>
      <c r="DG28" s="811"/>
      <c r="DH28" s="811"/>
      <c r="DI28" s="811"/>
      <c r="DJ28" s="811"/>
      <c r="DK28" s="811"/>
      <c r="DL28" s="811"/>
      <c r="DM28" s="808"/>
      <c r="DN28" s="808"/>
      <c r="DO28" s="808"/>
      <c r="DP28" s="808"/>
      <c r="DQ28" s="808"/>
      <c r="DR28" s="809"/>
      <c r="DS28" s="807"/>
      <c r="DT28" s="808"/>
      <c r="DU28" s="808"/>
      <c r="DV28" s="808"/>
      <c r="DW28" s="808"/>
      <c r="DX28" s="808"/>
      <c r="DY28" s="808"/>
      <c r="DZ28" s="808"/>
      <c r="EA28" s="808"/>
      <c r="EB28" s="808"/>
      <c r="EC28" s="808"/>
      <c r="ED28" s="808"/>
      <c r="EE28" s="808"/>
      <c r="EF28" s="808"/>
      <c r="EG28" s="808"/>
      <c r="EH28" s="808"/>
      <c r="EI28" s="808"/>
      <c r="EJ28" s="808"/>
      <c r="EK28" s="808"/>
      <c r="EL28" s="808"/>
      <c r="EM28" s="808"/>
      <c r="EN28" s="808"/>
      <c r="EO28" s="808"/>
      <c r="EP28" s="808"/>
      <c r="EQ28" s="808"/>
      <c r="ER28" s="808"/>
      <c r="ES28" s="808"/>
      <c r="ET28" s="808"/>
      <c r="EU28" s="808"/>
      <c r="EV28" s="809"/>
      <c r="EW28" s="807"/>
      <c r="EX28" s="808"/>
      <c r="EY28" s="808"/>
      <c r="EZ28" s="808"/>
      <c r="FA28" s="808"/>
      <c r="FB28" s="808"/>
      <c r="FC28" s="808"/>
      <c r="FD28" s="808"/>
      <c r="FE28" s="808"/>
      <c r="FF28" s="808"/>
      <c r="FG28" s="808"/>
      <c r="FH28" s="808"/>
      <c r="FI28" s="808"/>
      <c r="FJ28" s="808"/>
      <c r="FK28" s="808"/>
      <c r="FL28" s="808"/>
      <c r="FM28" s="808"/>
      <c r="FN28" s="808"/>
      <c r="FO28" s="808"/>
      <c r="FP28" s="808"/>
      <c r="FQ28" s="808"/>
      <c r="FR28" s="808"/>
      <c r="FS28" s="808"/>
      <c r="FT28" s="808"/>
      <c r="FU28" s="808"/>
      <c r="FV28" s="808"/>
      <c r="FW28" s="808"/>
      <c r="FX28" s="808"/>
      <c r="FY28" s="808"/>
      <c r="FZ28" s="809"/>
      <c r="GA28" s="807"/>
      <c r="GB28" s="808"/>
      <c r="GC28" s="808"/>
      <c r="GD28" s="808"/>
      <c r="GE28" s="808"/>
      <c r="GF28" s="808"/>
      <c r="GG28" s="808"/>
      <c r="GH28" s="808"/>
      <c r="GI28" s="808"/>
      <c r="GJ28" s="808"/>
      <c r="GK28" s="808"/>
      <c r="GL28" s="808"/>
      <c r="GM28" s="808"/>
      <c r="GN28" s="808"/>
      <c r="GO28" s="808"/>
      <c r="GP28" s="808"/>
      <c r="GQ28" s="808"/>
      <c r="GR28" s="808"/>
      <c r="GS28" s="808"/>
      <c r="GT28" s="808"/>
      <c r="GU28" s="808"/>
      <c r="GV28" s="808"/>
      <c r="GW28" s="808"/>
      <c r="GX28" s="808"/>
      <c r="GY28" s="808"/>
      <c r="GZ28" s="808"/>
      <c r="HA28" s="808"/>
      <c r="HB28" s="808"/>
      <c r="HC28" s="808"/>
      <c r="HD28" s="809"/>
      <c r="HE28" s="807"/>
      <c r="HF28" s="808"/>
      <c r="HG28" s="808"/>
      <c r="HH28" s="808"/>
      <c r="HI28" s="808"/>
      <c r="HJ28" s="808"/>
      <c r="HK28" s="808"/>
      <c r="HL28" s="808"/>
      <c r="HM28" s="808"/>
      <c r="HN28" s="808"/>
      <c r="HO28" s="808"/>
      <c r="HP28" s="808"/>
      <c r="HQ28" s="808"/>
      <c r="HR28" s="808"/>
      <c r="HS28" s="808"/>
      <c r="HT28" s="808"/>
      <c r="HU28" s="808"/>
      <c r="HV28" s="808"/>
      <c r="HW28" s="808"/>
      <c r="HX28" s="808"/>
      <c r="HY28" s="808"/>
      <c r="HZ28" s="808"/>
      <c r="IA28" s="808"/>
      <c r="IB28" s="808"/>
      <c r="IC28" s="808"/>
      <c r="ID28" s="808"/>
      <c r="IE28" s="808"/>
      <c r="IF28" s="808"/>
      <c r="IG28" s="808"/>
      <c r="IH28" s="809"/>
    </row>
    <row r="29" spans="1:242" ht="33" x14ac:dyDescent="0.25">
      <c r="A29" s="823" t="s">
        <v>110</v>
      </c>
      <c r="B29" s="824" t="s">
        <v>34</v>
      </c>
      <c r="C29" s="825"/>
      <c r="D29" s="826"/>
      <c r="E29" s="826"/>
      <c r="F29" s="826"/>
      <c r="G29" s="826"/>
      <c r="H29" s="826"/>
      <c r="I29" s="826"/>
      <c r="J29" s="826"/>
      <c r="K29" s="826"/>
      <c r="L29" s="826"/>
      <c r="M29" s="826"/>
      <c r="N29" s="826"/>
      <c r="O29" s="826"/>
      <c r="P29" s="826"/>
      <c r="Q29" s="826"/>
      <c r="R29" s="826"/>
      <c r="S29" s="826"/>
      <c r="T29" s="826"/>
      <c r="U29" s="826"/>
      <c r="V29" s="826"/>
      <c r="W29" s="826"/>
      <c r="X29" s="826"/>
      <c r="Y29" s="826"/>
      <c r="Z29" s="826"/>
      <c r="AA29" s="826"/>
      <c r="AB29" s="826"/>
      <c r="AC29" s="826"/>
      <c r="AD29" s="826"/>
      <c r="AE29" s="826"/>
      <c r="AF29" s="824"/>
      <c r="AG29" s="825"/>
      <c r="AH29" s="826"/>
      <c r="AI29" s="826"/>
      <c r="AJ29" s="826"/>
      <c r="AK29" s="826"/>
      <c r="AL29" s="826"/>
      <c r="AM29" s="826"/>
      <c r="AN29" s="826"/>
      <c r="AO29" s="826"/>
      <c r="AP29" s="826"/>
      <c r="AQ29" s="826"/>
      <c r="AR29" s="826"/>
      <c r="AS29" s="826"/>
      <c r="AT29" s="826"/>
      <c r="AU29" s="826"/>
      <c r="AV29" s="826"/>
      <c r="AW29" s="826"/>
      <c r="AX29" s="826"/>
      <c r="AY29" s="826"/>
      <c r="AZ29" s="826"/>
      <c r="BA29" s="826"/>
      <c r="BB29" s="826"/>
      <c r="BC29" s="826"/>
      <c r="BD29" s="826"/>
      <c r="BE29" s="826"/>
      <c r="BF29" s="826"/>
      <c r="BG29" s="826"/>
      <c r="BH29" s="826"/>
      <c r="BI29" s="826"/>
      <c r="BJ29" s="824"/>
      <c r="BK29" s="807"/>
      <c r="BL29" s="808"/>
      <c r="BM29" s="808"/>
      <c r="BN29" s="808"/>
      <c r="BO29" s="808"/>
      <c r="BP29" s="808"/>
      <c r="BQ29" s="808"/>
      <c r="BR29" s="808"/>
      <c r="BS29" s="808"/>
      <c r="BT29" s="808"/>
      <c r="BU29" s="808"/>
      <c r="BV29" s="808"/>
      <c r="BW29" s="808"/>
      <c r="BX29" s="808"/>
      <c r="BY29" s="808"/>
      <c r="BZ29" s="808"/>
      <c r="CA29" s="808"/>
      <c r="CB29" s="808"/>
      <c r="CC29" s="808"/>
      <c r="CD29" s="808"/>
      <c r="CE29" s="808"/>
      <c r="CF29" s="808"/>
      <c r="CG29" s="808"/>
      <c r="CH29" s="808"/>
      <c r="CI29" s="811"/>
      <c r="CJ29" s="811"/>
      <c r="CK29" s="811"/>
      <c r="CL29" s="811"/>
      <c r="CM29" s="811"/>
      <c r="CN29" s="812"/>
      <c r="CO29" s="810"/>
      <c r="CP29" s="811"/>
      <c r="CQ29" s="811"/>
      <c r="CR29" s="811"/>
      <c r="CS29" s="811"/>
      <c r="CT29" s="811"/>
      <c r="CU29" s="811"/>
      <c r="CV29" s="811"/>
      <c r="CW29" s="811"/>
      <c r="CX29" s="811"/>
      <c r="CY29" s="811"/>
      <c r="CZ29" s="811"/>
      <c r="DA29" s="811"/>
      <c r="DB29" s="811"/>
      <c r="DC29" s="811"/>
      <c r="DD29" s="811"/>
      <c r="DE29" s="811"/>
      <c r="DF29" s="811"/>
      <c r="DG29" s="811"/>
      <c r="DH29" s="811"/>
      <c r="DI29" s="811"/>
      <c r="DJ29" s="811"/>
      <c r="DK29" s="811"/>
      <c r="DL29" s="811"/>
      <c r="DM29" s="808"/>
      <c r="DN29" s="808"/>
      <c r="DO29" s="808"/>
      <c r="DP29" s="808"/>
      <c r="DQ29" s="808"/>
      <c r="DR29" s="809"/>
      <c r="DS29" s="807"/>
      <c r="DT29" s="808"/>
      <c r="DU29" s="808"/>
      <c r="DV29" s="808"/>
      <c r="DW29" s="808"/>
      <c r="DX29" s="808"/>
      <c r="DY29" s="808"/>
      <c r="DZ29" s="808"/>
      <c r="EA29" s="808"/>
      <c r="EB29" s="808"/>
      <c r="EC29" s="808"/>
      <c r="ED29" s="808"/>
      <c r="EE29" s="808"/>
      <c r="EF29" s="808"/>
      <c r="EG29" s="808"/>
      <c r="EH29" s="808"/>
      <c r="EI29" s="808"/>
      <c r="EJ29" s="808"/>
      <c r="EK29" s="808"/>
      <c r="EL29" s="808"/>
      <c r="EM29" s="808"/>
      <c r="EN29" s="808"/>
      <c r="EO29" s="808"/>
      <c r="EP29" s="808"/>
      <c r="EQ29" s="808"/>
      <c r="ER29" s="808"/>
      <c r="ES29" s="808"/>
      <c r="ET29" s="808"/>
      <c r="EU29" s="808"/>
      <c r="EV29" s="809"/>
      <c r="EW29" s="807"/>
      <c r="EX29" s="808"/>
      <c r="EY29" s="808"/>
      <c r="EZ29" s="808"/>
      <c r="FA29" s="808"/>
      <c r="FB29" s="808"/>
      <c r="FC29" s="808"/>
      <c r="FD29" s="808"/>
      <c r="FE29" s="808"/>
      <c r="FF29" s="808"/>
      <c r="FG29" s="808"/>
      <c r="FH29" s="808"/>
      <c r="FI29" s="808"/>
      <c r="FJ29" s="808"/>
      <c r="FK29" s="808"/>
      <c r="FL29" s="808"/>
      <c r="FM29" s="808"/>
      <c r="FN29" s="808"/>
      <c r="FO29" s="808"/>
      <c r="FP29" s="808"/>
      <c r="FQ29" s="808"/>
      <c r="FR29" s="808"/>
      <c r="FS29" s="808"/>
      <c r="FT29" s="808"/>
      <c r="FU29" s="808"/>
      <c r="FV29" s="808"/>
      <c r="FW29" s="808"/>
      <c r="FX29" s="808"/>
      <c r="FY29" s="808"/>
      <c r="FZ29" s="809"/>
      <c r="GA29" s="807"/>
      <c r="GB29" s="808"/>
      <c r="GC29" s="808"/>
      <c r="GD29" s="808"/>
      <c r="GE29" s="808"/>
      <c r="GF29" s="808"/>
      <c r="GG29" s="808"/>
      <c r="GH29" s="808"/>
      <c r="GI29" s="808"/>
      <c r="GJ29" s="808"/>
      <c r="GK29" s="808"/>
      <c r="GL29" s="808"/>
      <c r="GM29" s="808"/>
      <c r="GN29" s="808"/>
      <c r="GO29" s="808"/>
      <c r="GP29" s="808"/>
      <c r="GQ29" s="808"/>
      <c r="GR29" s="808"/>
      <c r="GS29" s="808"/>
      <c r="GT29" s="808"/>
      <c r="GU29" s="808"/>
      <c r="GV29" s="808"/>
      <c r="GW29" s="808"/>
      <c r="GX29" s="808"/>
      <c r="GY29" s="808"/>
      <c r="GZ29" s="808"/>
      <c r="HA29" s="808"/>
      <c r="HB29" s="808"/>
      <c r="HC29" s="808"/>
      <c r="HD29" s="809"/>
      <c r="HE29" s="807"/>
      <c r="HF29" s="808"/>
      <c r="HG29" s="808"/>
      <c r="HH29" s="808"/>
      <c r="HI29" s="808"/>
      <c r="HJ29" s="808"/>
      <c r="HK29" s="808"/>
      <c r="HL29" s="808"/>
      <c r="HM29" s="808"/>
      <c r="HN29" s="808"/>
      <c r="HO29" s="808"/>
      <c r="HP29" s="808"/>
      <c r="HQ29" s="808"/>
      <c r="HR29" s="808"/>
      <c r="HS29" s="808"/>
      <c r="HT29" s="808"/>
      <c r="HU29" s="808"/>
      <c r="HV29" s="808"/>
      <c r="HW29" s="808"/>
      <c r="HX29" s="808"/>
      <c r="HY29" s="808"/>
      <c r="HZ29" s="808"/>
      <c r="IA29" s="808"/>
      <c r="IB29" s="808"/>
      <c r="IC29" s="808"/>
      <c r="ID29" s="808"/>
      <c r="IE29" s="808"/>
      <c r="IF29" s="808"/>
      <c r="IG29" s="808"/>
      <c r="IH29" s="809"/>
    </row>
    <row r="30" spans="1:242" ht="34.5" customHeight="1" x14ac:dyDescent="0.25">
      <c r="A30" s="1438" t="s">
        <v>108</v>
      </c>
      <c r="B30" s="1439"/>
      <c r="C30" s="817"/>
      <c r="D30" s="818"/>
      <c r="E30" s="818"/>
      <c r="F30" s="818"/>
      <c r="G30" s="818"/>
      <c r="H30" s="818"/>
      <c r="I30" s="818"/>
      <c r="J30" s="818"/>
      <c r="K30" s="818"/>
      <c r="L30" s="818"/>
      <c r="M30" s="818"/>
      <c r="N30" s="818"/>
      <c r="O30" s="818"/>
      <c r="P30" s="818"/>
      <c r="Q30" s="818"/>
      <c r="R30" s="818"/>
      <c r="S30" s="818"/>
      <c r="T30" s="818"/>
      <c r="U30" s="818"/>
      <c r="V30" s="818"/>
      <c r="W30" s="818"/>
      <c r="X30" s="818"/>
      <c r="Y30" s="818"/>
      <c r="Z30" s="818"/>
      <c r="AA30" s="818"/>
      <c r="AB30" s="818"/>
      <c r="AC30" s="818"/>
      <c r="AD30" s="818"/>
      <c r="AE30" s="818"/>
      <c r="AF30" s="819"/>
      <c r="AG30" s="817"/>
      <c r="AH30" s="818"/>
      <c r="AI30" s="818"/>
      <c r="AJ30" s="818"/>
      <c r="AK30" s="818"/>
      <c r="AL30" s="818"/>
      <c r="AM30" s="818"/>
      <c r="AN30" s="818"/>
      <c r="AO30" s="818"/>
      <c r="AP30" s="818"/>
      <c r="AQ30" s="818"/>
      <c r="AR30" s="818"/>
      <c r="AS30" s="818"/>
      <c r="AT30" s="818"/>
      <c r="AU30" s="818"/>
      <c r="AV30" s="818"/>
      <c r="AW30" s="818"/>
      <c r="AX30" s="818"/>
      <c r="AY30" s="818"/>
      <c r="AZ30" s="818"/>
      <c r="BA30" s="818"/>
      <c r="BB30" s="818"/>
      <c r="BC30" s="818"/>
      <c r="BD30" s="818"/>
      <c r="BE30" s="818"/>
      <c r="BF30" s="818"/>
      <c r="BG30" s="818"/>
      <c r="BH30" s="818"/>
      <c r="BI30" s="818"/>
      <c r="BJ30" s="819"/>
      <c r="BK30" s="820"/>
      <c r="BL30" s="821"/>
      <c r="BM30" s="821"/>
      <c r="BN30" s="821"/>
      <c r="BO30" s="821"/>
      <c r="BP30" s="821"/>
      <c r="BQ30" s="821"/>
      <c r="BR30" s="821"/>
      <c r="BS30" s="821"/>
      <c r="BT30" s="821"/>
      <c r="BU30" s="821"/>
      <c r="BV30" s="821"/>
      <c r="BW30" s="821"/>
      <c r="BX30" s="821"/>
      <c r="BY30" s="821"/>
      <c r="BZ30" s="821"/>
      <c r="CA30" s="821"/>
      <c r="CB30" s="821"/>
      <c r="CC30" s="821"/>
      <c r="CD30" s="821"/>
      <c r="CE30" s="821"/>
      <c r="CF30" s="821"/>
      <c r="CG30" s="821"/>
      <c r="CH30" s="821"/>
      <c r="CI30" s="821"/>
      <c r="CJ30" s="821"/>
      <c r="CK30" s="821"/>
      <c r="CL30" s="821"/>
      <c r="CM30" s="821"/>
      <c r="CN30" s="822"/>
      <c r="CO30" s="820"/>
      <c r="CP30" s="821"/>
      <c r="CQ30" s="821"/>
      <c r="CR30" s="821"/>
      <c r="CS30" s="821"/>
      <c r="CT30" s="821"/>
      <c r="CU30" s="821"/>
      <c r="CV30" s="821"/>
      <c r="CW30" s="821"/>
      <c r="CX30" s="821"/>
      <c r="CY30" s="821"/>
      <c r="CZ30" s="821"/>
      <c r="DA30" s="821"/>
      <c r="DB30" s="821"/>
      <c r="DC30" s="821"/>
      <c r="DD30" s="821"/>
      <c r="DE30" s="821"/>
      <c r="DF30" s="821"/>
      <c r="DG30" s="821"/>
      <c r="DH30" s="821"/>
      <c r="DI30" s="821"/>
      <c r="DJ30" s="821"/>
      <c r="DK30" s="821"/>
      <c r="DL30" s="821"/>
      <c r="DM30" s="821"/>
      <c r="DN30" s="821"/>
      <c r="DO30" s="821"/>
      <c r="DP30" s="821"/>
      <c r="DQ30" s="821"/>
      <c r="DR30" s="822"/>
      <c r="DS30" s="820"/>
      <c r="DT30" s="821"/>
      <c r="DU30" s="821"/>
      <c r="DV30" s="821"/>
      <c r="DW30" s="821"/>
      <c r="DX30" s="821"/>
      <c r="DY30" s="821"/>
      <c r="DZ30" s="821"/>
      <c r="EA30" s="821"/>
      <c r="EB30" s="821"/>
      <c r="EC30" s="821"/>
      <c r="ED30" s="821"/>
      <c r="EE30" s="821"/>
      <c r="EF30" s="821"/>
      <c r="EG30" s="821"/>
      <c r="EH30" s="821"/>
      <c r="EI30" s="821"/>
      <c r="EJ30" s="821"/>
      <c r="EK30" s="821"/>
      <c r="EL30" s="821"/>
      <c r="EM30" s="821"/>
      <c r="EN30" s="821"/>
      <c r="EO30" s="821"/>
      <c r="EP30" s="821"/>
      <c r="EQ30" s="821"/>
      <c r="ER30" s="821"/>
      <c r="ES30" s="821"/>
      <c r="ET30" s="821"/>
      <c r="EU30" s="821"/>
      <c r="EV30" s="822"/>
      <c r="EW30" s="820"/>
      <c r="EX30" s="821"/>
      <c r="EY30" s="821"/>
      <c r="EZ30" s="821"/>
      <c r="FA30" s="821"/>
      <c r="FB30" s="821"/>
      <c r="FC30" s="821"/>
      <c r="FD30" s="821"/>
      <c r="FE30" s="821"/>
      <c r="FF30" s="821"/>
      <c r="FG30" s="821"/>
      <c r="FH30" s="821"/>
      <c r="FI30" s="821"/>
      <c r="FJ30" s="821"/>
      <c r="FK30" s="821"/>
      <c r="FL30" s="821"/>
      <c r="FM30" s="821"/>
      <c r="FN30" s="821"/>
      <c r="FO30" s="821"/>
      <c r="FP30" s="821"/>
      <c r="FQ30" s="821"/>
      <c r="FR30" s="821"/>
      <c r="FS30" s="821"/>
      <c r="FT30" s="821"/>
      <c r="FU30" s="821"/>
      <c r="FV30" s="821"/>
      <c r="FW30" s="821"/>
      <c r="FX30" s="821"/>
      <c r="FY30" s="821"/>
      <c r="FZ30" s="822"/>
      <c r="GA30" s="820"/>
      <c r="GB30" s="821"/>
      <c r="GC30" s="821"/>
      <c r="GD30" s="821"/>
      <c r="GE30" s="821"/>
      <c r="GF30" s="821"/>
      <c r="GG30" s="821"/>
      <c r="GH30" s="821"/>
      <c r="GI30" s="821"/>
      <c r="GJ30" s="821"/>
      <c r="GK30" s="821"/>
      <c r="GL30" s="821"/>
      <c r="GM30" s="821"/>
      <c r="GN30" s="821"/>
      <c r="GO30" s="821"/>
      <c r="GP30" s="821"/>
      <c r="GQ30" s="821"/>
      <c r="GR30" s="821"/>
      <c r="GS30" s="821"/>
      <c r="GT30" s="821"/>
      <c r="GU30" s="821"/>
      <c r="GV30" s="821"/>
      <c r="GW30" s="821"/>
      <c r="GX30" s="821"/>
      <c r="GY30" s="821"/>
      <c r="GZ30" s="821"/>
      <c r="HA30" s="821"/>
      <c r="HB30" s="821"/>
      <c r="HC30" s="821"/>
      <c r="HD30" s="822"/>
      <c r="HE30" s="820"/>
      <c r="HF30" s="821"/>
      <c r="HG30" s="821"/>
      <c r="HH30" s="821"/>
      <c r="HI30" s="821"/>
      <c r="HJ30" s="821"/>
      <c r="HK30" s="821"/>
      <c r="HL30" s="821"/>
      <c r="HM30" s="821"/>
      <c r="HN30" s="821"/>
      <c r="HO30" s="821"/>
      <c r="HP30" s="821"/>
      <c r="HQ30" s="821"/>
      <c r="HR30" s="821"/>
      <c r="HS30" s="821"/>
      <c r="HT30" s="821"/>
      <c r="HU30" s="821"/>
      <c r="HV30" s="821"/>
      <c r="HW30" s="821"/>
      <c r="HX30" s="821"/>
      <c r="HY30" s="821"/>
      <c r="HZ30" s="821"/>
      <c r="IA30" s="821"/>
      <c r="IB30" s="821"/>
      <c r="IC30" s="821"/>
      <c r="ID30" s="821"/>
      <c r="IE30" s="821"/>
      <c r="IF30" s="821"/>
      <c r="IG30" s="821"/>
      <c r="IH30" s="822"/>
    </row>
    <row r="31" spans="1:242" x14ac:dyDescent="0.25">
      <c r="A31" s="823">
        <v>630.1</v>
      </c>
      <c r="B31" s="824" t="s">
        <v>112</v>
      </c>
      <c r="C31" s="825"/>
      <c r="D31" s="826"/>
      <c r="E31" s="826"/>
      <c r="F31" s="826"/>
      <c r="G31" s="826"/>
      <c r="H31" s="826"/>
      <c r="I31" s="826"/>
      <c r="J31" s="826"/>
      <c r="K31" s="826"/>
      <c r="L31" s="826"/>
      <c r="M31" s="826"/>
      <c r="N31" s="826"/>
      <c r="O31" s="826"/>
      <c r="P31" s="826"/>
      <c r="Q31" s="826"/>
      <c r="R31" s="826"/>
      <c r="S31" s="826"/>
      <c r="T31" s="826"/>
      <c r="U31" s="826"/>
      <c r="V31" s="826"/>
      <c r="W31" s="826"/>
      <c r="X31" s="826"/>
      <c r="Y31" s="826"/>
      <c r="Z31" s="826"/>
      <c r="AA31" s="826"/>
      <c r="AB31" s="826"/>
      <c r="AC31" s="826"/>
      <c r="AD31" s="826"/>
      <c r="AE31" s="826"/>
      <c r="AF31" s="824"/>
      <c r="AG31" s="825"/>
      <c r="AH31" s="826"/>
      <c r="AI31" s="826"/>
      <c r="AJ31" s="826"/>
      <c r="AK31" s="826"/>
      <c r="AL31" s="826"/>
      <c r="AM31" s="826"/>
      <c r="AN31" s="826"/>
      <c r="AO31" s="826"/>
      <c r="AP31" s="826"/>
      <c r="AQ31" s="826"/>
      <c r="AR31" s="826"/>
      <c r="AS31" s="826"/>
      <c r="AT31" s="826"/>
      <c r="AU31" s="826"/>
      <c r="AV31" s="826"/>
      <c r="AW31" s="826"/>
      <c r="AX31" s="826"/>
      <c r="AY31" s="826"/>
      <c r="AZ31" s="826"/>
      <c r="BA31" s="826"/>
      <c r="BB31" s="826"/>
      <c r="BC31" s="826"/>
      <c r="BD31" s="826"/>
      <c r="BE31" s="826"/>
      <c r="BF31" s="826"/>
      <c r="BG31" s="826"/>
      <c r="BH31" s="826"/>
      <c r="BI31" s="826"/>
      <c r="BJ31" s="824"/>
      <c r="BK31" s="807"/>
      <c r="BL31" s="808"/>
      <c r="BM31" s="808"/>
      <c r="BN31" s="808"/>
      <c r="BO31" s="808"/>
      <c r="BP31" s="808"/>
      <c r="BQ31" s="808"/>
      <c r="BR31" s="808"/>
      <c r="BS31" s="808"/>
      <c r="BT31" s="808"/>
      <c r="BU31" s="808"/>
      <c r="BV31" s="808"/>
      <c r="BW31" s="808"/>
      <c r="BX31" s="808"/>
      <c r="BY31" s="808"/>
      <c r="BZ31" s="808"/>
      <c r="CA31" s="808"/>
      <c r="CB31" s="808"/>
      <c r="CC31" s="808"/>
      <c r="CD31" s="808"/>
      <c r="CE31" s="808"/>
      <c r="CF31" s="808"/>
      <c r="CG31" s="808"/>
      <c r="CH31" s="808"/>
      <c r="CI31" s="808"/>
      <c r="CJ31" s="808"/>
      <c r="CK31" s="808"/>
      <c r="CL31" s="808"/>
      <c r="CM31" s="808"/>
      <c r="CN31" s="809"/>
      <c r="CO31" s="807"/>
      <c r="CP31" s="808"/>
      <c r="CQ31" s="808"/>
      <c r="CR31" s="808"/>
      <c r="CS31" s="814"/>
      <c r="CT31" s="814"/>
      <c r="CU31" s="814"/>
      <c r="CV31" s="814"/>
      <c r="CW31" s="814"/>
      <c r="CX31" s="811"/>
      <c r="CY31" s="811"/>
      <c r="CZ31" s="811"/>
      <c r="DA31" s="811"/>
      <c r="DB31" s="811"/>
      <c r="DC31" s="811"/>
      <c r="DD31" s="811"/>
      <c r="DE31" s="811"/>
      <c r="DF31" s="811"/>
      <c r="DG31" s="811"/>
      <c r="DH31" s="811"/>
      <c r="DI31" s="811"/>
      <c r="DJ31" s="811"/>
      <c r="DK31" s="811"/>
      <c r="DL31" s="811"/>
      <c r="DM31" s="811"/>
      <c r="DN31" s="811"/>
      <c r="DO31" s="811"/>
      <c r="DP31" s="811"/>
      <c r="DQ31" s="811"/>
      <c r="DR31" s="812"/>
      <c r="DS31" s="810"/>
      <c r="DT31" s="811"/>
      <c r="DU31" s="811"/>
      <c r="DV31" s="811"/>
      <c r="DW31" s="811"/>
      <c r="DX31" s="811"/>
      <c r="DY31" s="811"/>
      <c r="DZ31" s="811"/>
      <c r="EA31" s="811"/>
      <c r="EB31" s="811"/>
      <c r="EC31" s="811"/>
      <c r="ED31" s="811"/>
      <c r="EE31" s="811"/>
      <c r="EF31" s="811"/>
      <c r="EG31" s="811"/>
      <c r="EH31" s="811"/>
      <c r="EI31" s="811"/>
      <c r="EJ31" s="811"/>
      <c r="EK31" s="811"/>
      <c r="EL31" s="811"/>
      <c r="EM31" s="811"/>
      <c r="EN31" s="811"/>
      <c r="EO31" s="811"/>
      <c r="EP31" s="811"/>
      <c r="EQ31" s="811"/>
      <c r="ER31" s="811"/>
      <c r="ES31" s="811"/>
      <c r="ET31" s="811"/>
      <c r="EU31" s="811"/>
      <c r="EV31" s="809"/>
      <c r="EW31" s="807"/>
      <c r="EX31" s="808"/>
      <c r="EY31" s="808"/>
      <c r="EZ31" s="808"/>
      <c r="FA31" s="808"/>
      <c r="FB31" s="808"/>
      <c r="FC31" s="808"/>
      <c r="FD31" s="808"/>
      <c r="FE31" s="808"/>
      <c r="FF31" s="808"/>
      <c r="FG31" s="808"/>
      <c r="FH31" s="808"/>
      <c r="FI31" s="808"/>
      <c r="FJ31" s="808"/>
      <c r="FK31" s="808"/>
      <c r="FL31" s="808"/>
      <c r="FM31" s="808"/>
      <c r="FN31" s="808"/>
      <c r="FO31" s="808"/>
      <c r="FP31" s="808"/>
      <c r="FQ31" s="808"/>
      <c r="FR31" s="808"/>
      <c r="FS31" s="808"/>
      <c r="FT31" s="808"/>
      <c r="FU31" s="808"/>
      <c r="FV31" s="808"/>
      <c r="FW31" s="808"/>
      <c r="FX31" s="808"/>
      <c r="FY31" s="808"/>
      <c r="FZ31" s="809"/>
      <c r="GA31" s="807"/>
      <c r="GB31" s="808"/>
      <c r="GC31" s="808"/>
      <c r="GD31" s="808"/>
      <c r="GE31" s="808"/>
      <c r="GF31" s="808"/>
      <c r="GG31" s="808"/>
      <c r="GH31" s="808"/>
      <c r="GI31" s="808"/>
      <c r="GJ31" s="808"/>
      <c r="GK31" s="808"/>
      <c r="GL31" s="808"/>
      <c r="GM31" s="808"/>
      <c r="GN31" s="808"/>
      <c r="GO31" s="808"/>
      <c r="GP31" s="808"/>
      <c r="GQ31" s="808"/>
      <c r="GR31" s="808"/>
      <c r="GS31" s="808"/>
      <c r="GT31" s="808"/>
      <c r="GU31" s="808"/>
      <c r="GV31" s="808"/>
      <c r="GW31" s="808"/>
      <c r="GX31" s="808"/>
      <c r="GY31" s="808"/>
      <c r="GZ31" s="808"/>
      <c r="HA31" s="808"/>
      <c r="HB31" s="808"/>
      <c r="HC31" s="808"/>
      <c r="HD31" s="809"/>
      <c r="HE31" s="807"/>
      <c r="HF31" s="808"/>
      <c r="HG31" s="808"/>
      <c r="HH31" s="808"/>
      <c r="HI31" s="808"/>
      <c r="HJ31" s="808"/>
      <c r="HK31" s="808"/>
      <c r="HL31" s="808"/>
      <c r="HM31" s="808"/>
      <c r="HN31" s="808"/>
      <c r="HO31" s="808"/>
      <c r="HP31" s="808"/>
      <c r="HQ31" s="808"/>
      <c r="HR31" s="808"/>
      <c r="HS31" s="808"/>
      <c r="HT31" s="808"/>
      <c r="HU31" s="808"/>
      <c r="HV31" s="808"/>
      <c r="HW31" s="808"/>
      <c r="HX31" s="808"/>
      <c r="HY31" s="808"/>
      <c r="HZ31" s="808"/>
      <c r="IA31" s="808"/>
      <c r="IB31" s="808"/>
      <c r="IC31" s="808"/>
      <c r="ID31" s="808"/>
      <c r="IE31" s="808"/>
      <c r="IF31" s="808"/>
      <c r="IG31" s="808"/>
      <c r="IH31" s="809"/>
    </row>
    <row r="32" spans="1:242" x14ac:dyDescent="0.25">
      <c r="A32" s="823">
        <v>630.20000000000005</v>
      </c>
      <c r="B32" s="824" t="s">
        <v>38</v>
      </c>
      <c r="C32" s="825"/>
      <c r="D32" s="826"/>
      <c r="E32" s="826"/>
      <c r="F32" s="826"/>
      <c r="G32" s="826"/>
      <c r="H32" s="826"/>
      <c r="I32" s="826"/>
      <c r="J32" s="826"/>
      <c r="K32" s="826"/>
      <c r="L32" s="826"/>
      <c r="M32" s="826"/>
      <c r="N32" s="826"/>
      <c r="O32" s="826"/>
      <c r="P32" s="826"/>
      <c r="Q32" s="826"/>
      <c r="R32" s="826"/>
      <c r="S32" s="826"/>
      <c r="T32" s="826"/>
      <c r="U32" s="826"/>
      <c r="V32" s="826"/>
      <c r="W32" s="826"/>
      <c r="X32" s="826"/>
      <c r="Y32" s="826"/>
      <c r="Z32" s="826"/>
      <c r="AA32" s="826"/>
      <c r="AB32" s="826"/>
      <c r="AC32" s="826"/>
      <c r="AD32" s="826"/>
      <c r="AE32" s="826"/>
      <c r="AF32" s="824"/>
      <c r="AG32" s="825"/>
      <c r="AH32" s="826"/>
      <c r="AI32" s="826"/>
      <c r="AJ32" s="826"/>
      <c r="AK32" s="826"/>
      <c r="AL32" s="826"/>
      <c r="AM32" s="826"/>
      <c r="AN32" s="826"/>
      <c r="AO32" s="826"/>
      <c r="AP32" s="826"/>
      <c r="AQ32" s="826"/>
      <c r="AR32" s="826"/>
      <c r="AS32" s="826"/>
      <c r="AT32" s="826"/>
      <c r="AU32" s="826"/>
      <c r="AV32" s="826"/>
      <c r="AW32" s="826"/>
      <c r="AX32" s="826"/>
      <c r="AY32" s="826"/>
      <c r="AZ32" s="826"/>
      <c r="BA32" s="826"/>
      <c r="BB32" s="826"/>
      <c r="BC32" s="826"/>
      <c r="BD32" s="826"/>
      <c r="BE32" s="826"/>
      <c r="BF32" s="826"/>
      <c r="BG32" s="826"/>
      <c r="BH32" s="826"/>
      <c r="BI32" s="826"/>
      <c r="BJ32" s="824"/>
      <c r="BK32" s="807"/>
      <c r="BL32" s="808"/>
      <c r="BM32" s="808"/>
      <c r="BN32" s="808"/>
      <c r="BO32" s="808"/>
      <c r="BP32" s="808"/>
      <c r="BQ32" s="808"/>
      <c r="BR32" s="808"/>
      <c r="BS32" s="808"/>
      <c r="BT32" s="808"/>
      <c r="BU32" s="808"/>
      <c r="BV32" s="808"/>
      <c r="BW32" s="808"/>
      <c r="BX32" s="808"/>
      <c r="BY32" s="808"/>
      <c r="BZ32" s="808"/>
      <c r="CA32" s="808"/>
      <c r="CB32" s="808"/>
      <c r="CC32" s="808"/>
      <c r="CD32" s="808"/>
      <c r="CE32" s="808"/>
      <c r="CF32" s="808"/>
      <c r="CG32" s="808"/>
      <c r="CH32" s="808"/>
      <c r="CI32" s="808"/>
      <c r="CJ32" s="808"/>
      <c r="CK32" s="808"/>
      <c r="CL32" s="808"/>
      <c r="CM32" s="808"/>
      <c r="CN32" s="809"/>
      <c r="CO32" s="807"/>
      <c r="CP32" s="808"/>
      <c r="CQ32" s="808"/>
      <c r="CR32" s="808"/>
      <c r="CS32" s="814"/>
      <c r="CT32" s="814"/>
      <c r="CU32" s="814"/>
      <c r="CV32" s="814"/>
      <c r="CW32" s="814"/>
      <c r="CX32" s="811"/>
      <c r="CY32" s="811"/>
      <c r="CZ32" s="811"/>
      <c r="DA32" s="811"/>
      <c r="DB32" s="811"/>
      <c r="DC32" s="811"/>
      <c r="DD32" s="811"/>
      <c r="DE32" s="811"/>
      <c r="DF32" s="811"/>
      <c r="DG32" s="811"/>
      <c r="DH32" s="811"/>
      <c r="DI32" s="811"/>
      <c r="DJ32" s="811"/>
      <c r="DK32" s="811"/>
      <c r="DL32" s="811"/>
      <c r="DM32" s="811"/>
      <c r="DN32" s="811"/>
      <c r="DO32" s="811"/>
      <c r="DP32" s="811"/>
      <c r="DQ32" s="811"/>
      <c r="DR32" s="812"/>
      <c r="DS32" s="810"/>
      <c r="DT32" s="811"/>
      <c r="DU32" s="811"/>
      <c r="DV32" s="811"/>
      <c r="DW32" s="811"/>
      <c r="DX32" s="811"/>
      <c r="DY32" s="811"/>
      <c r="DZ32" s="811"/>
      <c r="EA32" s="811"/>
      <c r="EB32" s="811"/>
      <c r="EC32" s="811"/>
      <c r="ED32" s="811"/>
      <c r="EE32" s="811"/>
      <c r="EF32" s="811"/>
      <c r="EG32" s="811"/>
      <c r="EH32" s="811"/>
      <c r="EI32" s="811"/>
      <c r="EJ32" s="811"/>
      <c r="EK32" s="811"/>
      <c r="EL32" s="811"/>
      <c r="EM32" s="811"/>
      <c r="EN32" s="811"/>
      <c r="EO32" s="811"/>
      <c r="EP32" s="811"/>
      <c r="EQ32" s="811"/>
      <c r="ER32" s="811"/>
      <c r="ES32" s="811"/>
      <c r="ET32" s="811"/>
      <c r="EU32" s="811"/>
      <c r="EV32" s="809"/>
      <c r="EW32" s="807"/>
      <c r="EX32" s="808"/>
      <c r="EY32" s="808"/>
      <c r="EZ32" s="808"/>
      <c r="FA32" s="808"/>
      <c r="FB32" s="808"/>
      <c r="FC32" s="808"/>
      <c r="FD32" s="808"/>
      <c r="FE32" s="808"/>
      <c r="FF32" s="808"/>
      <c r="FG32" s="808"/>
      <c r="FH32" s="808"/>
      <c r="FI32" s="808"/>
      <c r="FJ32" s="808"/>
      <c r="FK32" s="808"/>
      <c r="FL32" s="808"/>
      <c r="FM32" s="808"/>
      <c r="FN32" s="808"/>
      <c r="FO32" s="808"/>
      <c r="FP32" s="808"/>
      <c r="FQ32" s="808"/>
      <c r="FR32" s="808"/>
      <c r="FS32" s="808"/>
      <c r="FT32" s="808"/>
      <c r="FU32" s="808"/>
      <c r="FV32" s="808"/>
      <c r="FW32" s="808"/>
      <c r="FX32" s="808"/>
      <c r="FY32" s="808"/>
      <c r="FZ32" s="809"/>
      <c r="GA32" s="807"/>
      <c r="GB32" s="808"/>
      <c r="GC32" s="808"/>
      <c r="GD32" s="808"/>
      <c r="GE32" s="808"/>
      <c r="GF32" s="808"/>
      <c r="GG32" s="808"/>
      <c r="GH32" s="808"/>
      <c r="GI32" s="808"/>
      <c r="GJ32" s="808"/>
      <c r="GK32" s="808"/>
      <c r="GL32" s="808"/>
      <c r="GM32" s="808"/>
      <c r="GN32" s="808"/>
      <c r="GO32" s="808"/>
      <c r="GP32" s="808"/>
      <c r="GQ32" s="808"/>
      <c r="GR32" s="808"/>
      <c r="GS32" s="808"/>
      <c r="GT32" s="808"/>
      <c r="GU32" s="808"/>
      <c r="GV32" s="808"/>
      <c r="GW32" s="808"/>
      <c r="GX32" s="808"/>
      <c r="GY32" s="808"/>
      <c r="GZ32" s="808"/>
      <c r="HA32" s="808"/>
      <c r="HB32" s="808"/>
      <c r="HC32" s="808"/>
      <c r="HD32" s="809"/>
      <c r="HE32" s="807"/>
      <c r="HF32" s="808"/>
      <c r="HG32" s="808"/>
      <c r="HH32" s="808"/>
      <c r="HI32" s="808"/>
      <c r="HJ32" s="808"/>
      <c r="HK32" s="808"/>
      <c r="HL32" s="808"/>
      <c r="HM32" s="808"/>
      <c r="HN32" s="808"/>
      <c r="HO32" s="808"/>
      <c r="HP32" s="808"/>
      <c r="HQ32" s="808"/>
      <c r="HR32" s="808"/>
      <c r="HS32" s="808"/>
      <c r="HT32" s="808"/>
      <c r="HU32" s="808"/>
      <c r="HV32" s="808"/>
      <c r="HW32" s="808"/>
      <c r="HX32" s="808"/>
      <c r="HY32" s="808"/>
      <c r="HZ32" s="808"/>
      <c r="IA32" s="808"/>
      <c r="IB32" s="808"/>
      <c r="IC32" s="808"/>
      <c r="ID32" s="808"/>
      <c r="IE32" s="808"/>
      <c r="IF32" s="808"/>
      <c r="IG32" s="808"/>
      <c r="IH32" s="809"/>
    </row>
    <row r="33" spans="1:242" x14ac:dyDescent="0.25">
      <c r="A33" s="823">
        <v>630.29999999999995</v>
      </c>
      <c r="B33" s="824" t="s">
        <v>40</v>
      </c>
      <c r="C33" s="825"/>
      <c r="D33" s="826"/>
      <c r="E33" s="826"/>
      <c r="F33" s="826"/>
      <c r="G33" s="826"/>
      <c r="H33" s="826"/>
      <c r="I33" s="826"/>
      <c r="J33" s="826"/>
      <c r="K33" s="826"/>
      <c r="L33" s="826"/>
      <c r="M33" s="826"/>
      <c r="N33" s="826"/>
      <c r="O33" s="826"/>
      <c r="P33" s="826"/>
      <c r="Q33" s="826"/>
      <c r="R33" s="826"/>
      <c r="S33" s="826"/>
      <c r="T33" s="826"/>
      <c r="U33" s="826"/>
      <c r="V33" s="826"/>
      <c r="W33" s="826"/>
      <c r="X33" s="826"/>
      <c r="Y33" s="826"/>
      <c r="Z33" s="826"/>
      <c r="AA33" s="826"/>
      <c r="AB33" s="826"/>
      <c r="AC33" s="826"/>
      <c r="AD33" s="826"/>
      <c r="AE33" s="826"/>
      <c r="AF33" s="824"/>
      <c r="AG33" s="825"/>
      <c r="AH33" s="826"/>
      <c r="AI33" s="826"/>
      <c r="AJ33" s="826"/>
      <c r="AK33" s="826"/>
      <c r="AL33" s="826"/>
      <c r="AM33" s="826"/>
      <c r="AN33" s="826"/>
      <c r="AO33" s="826"/>
      <c r="AP33" s="826"/>
      <c r="AQ33" s="826"/>
      <c r="AR33" s="826"/>
      <c r="AS33" s="826"/>
      <c r="AT33" s="826"/>
      <c r="AU33" s="826"/>
      <c r="AV33" s="826"/>
      <c r="AW33" s="826"/>
      <c r="AX33" s="826"/>
      <c r="AY33" s="826"/>
      <c r="AZ33" s="826"/>
      <c r="BA33" s="826"/>
      <c r="BB33" s="826"/>
      <c r="BC33" s="826"/>
      <c r="BD33" s="826"/>
      <c r="BE33" s="826"/>
      <c r="BF33" s="826"/>
      <c r="BG33" s="826"/>
      <c r="BH33" s="826"/>
      <c r="BI33" s="826"/>
      <c r="BJ33" s="824"/>
      <c r="BK33" s="807"/>
      <c r="BL33" s="808"/>
      <c r="BM33" s="808"/>
      <c r="BN33" s="808"/>
      <c r="BO33" s="808"/>
      <c r="BP33" s="808"/>
      <c r="BQ33" s="808"/>
      <c r="BR33" s="808"/>
      <c r="BS33" s="808"/>
      <c r="BT33" s="808"/>
      <c r="BU33" s="808"/>
      <c r="BV33" s="808"/>
      <c r="BW33" s="808"/>
      <c r="BX33" s="808"/>
      <c r="BY33" s="808"/>
      <c r="BZ33" s="808"/>
      <c r="CA33" s="808"/>
      <c r="CB33" s="808"/>
      <c r="CC33" s="808"/>
      <c r="CD33" s="808"/>
      <c r="CE33" s="808"/>
      <c r="CF33" s="808"/>
      <c r="CG33" s="808"/>
      <c r="CH33" s="808"/>
      <c r="CI33" s="808"/>
      <c r="CJ33" s="808"/>
      <c r="CK33" s="808"/>
      <c r="CL33" s="808"/>
      <c r="CM33" s="808"/>
      <c r="CN33" s="809"/>
      <c r="CO33" s="807"/>
      <c r="CP33" s="808"/>
      <c r="CQ33" s="808"/>
      <c r="CR33" s="808"/>
      <c r="CS33" s="811"/>
      <c r="CT33" s="811"/>
      <c r="CU33" s="811"/>
      <c r="CV33" s="811"/>
      <c r="CW33" s="811"/>
      <c r="CX33" s="811"/>
      <c r="CY33" s="811"/>
      <c r="CZ33" s="811"/>
      <c r="DA33" s="811"/>
      <c r="DB33" s="811"/>
      <c r="DC33" s="811"/>
      <c r="DD33" s="811"/>
      <c r="DE33" s="811"/>
      <c r="DF33" s="811"/>
      <c r="DG33" s="811"/>
      <c r="DH33" s="811"/>
      <c r="DI33" s="811"/>
      <c r="DJ33" s="811"/>
      <c r="DK33" s="811"/>
      <c r="DL33" s="811"/>
      <c r="DM33" s="808"/>
      <c r="DN33" s="808"/>
      <c r="DO33" s="808"/>
      <c r="DP33" s="808"/>
      <c r="DQ33" s="808"/>
      <c r="DR33" s="809"/>
      <c r="DS33" s="807"/>
      <c r="DT33" s="808"/>
      <c r="DU33" s="808"/>
      <c r="DV33" s="808"/>
      <c r="DW33" s="808"/>
      <c r="DX33" s="808"/>
      <c r="DY33" s="808"/>
      <c r="DZ33" s="808"/>
      <c r="EA33" s="808"/>
      <c r="EB33" s="808"/>
      <c r="EC33" s="808"/>
      <c r="ED33" s="808"/>
      <c r="EE33" s="808"/>
      <c r="EF33" s="808"/>
      <c r="EG33" s="808"/>
      <c r="EH33" s="808"/>
      <c r="EI33" s="808"/>
      <c r="EJ33" s="808"/>
      <c r="EK33" s="808"/>
      <c r="EL33" s="808"/>
      <c r="EM33" s="808"/>
      <c r="EN33" s="808"/>
      <c r="EO33" s="808"/>
      <c r="EP33" s="808"/>
      <c r="EQ33" s="808"/>
      <c r="ER33" s="808"/>
      <c r="ES33" s="808"/>
      <c r="ET33" s="808"/>
      <c r="EU33" s="808"/>
      <c r="EV33" s="809"/>
      <c r="EW33" s="807"/>
      <c r="EX33" s="808"/>
      <c r="EY33" s="808"/>
      <c r="EZ33" s="808"/>
      <c r="FA33" s="808"/>
      <c r="FB33" s="808"/>
      <c r="FC33" s="808"/>
      <c r="FD33" s="808"/>
      <c r="FE33" s="808"/>
      <c r="FF33" s="808"/>
      <c r="FG33" s="808"/>
      <c r="FH33" s="808"/>
      <c r="FI33" s="808"/>
      <c r="FJ33" s="808"/>
      <c r="FK33" s="808"/>
      <c r="FL33" s="808"/>
      <c r="FM33" s="808"/>
      <c r="FN33" s="808"/>
      <c r="FO33" s="808"/>
      <c r="FP33" s="808"/>
      <c r="FQ33" s="808"/>
      <c r="FR33" s="808"/>
      <c r="FS33" s="808"/>
      <c r="FT33" s="808"/>
      <c r="FU33" s="808"/>
      <c r="FV33" s="808"/>
      <c r="FW33" s="808"/>
      <c r="FX33" s="808"/>
      <c r="FY33" s="808"/>
      <c r="FZ33" s="809"/>
      <c r="GA33" s="807"/>
      <c r="GB33" s="808"/>
      <c r="GC33" s="808"/>
      <c r="GD33" s="808"/>
      <c r="GE33" s="808"/>
      <c r="GF33" s="808"/>
      <c r="GG33" s="808"/>
      <c r="GH33" s="808"/>
      <c r="GI33" s="808"/>
      <c r="GJ33" s="808"/>
      <c r="GK33" s="808"/>
      <c r="GL33" s="808"/>
      <c r="GM33" s="808"/>
      <c r="GN33" s="808"/>
      <c r="GO33" s="808"/>
      <c r="GP33" s="808"/>
      <c r="GQ33" s="808"/>
      <c r="GR33" s="808"/>
      <c r="GS33" s="808"/>
      <c r="GT33" s="808"/>
      <c r="GU33" s="808"/>
      <c r="GV33" s="808"/>
      <c r="GW33" s="808"/>
      <c r="GX33" s="808"/>
      <c r="GY33" s="808"/>
      <c r="GZ33" s="808"/>
      <c r="HA33" s="808"/>
      <c r="HB33" s="808"/>
      <c r="HC33" s="808"/>
      <c r="HD33" s="809"/>
      <c r="HE33" s="807"/>
      <c r="HF33" s="808"/>
      <c r="HG33" s="808"/>
      <c r="HH33" s="808"/>
      <c r="HI33" s="808"/>
      <c r="HJ33" s="808"/>
      <c r="HK33" s="808"/>
      <c r="HL33" s="808"/>
      <c r="HM33" s="808"/>
      <c r="HN33" s="808"/>
      <c r="HO33" s="808"/>
      <c r="HP33" s="808"/>
      <c r="HQ33" s="808"/>
      <c r="HR33" s="808"/>
      <c r="HS33" s="808"/>
      <c r="HT33" s="808"/>
      <c r="HU33" s="808"/>
      <c r="HV33" s="808"/>
      <c r="HW33" s="808"/>
      <c r="HX33" s="808"/>
      <c r="HY33" s="808"/>
      <c r="HZ33" s="808"/>
      <c r="IA33" s="808"/>
      <c r="IB33" s="808"/>
      <c r="IC33" s="808"/>
      <c r="ID33" s="808"/>
      <c r="IE33" s="808"/>
      <c r="IF33" s="808"/>
      <c r="IG33" s="808"/>
      <c r="IH33" s="809"/>
    </row>
    <row r="34" spans="1:242" x14ac:dyDescent="0.25">
      <c r="A34" s="823">
        <v>630.4</v>
      </c>
      <c r="B34" s="824" t="s">
        <v>42</v>
      </c>
      <c r="C34" s="825"/>
      <c r="D34" s="826"/>
      <c r="E34" s="826"/>
      <c r="F34" s="826"/>
      <c r="G34" s="826"/>
      <c r="H34" s="826"/>
      <c r="I34" s="826"/>
      <c r="J34" s="826"/>
      <c r="K34" s="826"/>
      <c r="L34" s="826"/>
      <c r="M34" s="826"/>
      <c r="N34" s="826"/>
      <c r="O34" s="826"/>
      <c r="P34" s="826"/>
      <c r="Q34" s="826"/>
      <c r="R34" s="826"/>
      <c r="S34" s="826"/>
      <c r="T34" s="826"/>
      <c r="U34" s="826"/>
      <c r="V34" s="826"/>
      <c r="W34" s="826"/>
      <c r="X34" s="826"/>
      <c r="Y34" s="826"/>
      <c r="Z34" s="826"/>
      <c r="AA34" s="826"/>
      <c r="AB34" s="826"/>
      <c r="AC34" s="826"/>
      <c r="AD34" s="826"/>
      <c r="AE34" s="826"/>
      <c r="AF34" s="824"/>
      <c r="AG34" s="825"/>
      <c r="AH34" s="826"/>
      <c r="AI34" s="826"/>
      <c r="AJ34" s="826"/>
      <c r="AK34" s="826"/>
      <c r="AL34" s="826"/>
      <c r="AM34" s="826"/>
      <c r="AN34" s="826"/>
      <c r="AO34" s="826"/>
      <c r="AP34" s="826"/>
      <c r="AQ34" s="826"/>
      <c r="AR34" s="826"/>
      <c r="AS34" s="826"/>
      <c r="AT34" s="826"/>
      <c r="AU34" s="826"/>
      <c r="AV34" s="826"/>
      <c r="AW34" s="826"/>
      <c r="AX34" s="826"/>
      <c r="AY34" s="826"/>
      <c r="AZ34" s="826"/>
      <c r="BA34" s="826"/>
      <c r="BB34" s="826"/>
      <c r="BC34" s="826"/>
      <c r="BD34" s="826"/>
      <c r="BE34" s="826"/>
      <c r="BF34" s="826"/>
      <c r="BG34" s="826"/>
      <c r="BH34" s="826"/>
      <c r="BI34" s="826"/>
      <c r="BJ34" s="824"/>
      <c r="BK34" s="807"/>
      <c r="BL34" s="808"/>
      <c r="BM34" s="808"/>
      <c r="BN34" s="808"/>
      <c r="BO34" s="808"/>
      <c r="BP34" s="808"/>
      <c r="BQ34" s="808"/>
      <c r="BR34" s="808"/>
      <c r="BS34" s="808"/>
      <c r="BT34" s="808"/>
      <c r="BU34" s="808"/>
      <c r="BV34" s="808"/>
      <c r="BW34" s="808"/>
      <c r="BX34" s="808"/>
      <c r="BY34" s="808"/>
      <c r="BZ34" s="808"/>
      <c r="CA34" s="808"/>
      <c r="CB34" s="808"/>
      <c r="CC34" s="808"/>
      <c r="CD34" s="808"/>
      <c r="CE34" s="808"/>
      <c r="CF34" s="808"/>
      <c r="CG34" s="808"/>
      <c r="CH34" s="808"/>
      <c r="CI34" s="808"/>
      <c r="CJ34" s="808"/>
      <c r="CK34" s="808"/>
      <c r="CL34" s="808"/>
      <c r="CM34" s="808"/>
      <c r="CN34" s="809"/>
      <c r="CO34" s="807"/>
      <c r="CP34" s="808"/>
      <c r="CQ34" s="808"/>
      <c r="CR34" s="808"/>
      <c r="CS34" s="811"/>
      <c r="CT34" s="811"/>
      <c r="CU34" s="811"/>
      <c r="CV34" s="811"/>
      <c r="CW34" s="811"/>
      <c r="CX34" s="811"/>
      <c r="CY34" s="811"/>
      <c r="CZ34" s="811"/>
      <c r="DA34" s="811"/>
      <c r="DB34" s="811"/>
      <c r="DC34" s="811"/>
      <c r="DD34" s="811"/>
      <c r="DE34" s="811"/>
      <c r="DF34" s="811"/>
      <c r="DG34" s="811"/>
      <c r="DH34" s="811"/>
      <c r="DI34" s="811"/>
      <c r="DJ34" s="811"/>
      <c r="DK34" s="811"/>
      <c r="DL34" s="811"/>
      <c r="DM34" s="808"/>
      <c r="DN34" s="808"/>
      <c r="DO34" s="808"/>
      <c r="DP34" s="808"/>
      <c r="DQ34" s="808"/>
      <c r="DR34" s="809"/>
      <c r="DS34" s="807"/>
      <c r="DT34" s="808"/>
      <c r="DU34" s="808"/>
      <c r="DV34" s="808"/>
      <c r="DW34" s="808"/>
      <c r="DX34" s="808"/>
      <c r="DY34" s="808"/>
      <c r="DZ34" s="808"/>
      <c r="EA34" s="808"/>
      <c r="EB34" s="808"/>
      <c r="EC34" s="808"/>
      <c r="ED34" s="808"/>
      <c r="EE34" s="808"/>
      <c r="EF34" s="808"/>
      <c r="EG34" s="808"/>
      <c r="EH34" s="808"/>
      <c r="EI34" s="808"/>
      <c r="EJ34" s="808"/>
      <c r="EK34" s="808"/>
      <c r="EL34" s="808"/>
      <c r="EM34" s="808"/>
      <c r="EN34" s="808"/>
      <c r="EO34" s="808"/>
      <c r="EP34" s="808"/>
      <c r="EQ34" s="808"/>
      <c r="ER34" s="808"/>
      <c r="ES34" s="808"/>
      <c r="ET34" s="808"/>
      <c r="EU34" s="808"/>
      <c r="EV34" s="809"/>
      <c r="EW34" s="807"/>
      <c r="EX34" s="808"/>
      <c r="EY34" s="808"/>
      <c r="EZ34" s="808"/>
      <c r="FA34" s="808"/>
      <c r="FB34" s="808"/>
      <c r="FC34" s="808"/>
      <c r="FD34" s="808"/>
      <c r="FE34" s="808"/>
      <c r="FF34" s="808"/>
      <c r="FG34" s="808"/>
      <c r="FH34" s="808"/>
      <c r="FI34" s="808"/>
      <c r="FJ34" s="808"/>
      <c r="FK34" s="808"/>
      <c r="FL34" s="808"/>
      <c r="FM34" s="808"/>
      <c r="FN34" s="808"/>
      <c r="FO34" s="808"/>
      <c r="FP34" s="808"/>
      <c r="FQ34" s="808"/>
      <c r="FR34" s="808"/>
      <c r="FS34" s="808"/>
      <c r="FT34" s="808"/>
      <c r="FU34" s="808"/>
      <c r="FV34" s="808"/>
      <c r="FW34" s="808"/>
      <c r="FX34" s="808"/>
      <c r="FY34" s="808"/>
      <c r="FZ34" s="809"/>
      <c r="GA34" s="807"/>
      <c r="GB34" s="808"/>
      <c r="GC34" s="808"/>
      <c r="GD34" s="808"/>
      <c r="GE34" s="808"/>
      <c r="GF34" s="808"/>
      <c r="GG34" s="808"/>
      <c r="GH34" s="808"/>
      <c r="GI34" s="808"/>
      <c r="GJ34" s="808"/>
      <c r="GK34" s="808"/>
      <c r="GL34" s="808"/>
      <c r="GM34" s="808"/>
      <c r="GN34" s="808"/>
      <c r="GO34" s="808"/>
      <c r="GP34" s="808"/>
      <c r="GQ34" s="808"/>
      <c r="GR34" s="808"/>
      <c r="GS34" s="808"/>
      <c r="GT34" s="808"/>
      <c r="GU34" s="808"/>
      <c r="GV34" s="808"/>
      <c r="GW34" s="808"/>
      <c r="GX34" s="808"/>
      <c r="GY34" s="808"/>
      <c r="GZ34" s="808"/>
      <c r="HA34" s="808"/>
      <c r="HB34" s="808"/>
      <c r="HC34" s="808"/>
      <c r="HD34" s="809"/>
      <c r="HE34" s="807"/>
      <c r="HF34" s="808"/>
      <c r="HG34" s="808"/>
      <c r="HH34" s="808"/>
      <c r="HI34" s="808"/>
      <c r="HJ34" s="808"/>
      <c r="HK34" s="808"/>
      <c r="HL34" s="808"/>
      <c r="HM34" s="808"/>
      <c r="HN34" s="808"/>
      <c r="HO34" s="808"/>
      <c r="HP34" s="808"/>
      <c r="HQ34" s="808"/>
      <c r="HR34" s="808"/>
      <c r="HS34" s="808"/>
      <c r="HT34" s="808"/>
      <c r="HU34" s="808"/>
      <c r="HV34" s="808"/>
      <c r="HW34" s="808"/>
      <c r="HX34" s="808"/>
      <c r="HY34" s="808"/>
      <c r="HZ34" s="808"/>
      <c r="IA34" s="808"/>
      <c r="IB34" s="808"/>
      <c r="IC34" s="808"/>
      <c r="ID34" s="808"/>
      <c r="IE34" s="808"/>
      <c r="IF34" s="808"/>
      <c r="IG34" s="808"/>
      <c r="IH34" s="809"/>
    </row>
    <row r="35" spans="1:242" ht="24.75" customHeight="1" x14ac:dyDescent="0.25">
      <c r="A35" s="1438" t="s">
        <v>115</v>
      </c>
      <c r="B35" s="1439"/>
      <c r="C35" s="817"/>
      <c r="D35" s="818"/>
      <c r="E35" s="818"/>
      <c r="F35" s="818"/>
      <c r="G35" s="818"/>
      <c r="H35" s="818"/>
      <c r="I35" s="818"/>
      <c r="J35" s="818"/>
      <c r="K35" s="818"/>
      <c r="L35" s="818"/>
      <c r="M35" s="818"/>
      <c r="N35" s="818"/>
      <c r="O35" s="818"/>
      <c r="P35" s="818"/>
      <c r="Q35" s="818"/>
      <c r="R35" s="818"/>
      <c r="S35" s="818"/>
      <c r="T35" s="818"/>
      <c r="U35" s="818"/>
      <c r="V35" s="818"/>
      <c r="W35" s="818"/>
      <c r="X35" s="818"/>
      <c r="Y35" s="818"/>
      <c r="Z35" s="818"/>
      <c r="AA35" s="818"/>
      <c r="AB35" s="818"/>
      <c r="AC35" s="818"/>
      <c r="AD35" s="818"/>
      <c r="AE35" s="818"/>
      <c r="AF35" s="819"/>
      <c r="AG35" s="817"/>
      <c r="AH35" s="818"/>
      <c r="AI35" s="818"/>
      <c r="AJ35" s="818"/>
      <c r="AK35" s="818"/>
      <c r="AL35" s="818"/>
      <c r="AM35" s="818"/>
      <c r="AN35" s="818"/>
      <c r="AO35" s="818"/>
      <c r="AP35" s="818"/>
      <c r="AQ35" s="818"/>
      <c r="AR35" s="818"/>
      <c r="AS35" s="818"/>
      <c r="AT35" s="818"/>
      <c r="AU35" s="818"/>
      <c r="AV35" s="818"/>
      <c r="AW35" s="818"/>
      <c r="AX35" s="818"/>
      <c r="AY35" s="818"/>
      <c r="AZ35" s="818"/>
      <c r="BA35" s="818"/>
      <c r="BB35" s="818"/>
      <c r="BC35" s="818"/>
      <c r="BD35" s="818"/>
      <c r="BE35" s="818"/>
      <c r="BF35" s="818"/>
      <c r="BG35" s="818"/>
      <c r="BH35" s="818"/>
      <c r="BI35" s="818"/>
      <c r="BJ35" s="819"/>
      <c r="BK35" s="820"/>
      <c r="BL35" s="821"/>
      <c r="BM35" s="821"/>
      <c r="BN35" s="821"/>
      <c r="BO35" s="821"/>
      <c r="BP35" s="821"/>
      <c r="BQ35" s="821"/>
      <c r="BR35" s="821"/>
      <c r="BS35" s="821"/>
      <c r="BT35" s="821"/>
      <c r="BU35" s="821"/>
      <c r="BV35" s="821"/>
      <c r="BW35" s="821"/>
      <c r="BX35" s="821"/>
      <c r="BY35" s="821"/>
      <c r="BZ35" s="821"/>
      <c r="CA35" s="821"/>
      <c r="CB35" s="821"/>
      <c r="CC35" s="821"/>
      <c r="CD35" s="821"/>
      <c r="CE35" s="821"/>
      <c r="CF35" s="821"/>
      <c r="CG35" s="821"/>
      <c r="CH35" s="821"/>
      <c r="CI35" s="821"/>
      <c r="CJ35" s="821"/>
      <c r="CK35" s="821"/>
      <c r="CL35" s="821"/>
      <c r="CM35" s="821"/>
      <c r="CN35" s="822"/>
      <c r="CO35" s="820"/>
      <c r="CP35" s="821"/>
      <c r="CQ35" s="821"/>
      <c r="CR35" s="821"/>
      <c r="CS35" s="821"/>
      <c r="CT35" s="821"/>
      <c r="CU35" s="821"/>
      <c r="CV35" s="821"/>
      <c r="CW35" s="821"/>
      <c r="CX35" s="821"/>
      <c r="CY35" s="821"/>
      <c r="CZ35" s="821"/>
      <c r="DA35" s="821"/>
      <c r="DB35" s="821"/>
      <c r="DC35" s="821"/>
      <c r="DD35" s="821"/>
      <c r="DE35" s="821"/>
      <c r="DF35" s="821"/>
      <c r="DG35" s="821"/>
      <c r="DH35" s="821"/>
      <c r="DI35" s="821"/>
      <c r="DJ35" s="821"/>
      <c r="DK35" s="821"/>
      <c r="DL35" s="821"/>
      <c r="DM35" s="821"/>
      <c r="DN35" s="821"/>
      <c r="DO35" s="821"/>
      <c r="DP35" s="821"/>
      <c r="DQ35" s="821"/>
      <c r="DR35" s="822"/>
      <c r="DS35" s="820"/>
      <c r="DT35" s="821"/>
      <c r="DU35" s="821"/>
      <c r="DV35" s="821"/>
      <c r="DW35" s="821"/>
      <c r="DX35" s="821"/>
      <c r="DY35" s="821"/>
      <c r="DZ35" s="821"/>
      <c r="EA35" s="821"/>
      <c r="EB35" s="821"/>
      <c r="EC35" s="821"/>
      <c r="ED35" s="821"/>
      <c r="EE35" s="821"/>
      <c r="EF35" s="821"/>
      <c r="EG35" s="821"/>
      <c r="EH35" s="821"/>
      <c r="EI35" s="821"/>
      <c r="EJ35" s="821"/>
      <c r="EK35" s="821"/>
      <c r="EL35" s="821"/>
      <c r="EM35" s="821"/>
      <c r="EN35" s="821"/>
      <c r="EO35" s="821"/>
      <c r="EP35" s="821"/>
      <c r="EQ35" s="821"/>
      <c r="ER35" s="821"/>
      <c r="ES35" s="821"/>
      <c r="ET35" s="821"/>
      <c r="EU35" s="821"/>
      <c r="EV35" s="822"/>
      <c r="EW35" s="820"/>
      <c r="EX35" s="821"/>
      <c r="EY35" s="821"/>
      <c r="EZ35" s="821"/>
      <c r="FA35" s="821"/>
      <c r="FB35" s="821"/>
      <c r="FC35" s="821"/>
      <c r="FD35" s="821"/>
      <c r="FE35" s="821"/>
      <c r="FF35" s="821"/>
      <c r="FG35" s="821"/>
      <c r="FH35" s="821"/>
      <c r="FI35" s="821"/>
      <c r="FJ35" s="821"/>
      <c r="FK35" s="821"/>
      <c r="FL35" s="821"/>
      <c r="FM35" s="821"/>
      <c r="FN35" s="821"/>
      <c r="FO35" s="821"/>
      <c r="FP35" s="821"/>
      <c r="FQ35" s="821"/>
      <c r="FR35" s="821"/>
      <c r="FS35" s="821"/>
      <c r="FT35" s="821"/>
      <c r="FU35" s="821"/>
      <c r="FV35" s="821"/>
      <c r="FW35" s="821"/>
      <c r="FX35" s="821"/>
      <c r="FY35" s="821"/>
      <c r="FZ35" s="822"/>
      <c r="GA35" s="820"/>
      <c r="GB35" s="821"/>
      <c r="GC35" s="821"/>
      <c r="GD35" s="821"/>
      <c r="GE35" s="821"/>
      <c r="GF35" s="821"/>
      <c r="GG35" s="821"/>
      <c r="GH35" s="821"/>
      <c r="GI35" s="821"/>
      <c r="GJ35" s="821"/>
      <c r="GK35" s="821"/>
      <c r="GL35" s="821"/>
      <c r="GM35" s="821"/>
      <c r="GN35" s="821"/>
      <c r="GO35" s="821"/>
      <c r="GP35" s="821"/>
      <c r="GQ35" s="821"/>
      <c r="GR35" s="821"/>
      <c r="GS35" s="821"/>
      <c r="GT35" s="821"/>
      <c r="GU35" s="821"/>
      <c r="GV35" s="821"/>
      <c r="GW35" s="821"/>
      <c r="GX35" s="821"/>
      <c r="GY35" s="821"/>
      <c r="GZ35" s="821"/>
      <c r="HA35" s="821"/>
      <c r="HB35" s="821"/>
      <c r="HC35" s="821"/>
      <c r="HD35" s="822"/>
      <c r="HE35" s="820"/>
      <c r="HF35" s="821"/>
      <c r="HG35" s="821"/>
      <c r="HH35" s="821"/>
      <c r="HI35" s="821"/>
      <c r="HJ35" s="821"/>
      <c r="HK35" s="821"/>
      <c r="HL35" s="821"/>
      <c r="HM35" s="821"/>
      <c r="HN35" s="821"/>
      <c r="HO35" s="821"/>
      <c r="HP35" s="821"/>
      <c r="HQ35" s="821"/>
      <c r="HR35" s="821"/>
      <c r="HS35" s="821"/>
      <c r="HT35" s="821"/>
      <c r="HU35" s="821"/>
      <c r="HV35" s="821"/>
      <c r="HW35" s="821"/>
      <c r="HX35" s="821"/>
      <c r="HY35" s="821"/>
      <c r="HZ35" s="821"/>
      <c r="IA35" s="821"/>
      <c r="IB35" s="821"/>
      <c r="IC35" s="821"/>
      <c r="ID35" s="821"/>
      <c r="IE35" s="821"/>
      <c r="IF35" s="821"/>
      <c r="IG35" s="821"/>
      <c r="IH35" s="822"/>
    </row>
    <row r="36" spans="1:242" ht="36.75" customHeight="1" x14ac:dyDescent="0.25">
      <c r="A36" s="823">
        <v>640.1</v>
      </c>
      <c r="B36" s="824" t="s">
        <v>43</v>
      </c>
      <c r="C36" s="825"/>
      <c r="D36" s="826"/>
      <c r="E36" s="826"/>
      <c r="F36" s="826"/>
      <c r="G36" s="826"/>
      <c r="H36" s="826"/>
      <c r="I36" s="826"/>
      <c r="J36" s="826"/>
      <c r="K36" s="826"/>
      <c r="L36" s="826"/>
      <c r="M36" s="826"/>
      <c r="N36" s="826"/>
      <c r="O36" s="826"/>
      <c r="P36" s="826"/>
      <c r="Q36" s="826"/>
      <c r="R36" s="826"/>
      <c r="S36" s="826"/>
      <c r="T36" s="826"/>
      <c r="U36" s="826"/>
      <c r="V36" s="826"/>
      <c r="W36" s="826"/>
      <c r="X36" s="826"/>
      <c r="Y36" s="826"/>
      <c r="Z36" s="826"/>
      <c r="AA36" s="826"/>
      <c r="AB36" s="826"/>
      <c r="AC36" s="826"/>
      <c r="AD36" s="826"/>
      <c r="AE36" s="826"/>
      <c r="AF36" s="824"/>
      <c r="AG36" s="825"/>
      <c r="AH36" s="826"/>
      <c r="AI36" s="826"/>
      <c r="AJ36" s="826"/>
      <c r="AK36" s="826"/>
      <c r="AL36" s="826"/>
      <c r="AM36" s="826"/>
      <c r="AN36" s="826"/>
      <c r="AO36" s="826"/>
      <c r="AP36" s="826"/>
      <c r="AQ36" s="826"/>
      <c r="AR36" s="826"/>
      <c r="AS36" s="826"/>
      <c r="AT36" s="826"/>
      <c r="AU36" s="826"/>
      <c r="AV36" s="826"/>
      <c r="AW36" s="826"/>
      <c r="AX36" s="826"/>
      <c r="AY36" s="826"/>
      <c r="AZ36" s="826"/>
      <c r="BA36" s="826"/>
      <c r="BB36" s="826"/>
      <c r="BC36" s="826"/>
      <c r="BD36" s="826"/>
      <c r="BE36" s="826"/>
      <c r="BF36" s="826"/>
      <c r="BG36" s="826"/>
      <c r="BH36" s="826"/>
      <c r="BI36" s="826"/>
      <c r="BJ36" s="824"/>
      <c r="BK36" s="807"/>
      <c r="BL36" s="808"/>
      <c r="BM36" s="808"/>
      <c r="BN36" s="808"/>
      <c r="BO36" s="808"/>
      <c r="BP36" s="808"/>
      <c r="BQ36" s="808"/>
      <c r="BR36" s="808"/>
      <c r="BS36" s="808"/>
      <c r="BT36" s="808"/>
      <c r="BU36" s="808"/>
      <c r="BV36" s="808"/>
      <c r="BW36" s="808"/>
      <c r="BX36" s="808"/>
      <c r="BY36" s="808"/>
      <c r="BZ36" s="808"/>
      <c r="CA36" s="808"/>
      <c r="CB36" s="808"/>
      <c r="CC36" s="808"/>
      <c r="CD36" s="808"/>
      <c r="CE36" s="808"/>
      <c r="CF36" s="808"/>
      <c r="CG36" s="808"/>
      <c r="CH36" s="808"/>
      <c r="CI36" s="808"/>
      <c r="CJ36" s="808"/>
      <c r="CK36" s="808"/>
      <c r="CL36" s="808"/>
      <c r="CM36" s="808"/>
      <c r="CN36" s="809"/>
      <c r="CO36" s="807"/>
      <c r="CP36" s="808"/>
      <c r="CQ36" s="808"/>
      <c r="CR36" s="808"/>
      <c r="CS36" s="808"/>
      <c r="CT36" s="808"/>
      <c r="CU36" s="808"/>
      <c r="CV36" s="808"/>
      <c r="CW36" s="808"/>
      <c r="CX36" s="811"/>
      <c r="CY36" s="811"/>
      <c r="CZ36" s="811"/>
      <c r="DA36" s="811"/>
      <c r="DB36" s="811"/>
      <c r="DC36" s="811"/>
      <c r="DD36" s="811"/>
      <c r="DE36" s="811"/>
      <c r="DF36" s="811"/>
      <c r="DG36" s="811"/>
      <c r="DH36" s="811"/>
      <c r="DI36" s="811"/>
      <c r="DJ36" s="811"/>
      <c r="DK36" s="811"/>
      <c r="DL36" s="811"/>
      <c r="DM36" s="811"/>
      <c r="DN36" s="811"/>
      <c r="DO36" s="811"/>
      <c r="DP36" s="811"/>
      <c r="DQ36" s="811"/>
      <c r="DR36" s="812"/>
      <c r="DS36" s="810"/>
      <c r="DT36" s="811"/>
      <c r="DU36" s="811"/>
      <c r="DV36" s="811"/>
      <c r="DW36" s="811"/>
      <c r="DX36" s="811"/>
      <c r="DY36" s="811"/>
      <c r="DZ36" s="811"/>
      <c r="EA36" s="811"/>
      <c r="EB36" s="811"/>
      <c r="EC36" s="811"/>
      <c r="ED36" s="811"/>
      <c r="EE36" s="811"/>
      <c r="EF36" s="811"/>
      <c r="EG36" s="811"/>
      <c r="EH36" s="811"/>
      <c r="EI36" s="811"/>
      <c r="EJ36" s="811"/>
      <c r="EK36" s="811"/>
      <c r="EL36" s="808"/>
      <c r="EM36" s="808"/>
      <c r="EN36" s="808"/>
      <c r="EO36" s="808"/>
      <c r="EP36" s="808"/>
      <c r="EQ36" s="808"/>
      <c r="ER36" s="808"/>
      <c r="ES36" s="808"/>
      <c r="ET36" s="808"/>
      <c r="EU36" s="808"/>
      <c r="EV36" s="809"/>
      <c r="EW36" s="807"/>
      <c r="EX36" s="808"/>
      <c r="EY36" s="808"/>
      <c r="EZ36" s="808"/>
      <c r="FA36" s="808"/>
      <c r="FB36" s="808"/>
      <c r="FC36" s="808"/>
      <c r="FD36" s="808"/>
      <c r="FE36" s="808"/>
      <c r="FF36" s="808"/>
      <c r="FG36" s="808"/>
      <c r="FH36" s="808"/>
      <c r="FI36" s="808"/>
      <c r="FJ36" s="808"/>
      <c r="FK36" s="808"/>
      <c r="FL36" s="808"/>
      <c r="FM36" s="808"/>
      <c r="FN36" s="808"/>
      <c r="FO36" s="808"/>
      <c r="FP36" s="808"/>
      <c r="FQ36" s="808"/>
      <c r="FR36" s="808"/>
      <c r="FS36" s="808"/>
      <c r="FT36" s="808"/>
      <c r="FU36" s="808"/>
      <c r="FV36" s="808"/>
      <c r="FW36" s="808"/>
      <c r="FX36" s="808"/>
      <c r="FY36" s="808"/>
      <c r="FZ36" s="809"/>
      <c r="GA36" s="807"/>
      <c r="GB36" s="808"/>
      <c r="GC36" s="808"/>
      <c r="GD36" s="808"/>
      <c r="GE36" s="808"/>
      <c r="GF36" s="808"/>
      <c r="GG36" s="808"/>
      <c r="GH36" s="808"/>
      <c r="GI36" s="808"/>
      <c r="GJ36" s="808"/>
      <c r="GK36" s="808"/>
      <c r="GL36" s="808"/>
      <c r="GM36" s="808"/>
      <c r="GN36" s="808"/>
      <c r="GO36" s="808"/>
      <c r="GP36" s="808"/>
      <c r="GQ36" s="808"/>
      <c r="GR36" s="808"/>
      <c r="GS36" s="808"/>
      <c r="GT36" s="808"/>
      <c r="GU36" s="808"/>
      <c r="GV36" s="808"/>
      <c r="GW36" s="808"/>
      <c r="GX36" s="808"/>
      <c r="GY36" s="808"/>
      <c r="GZ36" s="808"/>
      <c r="HA36" s="808"/>
      <c r="HB36" s="808"/>
      <c r="HC36" s="808"/>
      <c r="HD36" s="809"/>
      <c r="HE36" s="807"/>
      <c r="HF36" s="808"/>
      <c r="HG36" s="808"/>
      <c r="HH36" s="808"/>
      <c r="HI36" s="808"/>
      <c r="HJ36" s="808"/>
      <c r="HK36" s="808"/>
      <c r="HL36" s="808"/>
      <c r="HM36" s="808"/>
      <c r="HN36" s="808"/>
      <c r="HO36" s="808"/>
      <c r="HP36" s="808"/>
      <c r="HQ36" s="808"/>
      <c r="HR36" s="808"/>
      <c r="HS36" s="808"/>
      <c r="HT36" s="808"/>
      <c r="HU36" s="808"/>
      <c r="HV36" s="808"/>
      <c r="HW36" s="808"/>
      <c r="HX36" s="808"/>
      <c r="HY36" s="808"/>
      <c r="HZ36" s="808"/>
      <c r="IA36" s="808"/>
      <c r="IB36" s="808"/>
      <c r="IC36" s="808"/>
      <c r="ID36" s="808"/>
      <c r="IE36" s="808"/>
      <c r="IF36" s="808"/>
      <c r="IG36" s="808"/>
      <c r="IH36" s="809"/>
    </row>
    <row r="37" spans="1:242" ht="54.75" customHeight="1" x14ac:dyDescent="0.25">
      <c r="A37" s="823">
        <v>610.1</v>
      </c>
      <c r="B37" s="824" t="s">
        <v>118</v>
      </c>
      <c r="C37" s="825"/>
      <c r="D37" s="826"/>
      <c r="E37" s="826"/>
      <c r="F37" s="826"/>
      <c r="G37" s="826"/>
      <c r="H37" s="826"/>
      <c r="I37" s="826"/>
      <c r="J37" s="826"/>
      <c r="K37" s="826"/>
      <c r="L37" s="826"/>
      <c r="M37" s="826"/>
      <c r="N37" s="826"/>
      <c r="O37" s="826"/>
      <c r="P37" s="826"/>
      <c r="Q37" s="826"/>
      <c r="R37" s="826"/>
      <c r="S37" s="826"/>
      <c r="T37" s="826"/>
      <c r="U37" s="826"/>
      <c r="V37" s="826"/>
      <c r="W37" s="826"/>
      <c r="X37" s="826"/>
      <c r="Y37" s="826"/>
      <c r="Z37" s="826"/>
      <c r="AA37" s="826"/>
      <c r="AB37" s="826"/>
      <c r="AC37" s="826"/>
      <c r="AD37" s="826"/>
      <c r="AE37" s="826"/>
      <c r="AF37" s="824"/>
      <c r="AG37" s="825"/>
      <c r="AH37" s="826"/>
      <c r="AI37" s="826"/>
      <c r="AJ37" s="826"/>
      <c r="AK37" s="826"/>
      <c r="AL37" s="826"/>
      <c r="AM37" s="826"/>
      <c r="AN37" s="826"/>
      <c r="AO37" s="826"/>
      <c r="AP37" s="826"/>
      <c r="AQ37" s="826"/>
      <c r="AR37" s="826"/>
      <c r="AS37" s="826"/>
      <c r="AT37" s="826"/>
      <c r="AU37" s="826"/>
      <c r="AV37" s="826"/>
      <c r="AW37" s="826"/>
      <c r="AX37" s="826"/>
      <c r="AY37" s="826"/>
      <c r="AZ37" s="826"/>
      <c r="BA37" s="826"/>
      <c r="BB37" s="826"/>
      <c r="BC37" s="826"/>
      <c r="BD37" s="826"/>
      <c r="BE37" s="826"/>
      <c r="BF37" s="826"/>
      <c r="BG37" s="826"/>
      <c r="BH37" s="826"/>
      <c r="BI37" s="826"/>
      <c r="BJ37" s="824"/>
      <c r="BK37" s="807"/>
      <c r="BL37" s="808"/>
      <c r="BM37" s="808"/>
      <c r="BN37" s="808"/>
      <c r="BO37" s="808"/>
      <c r="BP37" s="808"/>
      <c r="BQ37" s="808"/>
      <c r="BR37" s="808"/>
      <c r="BS37" s="808"/>
      <c r="BT37" s="808"/>
      <c r="BU37" s="808"/>
      <c r="BV37" s="808"/>
      <c r="BW37" s="808"/>
      <c r="BX37" s="808"/>
      <c r="BY37" s="808"/>
      <c r="BZ37" s="808"/>
      <c r="CA37" s="808"/>
      <c r="CB37" s="808"/>
      <c r="CC37" s="808"/>
      <c r="CD37" s="808"/>
      <c r="CE37" s="808"/>
      <c r="CF37" s="808"/>
      <c r="CG37" s="808"/>
      <c r="CH37" s="808"/>
      <c r="CI37" s="808"/>
      <c r="CJ37" s="808"/>
      <c r="CK37" s="808"/>
      <c r="CL37" s="808"/>
      <c r="CM37" s="808"/>
      <c r="CN37" s="809"/>
      <c r="CO37" s="807"/>
      <c r="CP37" s="808"/>
      <c r="CQ37" s="808"/>
      <c r="CR37" s="808"/>
      <c r="CS37" s="808"/>
      <c r="CT37" s="808"/>
      <c r="CU37" s="808"/>
      <c r="CV37" s="808"/>
      <c r="CW37" s="808"/>
      <c r="CX37" s="808"/>
      <c r="CY37" s="808"/>
      <c r="CZ37" s="808"/>
      <c r="DA37" s="808"/>
      <c r="DB37" s="808"/>
      <c r="DC37" s="811"/>
      <c r="DD37" s="811"/>
      <c r="DE37" s="811"/>
      <c r="DF37" s="811"/>
      <c r="DG37" s="811"/>
      <c r="DH37" s="811"/>
      <c r="DI37" s="811"/>
      <c r="DJ37" s="811"/>
      <c r="DK37" s="811"/>
      <c r="DL37" s="811"/>
      <c r="DM37" s="811"/>
      <c r="DN37" s="811"/>
      <c r="DO37" s="811"/>
      <c r="DP37" s="811"/>
      <c r="DQ37" s="811"/>
      <c r="DR37" s="812"/>
      <c r="DS37" s="810"/>
      <c r="DT37" s="811"/>
      <c r="DU37" s="811"/>
      <c r="DV37" s="811"/>
      <c r="DW37" s="808"/>
      <c r="DX37" s="808"/>
      <c r="DY37" s="808"/>
      <c r="DZ37" s="808"/>
      <c r="EA37" s="808"/>
      <c r="EB37" s="808"/>
      <c r="EC37" s="808"/>
      <c r="ED37" s="808"/>
      <c r="EE37" s="808"/>
      <c r="EF37" s="808"/>
      <c r="EG37" s="808"/>
      <c r="EH37" s="808"/>
      <c r="EI37" s="808"/>
      <c r="EJ37" s="808"/>
      <c r="EK37" s="808"/>
      <c r="EL37" s="808"/>
      <c r="EM37" s="808"/>
      <c r="EN37" s="808"/>
      <c r="EO37" s="808"/>
      <c r="EP37" s="808"/>
      <c r="EQ37" s="808"/>
      <c r="ER37" s="808"/>
      <c r="ES37" s="808"/>
      <c r="ET37" s="808"/>
      <c r="EU37" s="808"/>
      <c r="EV37" s="809"/>
      <c r="EW37" s="807"/>
      <c r="EX37" s="808"/>
      <c r="EY37" s="808"/>
      <c r="EZ37" s="808"/>
      <c r="FA37" s="808"/>
      <c r="FB37" s="808"/>
      <c r="FC37" s="808"/>
      <c r="FD37" s="808"/>
      <c r="FE37" s="808"/>
      <c r="FF37" s="808"/>
      <c r="FG37" s="808"/>
      <c r="FH37" s="808"/>
      <c r="FI37" s="808"/>
      <c r="FJ37" s="808"/>
      <c r="FK37" s="808"/>
      <c r="FL37" s="808"/>
      <c r="FM37" s="808"/>
      <c r="FN37" s="808"/>
      <c r="FO37" s="808"/>
      <c r="FP37" s="808"/>
      <c r="FQ37" s="808"/>
      <c r="FR37" s="808"/>
      <c r="FS37" s="808"/>
      <c r="FT37" s="808"/>
      <c r="FU37" s="808"/>
      <c r="FV37" s="808"/>
      <c r="FW37" s="808"/>
      <c r="FX37" s="808"/>
      <c r="FY37" s="808"/>
      <c r="FZ37" s="809"/>
      <c r="GA37" s="807"/>
      <c r="GB37" s="808"/>
      <c r="GC37" s="808"/>
      <c r="GD37" s="808"/>
      <c r="GE37" s="808"/>
      <c r="GF37" s="808"/>
      <c r="GG37" s="808"/>
      <c r="GH37" s="808"/>
      <c r="GI37" s="808"/>
      <c r="GJ37" s="808"/>
      <c r="GK37" s="808"/>
      <c r="GL37" s="808"/>
      <c r="GM37" s="808"/>
      <c r="GN37" s="808"/>
      <c r="GO37" s="808"/>
      <c r="GP37" s="808"/>
      <c r="GQ37" s="808"/>
      <c r="GR37" s="808"/>
      <c r="GS37" s="808"/>
      <c r="GT37" s="808"/>
      <c r="GU37" s="808"/>
      <c r="GV37" s="808"/>
      <c r="GW37" s="808"/>
      <c r="GX37" s="808"/>
      <c r="GY37" s="808"/>
      <c r="GZ37" s="808"/>
      <c r="HA37" s="808"/>
      <c r="HB37" s="808"/>
      <c r="HC37" s="808"/>
      <c r="HD37" s="809"/>
      <c r="HE37" s="807"/>
      <c r="HF37" s="808"/>
      <c r="HG37" s="808"/>
      <c r="HH37" s="808"/>
      <c r="HI37" s="808"/>
      <c r="HJ37" s="808"/>
      <c r="HK37" s="808"/>
      <c r="HL37" s="808"/>
      <c r="HM37" s="808"/>
      <c r="HN37" s="808"/>
      <c r="HO37" s="808"/>
      <c r="HP37" s="808"/>
      <c r="HQ37" s="808"/>
      <c r="HR37" s="808"/>
      <c r="HS37" s="808"/>
      <c r="HT37" s="808"/>
      <c r="HU37" s="808"/>
      <c r="HV37" s="808"/>
      <c r="HW37" s="808"/>
      <c r="HX37" s="808"/>
      <c r="HY37" s="808"/>
      <c r="HZ37" s="808"/>
      <c r="IA37" s="808"/>
      <c r="IB37" s="808"/>
      <c r="IC37" s="808"/>
      <c r="ID37" s="808"/>
      <c r="IE37" s="808"/>
      <c r="IF37" s="808"/>
      <c r="IG37" s="808"/>
      <c r="IH37" s="809"/>
    </row>
    <row r="38" spans="1:242" ht="64.5" customHeight="1" x14ac:dyDescent="0.25">
      <c r="A38" s="823" t="s">
        <v>44</v>
      </c>
      <c r="B38" s="824" t="s">
        <v>45</v>
      </c>
      <c r="C38" s="825"/>
      <c r="D38" s="826"/>
      <c r="E38" s="826"/>
      <c r="F38" s="826"/>
      <c r="G38" s="826"/>
      <c r="H38" s="826"/>
      <c r="I38" s="826"/>
      <c r="J38" s="826"/>
      <c r="K38" s="826"/>
      <c r="L38" s="826"/>
      <c r="M38" s="826"/>
      <c r="N38" s="826"/>
      <c r="O38" s="826"/>
      <c r="P38" s="826"/>
      <c r="Q38" s="826"/>
      <c r="R38" s="826"/>
      <c r="S38" s="826"/>
      <c r="T38" s="826"/>
      <c r="U38" s="826"/>
      <c r="V38" s="826"/>
      <c r="W38" s="826"/>
      <c r="X38" s="826"/>
      <c r="Y38" s="826"/>
      <c r="Z38" s="826"/>
      <c r="AA38" s="826"/>
      <c r="AB38" s="826"/>
      <c r="AC38" s="826"/>
      <c r="AD38" s="826"/>
      <c r="AE38" s="826"/>
      <c r="AF38" s="824"/>
      <c r="AG38" s="825"/>
      <c r="AH38" s="826"/>
      <c r="AI38" s="826"/>
      <c r="AJ38" s="826"/>
      <c r="AK38" s="826"/>
      <c r="AL38" s="826"/>
      <c r="AM38" s="826"/>
      <c r="AN38" s="826"/>
      <c r="AO38" s="826"/>
      <c r="AP38" s="826"/>
      <c r="AQ38" s="826"/>
      <c r="AR38" s="826"/>
      <c r="AS38" s="826"/>
      <c r="AT38" s="826"/>
      <c r="AU38" s="826"/>
      <c r="AV38" s="826"/>
      <c r="AW38" s="826"/>
      <c r="AX38" s="826"/>
      <c r="AY38" s="826"/>
      <c r="AZ38" s="826"/>
      <c r="BA38" s="826"/>
      <c r="BB38" s="826"/>
      <c r="BC38" s="826"/>
      <c r="BD38" s="826"/>
      <c r="BE38" s="826"/>
      <c r="BF38" s="826"/>
      <c r="BG38" s="826"/>
      <c r="BH38" s="826"/>
      <c r="BI38" s="826"/>
      <c r="BJ38" s="824"/>
      <c r="BK38" s="807"/>
      <c r="BL38" s="808"/>
      <c r="BM38" s="808"/>
      <c r="BN38" s="808"/>
      <c r="BO38" s="808"/>
      <c r="BP38" s="808"/>
      <c r="BQ38" s="808"/>
      <c r="BR38" s="808"/>
      <c r="BS38" s="808"/>
      <c r="BT38" s="808"/>
      <c r="BU38" s="808"/>
      <c r="BV38" s="808"/>
      <c r="BW38" s="808"/>
      <c r="BX38" s="808"/>
      <c r="BY38" s="808"/>
      <c r="BZ38" s="808"/>
      <c r="CA38" s="808"/>
      <c r="CB38" s="808"/>
      <c r="CC38" s="808"/>
      <c r="CD38" s="808"/>
      <c r="CE38" s="808"/>
      <c r="CF38" s="808"/>
      <c r="CG38" s="808"/>
      <c r="CH38" s="808"/>
      <c r="CI38" s="808"/>
      <c r="CJ38" s="808"/>
      <c r="CK38" s="808"/>
      <c r="CL38" s="808"/>
      <c r="CM38" s="808"/>
      <c r="CN38" s="809"/>
      <c r="CO38" s="807"/>
      <c r="CP38" s="808"/>
      <c r="CQ38" s="808"/>
      <c r="CR38" s="808"/>
      <c r="CS38" s="808"/>
      <c r="CT38" s="808"/>
      <c r="CU38" s="808"/>
      <c r="CV38" s="808"/>
      <c r="CW38" s="808"/>
      <c r="CX38" s="808"/>
      <c r="CY38" s="808"/>
      <c r="CZ38" s="808"/>
      <c r="DA38" s="811"/>
      <c r="DB38" s="811"/>
      <c r="DC38" s="811"/>
      <c r="DD38" s="811"/>
      <c r="DE38" s="811"/>
      <c r="DF38" s="811"/>
      <c r="DG38" s="811"/>
      <c r="DH38" s="811"/>
      <c r="DI38" s="811"/>
      <c r="DJ38" s="811"/>
      <c r="DK38" s="811"/>
      <c r="DL38" s="811"/>
      <c r="DM38" s="811"/>
      <c r="DN38" s="811"/>
      <c r="DO38" s="811"/>
      <c r="DP38" s="811"/>
      <c r="DQ38" s="811"/>
      <c r="DR38" s="812"/>
      <c r="DS38" s="810"/>
      <c r="DT38" s="811"/>
      <c r="DU38" s="811"/>
      <c r="DV38" s="811"/>
      <c r="DW38" s="811"/>
      <c r="DX38" s="811"/>
      <c r="DY38" s="811"/>
      <c r="DZ38" s="811"/>
      <c r="EA38" s="811"/>
      <c r="EB38" s="811"/>
      <c r="EC38" s="811"/>
      <c r="ED38" s="811"/>
      <c r="EE38" s="808"/>
      <c r="EF38" s="808"/>
      <c r="EG38" s="808"/>
      <c r="EH38" s="808"/>
      <c r="EI38" s="808"/>
      <c r="EJ38" s="808"/>
      <c r="EK38" s="808"/>
      <c r="EL38" s="808"/>
      <c r="EM38" s="808"/>
      <c r="EN38" s="808"/>
      <c r="EO38" s="808"/>
      <c r="EP38" s="808"/>
      <c r="EQ38" s="808"/>
      <c r="ER38" s="808"/>
      <c r="ES38" s="808"/>
      <c r="ET38" s="808"/>
      <c r="EU38" s="808"/>
      <c r="EV38" s="809"/>
      <c r="EW38" s="807"/>
      <c r="EX38" s="808"/>
      <c r="EY38" s="808"/>
      <c r="EZ38" s="808"/>
      <c r="FA38" s="808"/>
      <c r="FB38" s="808"/>
      <c r="FC38" s="808"/>
      <c r="FD38" s="808"/>
      <c r="FE38" s="808"/>
      <c r="FF38" s="808"/>
      <c r="FG38" s="808"/>
      <c r="FH38" s="808"/>
      <c r="FI38" s="808"/>
      <c r="FJ38" s="808"/>
      <c r="FK38" s="808"/>
      <c r="FL38" s="808"/>
      <c r="FM38" s="808"/>
      <c r="FN38" s="808"/>
      <c r="FO38" s="808"/>
      <c r="FP38" s="808"/>
      <c r="FQ38" s="808"/>
      <c r="FR38" s="808"/>
      <c r="FS38" s="808"/>
      <c r="FT38" s="808"/>
      <c r="FU38" s="808"/>
      <c r="FV38" s="808"/>
      <c r="FW38" s="808"/>
      <c r="FX38" s="808"/>
      <c r="FY38" s="808"/>
      <c r="FZ38" s="809"/>
      <c r="GA38" s="807"/>
      <c r="GB38" s="808"/>
      <c r="GC38" s="808"/>
      <c r="GD38" s="808"/>
      <c r="GE38" s="808"/>
      <c r="GF38" s="808"/>
      <c r="GG38" s="808"/>
      <c r="GH38" s="808"/>
      <c r="GI38" s="808"/>
      <c r="GJ38" s="808"/>
      <c r="GK38" s="808"/>
      <c r="GL38" s="808"/>
      <c r="GM38" s="808"/>
      <c r="GN38" s="808"/>
      <c r="GO38" s="808"/>
      <c r="GP38" s="808"/>
      <c r="GQ38" s="808"/>
      <c r="GR38" s="808"/>
      <c r="GS38" s="808"/>
      <c r="GT38" s="808"/>
      <c r="GU38" s="808"/>
      <c r="GV38" s="808"/>
      <c r="GW38" s="808"/>
      <c r="GX38" s="808"/>
      <c r="GY38" s="808"/>
      <c r="GZ38" s="808"/>
      <c r="HA38" s="808"/>
      <c r="HB38" s="808"/>
      <c r="HC38" s="808"/>
      <c r="HD38" s="809"/>
      <c r="HE38" s="807"/>
      <c r="HF38" s="808"/>
      <c r="HG38" s="808"/>
      <c r="HH38" s="808"/>
      <c r="HI38" s="808"/>
      <c r="HJ38" s="808"/>
      <c r="HK38" s="808"/>
      <c r="HL38" s="808"/>
      <c r="HM38" s="808"/>
      <c r="HN38" s="808"/>
      <c r="HO38" s="808"/>
      <c r="HP38" s="808"/>
      <c r="HQ38" s="808"/>
      <c r="HR38" s="808"/>
      <c r="HS38" s="808"/>
      <c r="HT38" s="808"/>
      <c r="HU38" s="808"/>
      <c r="HV38" s="808"/>
      <c r="HW38" s="808"/>
      <c r="HX38" s="808"/>
      <c r="HY38" s="808"/>
      <c r="HZ38" s="808"/>
      <c r="IA38" s="808"/>
      <c r="IB38" s="808"/>
      <c r="IC38" s="808"/>
      <c r="ID38" s="808"/>
      <c r="IE38" s="808"/>
      <c r="IF38" s="808"/>
      <c r="IG38" s="808"/>
      <c r="IH38" s="809"/>
    </row>
    <row r="39" spans="1:242" ht="39.75" customHeight="1" x14ac:dyDescent="0.25">
      <c r="A39" s="1438" t="s">
        <v>119</v>
      </c>
      <c r="B39" s="1439"/>
      <c r="C39" s="817"/>
      <c r="D39" s="818"/>
      <c r="E39" s="818"/>
      <c r="F39" s="818"/>
      <c r="G39" s="818"/>
      <c r="H39" s="818"/>
      <c r="I39" s="818"/>
      <c r="J39" s="818"/>
      <c r="K39" s="818"/>
      <c r="L39" s="818"/>
      <c r="M39" s="818"/>
      <c r="N39" s="818"/>
      <c r="O39" s="818"/>
      <c r="P39" s="818"/>
      <c r="Q39" s="818"/>
      <c r="R39" s="818"/>
      <c r="S39" s="818"/>
      <c r="T39" s="818"/>
      <c r="U39" s="818"/>
      <c r="V39" s="818"/>
      <c r="W39" s="818"/>
      <c r="X39" s="818"/>
      <c r="Y39" s="818"/>
      <c r="Z39" s="818"/>
      <c r="AA39" s="818"/>
      <c r="AB39" s="818"/>
      <c r="AC39" s="818"/>
      <c r="AD39" s="818"/>
      <c r="AE39" s="818"/>
      <c r="AF39" s="819"/>
      <c r="AG39" s="817"/>
      <c r="AH39" s="818"/>
      <c r="AI39" s="818"/>
      <c r="AJ39" s="818"/>
      <c r="AK39" s="818"/>
      <c r="AL39" s="818"/>
      <c r="AM39" s="818"/>
      <c r="AN39" s="818"/>
      <c r="AO39" s="818"/>
      <c r="AP39" s="818"/>
      <c r="AQ39" s="818"/>
      <c r="AR39" s="818"/>
      <c r="AS39" s="818"/>
      <c r="AT39" s="818"/>
      <c r="AU39" s="818"/>
      <c r="AV39" s="818"/>
      <c r="AW39" s="818"/>
      <c r="AX39" s="818"/>
      <c r="AY39" s="818"/>
      <c r="AZ39" s="818"/>
      <c r="BA39" s="818"/>
      <c r="BB39" s="818"/>
      <c r="BC39" s="818"/>
      <c r="BD39" s="818"/>
      <c r="BE39" s="818"/>
      <c r="BF39" s="818"/>
      <c r="BG39" s="818"/>
      <c r="BH39" s="818"/>
      <c r="BI39" s="818"/>
      <c r="BJ39" s="819"/>
      <c r="BK39" s="820"/>
      <c r="BL39" s="821"/>
      <c r="BM39" s="821"/>
      <c r="BN39" s="821"/>
      <c r="BO39" s="821"/>
      <c r="BP39" s="821"/>
      <c r="BQ39" s="821"/>
      <c r="BR39" s="821"/>
      <c r="BS39" s="821"/>
      <c r="BT39" s="821"/>
      <c r="BU39" s="821"/>
      <c r="BV39" s="821"/>
      <c r="BW39" s="821"/>
      <c r="BX39" s="821"/>
      <c r="BY39" s="821"/>
      <c r="BZ39" s="821"/>
      <c r="CA39" s="821"/>
      <c r="CB39" s="821"/>
      <c r="CC39" s="821"/>
      <c r="CD39" s="821"/>
      <c r="CE39" s="821"/>
      <c r="CF39" s="821"/>
      <c r="CG39" s="821"/>
      <c r="CH39" s="821"/>
      <c r="CI39" s="821"/>
      <c r="CJ39" s="821"/>
      <c r="CK39" s="821"/>
      <c r="CL39" s="821"/>
      <c r="CM39" s="821"/>
      <c r="CN39" s="822"/>
      <c r="CO39" s="820"/>
      <c r="CP39" s="821"/>
      <c r="CQ39" s="821"/>
      <c r="CR39" s="821"/>
      <c r="CS39" s="821"/>
      <c r="CT39" s="821"/>
      <c r="CU39" s="821"/>
      <c r="CV39" s="821"/>
      <c r="CW39" s="821"/>
      <c r="CX39" s="821"/>
      <c r="CY39" s="821"/>
      <c r="CZ39" s="821"/>
      <c r="DA39" s="821"/>
      <c r="DB39" s="821"/>
      <c r="DC39" s="821"/>
      <c r="DD39" s="821"/>
      <c r="DE39" s="821"/>
      <c r="DF39" s="821"/>
      <c r="DG39" s="821"/>
      <c r="DH39" s="821"/>
      <c r="DI39" s="821"/>
      <c r="DJ39" s="821"/>
      <c r="DK39" s="821"/>
      <c r="DL39" s="821"/>
      <c r="DM39" s="821"/>
      <c r="DN39" s="821"/>
      <c r="DO39" s="821"/>
      <c r="DP39" s="821"/>
      <c r="DQ39" s="821"/>
      <c r="DR39" s="822"/>
      <c r="DS39" s="820"/>
      <c r="DT39" s="821"/>
      <c r="DU39" s="821"/>
      <c r="DV39" s="821"/>
      <c r="DW39" s="821"/>
      <c r="DX39" s="821"/>
      <c r="DY39" s="821"/>
      <c r="DZ39" s="821"/>
      <c r="EA39" s="821"/>
      <c r="EB39" s="821"/>
      <c r="EC39" s="821"/>
      <c r="ED39" s="821"/>
      <c r="EE39" s="821"/>
      <c r="EF39" s="821"/>
      <c r="EG39" s="821"/>
      <c r="EH39" s="821"/>
      <c r="EI39" s="821"/>
      <c r="EJ39" s="821"/>
      <c r="EK39" s="821"/>
      <c r="EL39" s="821"/>
      <c r="EM39" s="821"/>
      <c r="EN39" s="821"/>
      <c r="EO39" s="821"/>
      <c r="EP39" s="821"/>
      <c r="EQ39" s="821"/>
      <c r="ER39" s="821"/>
      <c r="ES39" s="821"/>
      <c r="ET39" s="821"/>
      <c r="EU39" s="821"/>
      <c r="EV39" s="822"/>
      <c r="EW39" s="820"/>
      <c r="EX39" s="821"/>
      <c r="EY39" s="821"/>
      <c r="EZ39" s="821"/>
      <c r="FA39" s="821"/>
      <c r="FB39" s="821"/>
      <c r="FC39" s="821"/>
      <c r="FD39" s="821"/>
      <c r="FE39" s="821"/>
      <c r="FF39" s="821"/>
      <c r="FG39" s="821"/>
      <c r="FH39" s="821"/>
      <c r="FI39" s="821"/>
      <c r="FJ39" s="821"/>
      <c r="FK39" s="821"/>
      <c r="FL39" s="821"/>
      <c r="FM39" s="821"/>
      <c r="FN39" s="821"/>
      <c r="FO39" s="821"/>
      <c r="FP39" s="821"/>
      <c r="FQ39" s="821"/>
      <c r="FR39" s="821"/>
      <c r="FS39" s="821"/>
      <c r="FT39" s="821"/>
      <c r="FU39" s="821"/>
      <c r="FV39" s="821"/>
      <c r="FW39" s="821"/>
      <c r="FX39" s="821"/>
      <c r="FY39" s="821"/>
      <c r="FZ39" s="822"/>
      <c r="GA39" s="820"/>
      <c r="GB39" s="821"/>
      <c r="GC39" s="821"/>
      <c r="GD39" s="821"/>
      <c r="GE39" s="821"/>
      <c r="GF39" s="821"/>
      <c r="GG39" s="821"/>
      <c r="GH39" s="821"/>
      <c r="GI39" s="821"/>
      <c r="GJ39" s="821"/>
      <c r="GK39" s="821"/>
      <c r="GL39" s="821"/>
      <c r="GM39" s="821"/>
      <c r="GN39" s="821"/>
      <c r="GO39" s="821"/>
      <c r="GP39" s="821"/>
      <c r="GQ39" s="821"/>
      <c r="GR39" s="821"/>
      <c r="GS39" s="821"/>
      <c r="GT39" s="821"/>
      <c r="GU39" s="821"/>
      <c r="GV39" s="821"/>
      <c r="GW39" s="821"/>
      <c r="GX39" s="821"/>
      <c r="GY39" s="821"/>
      <c r="GZ39" s="821"/>
      <c r="HA39" s="821"/>
      <c r="HB39" s="821"/>
      <c r="HC39" s="821"/>
      <c r="HD39" s="822"/>
      <c r="HE39" s="820"/>
      <c r="HF39" s="821"/>
      <c r="HG39" s="821"/>
      <c r="HH39" s="821"/>
      <c r="HI39" s="821"/>
      <c r="HJ39" s="821"/>
      <c r="HK39" s="821"/>
      <c r="HL39" s="821"/>
      <c r="HM39" s="821"/>
      <c r="HN39" s="821"/>
      <c r="HO39" s="821"/>
      <c r="HP39" s="821"/>
      <c r="HQ39" s="821"/>
      <c r="HR39" s="821"/>
      <c r="HS39" s="821"/>
      <c r="HT39" s="821"/>
      <c r="HU39" s="821"/>
      <c r="HV39" s="821"/>
      <c r="HW39" s="821"/>
      <c r="HX39" s="821"/>
      <c r="HY39" s="821"/>
      <c r="HZ39" s="821"/>
      <c r="IA39" s="821"/>
      <c r="IB39" s="821"/>
      <c r="IC39" s="821"/>
      <c r="ID39" s="821"/>
      <c r="IE39" s="821"/>
      <c r="IF39" s="821"/>
      <c r="IG39" s="821"/>
      <c r="IH39" s="822"/>
    </row>
    <row r="40" spans="1:242" ht="45" customHeight="1" x14ac:dyDescent="0.25">
      <c r="A40" s="823">
        <v>660.1</v>
      </c>
      <c r="B40" s="824" t="s">
        <v>47</v>
      </c>
      <c r="C40" s="825"/>
      <c r="D40" s="826"/>
      <c r="E40" s="826"/>
      <c r="F40" s="826"/>
      <c r="G40" s="826"/>
      <c r="H40" s="826"/>
      <c r="I40" s="826"/>
      <c r="J40" s="826"/>
      <c r="K40" s="826"/>
      <c r="L40" s="826"/>
      <c r="M40" s="826"/>
      <c r="N40" s="826"/>
      <c r="O40" s="826"/>
      <c r="P40" s="826"/>
      <c r="Q40" s="826"/>
      <c r="R40" s="826"/>
      <c r="S40" s="826"/>
      <c r="T40" s="826"/>
      <c r="U40" s="826"/>
      <c r="V40" s="826"/>
      <c r="W40" s="826"/>
      <c r="X40" s="826"/>
      <c r="Y40" s="826"/>
      <c r="Z40" s="826"/>
      <c r="AA40" s="826"/>
      <c r="AB40" s="826"/>
      <c r="AC40" s="826"/>
      <c r="AD40" s="826"/>
      <c r="AE40" s="826"/>
      <c r="AF40" s="824"/>
      <c r="AG40" s="825"/>
      <c r="AH40" s="826"/>
      <c r="AI40" s="826"/>
      <c r="AJ40" s="826"/>
      <c r="AK40" s="826"/>
      <c r="AL40" s="826"/>
      <c r="AM40" s="826"/>
      <c r="AN40" s="826"/>
      <c r="AO40" s="826"/>
      <c r="AP40" s="826"/>
      <c r="AQ40" s="826"/>
      <c r="AR40" s="826"/>
      <c r="AS40" s="826"/>
      <c r="AT40" s="826"/>
      <c r="AU40" s="826"/>
      <c r="AV40" s="826"/>
      <c r="AW40" s="826"/>
      <c r="AX40" s="826"/>
      <c r="AY40" s="826"/>
      <c r="AZ40" s="826"/>
      <c r="BA40" s="826"/>
      <c r="BB40" s="826"/>
      <c r="BC40" s="826"/>
      <c r="BD40" s="826"/>
      <c r="BE40" s="826"/>
      <c r="BF40" s="826"/>
      <c r="BG40" s="826"/>
      <c r="BH40" s="826"/>
      <c r="BI40" s="826"/>
      <c r="BJ40" s="824"/>
      <c r="BK40" s="807"/>
      <c r="BL40" s="808"/>
      <c r="BM40" s="808"/>
      <c r="BN40" s="808"/>
      <c r="BO40" s="808"/>
      <c r="BP40" s="808"/>
      <c r="BQ40" s="808"/>
      <c r="BR40" s="808"/>
      <c r="BS40" s="808"/>
      <c r="BT40" s="808"/>
      <c r="BU40" s="808"/>
      <c r="BV40" s="808"/>
      <c r="BW40" s="808"/>
      <c r="BX40" s="808"/>
      <c r="BY40" s="808"/>
      <c r="BZ40" s="808"/>
      <c r="CA40" s="808"/>
      <c r="CB40" s="808"/>
      <c r="CC40" s="808"/>
      <c r="CD40" s="808"/>
      <c r="CE40" s="808"/>
      <c r="CF40" s="808"/>
      <c r="CG40" s="808"/>
      <c r="CH40" s="808"/>
      <c r="CI40" s="808"/>
      <c r="CJ40" s="808"/>
      <c r="CK40" s="808"/>
      <c r="CL40" s="808"/>
      <c r="CM40" s="808"/>
      <c r="CN40" s="809"/>
      <c r="CO40" s="807"/>
      <c r="CP40" s="808"/>
      <c r="CQ40" s="808"/>
      <c r="CR40" s="808"/>
      <c r="CS40" s="808"/>
      <c r="CT40" s="808"/>
      <c r="CU40" s="808"/>
      <c r="CV40" s="808"/>
      <c r="CW40" s="808"/>
      <c r="CX40" s="808"/>
      <c r="CY40" s="808"/>
      <c r="CZ40" s="808"/>
      <c r="DA40" s="808"/>
      <c r="DB40" s="808"/>
      <c r="DC40" s="808"/>
      <c r="DD40" s="808"/>
      <c r="DE40" s="808"/>
      <c r="DF40" s="808"/>
      <c r="DG40" s="808"/>
      <c r="DH40" s="808"/>
      <c r="DI40" s="808"/>
      <c r="DJ40" s="808"/>
      <c r="DK40" s="808"/>
      <c r="DL40" s="808"/>
      <c r="DM40" s="808"/>
      <c r="DN40" s="808"/>
      <c r="DO40" s="808"/>
      <c r="DP40" s="808"/>
      <c r="DQ40" s="808"/>
      <c r="DR40" s="809"/>
      <c r="DS40" s="807"/>
      <c r="DT40" s="808"/>
      <c r="DU40" s="808"/>
      <c r="DV40" s="808"/>
      <c r="DW40" s="808"/>
      <c r="DX40" s="808"/>
      <c r="DY40" s="808"/>
      <c r="DZ40" s="808"/>
      <c r="EA40" s="811"/>
      <c r="EB40" s="811"/>
      <c r="EC40" s="811"/>
      <c r="ED40" s="811"/>
      <c r="EE40" s="811"/>
      <c r="EF40" s="811"/>
      <c r="EG40" s="811"/>
      <c r="EH40" s="811"/>
      <c r="EI40" s="811"/>
      <c r="EJ40" s="811"/>
      <c r="EK40" s="811"/>
      <c r="EL40" s="811"/>
      <c r="EM40" s="811"/>
      <c r="EN40" s="811"/>
      <c r="EO40" s="811"/>
      <c r="EP40" s="811"/>
      <c r="EQ40" s="811"/>
      <c r="ER40" s="811"/>
      <c r="ES40" s="811"/>
      <c r="ET40" s="811"/>
      <c r="EU40" s="811"/>
      <c r="EV40" s="812"/>
      <c r="EW40" s="810"/>
      <c r="EX40" s="811"/>
      <c r="EY40" s="811"/>
      <c r="EZ40" s="811"/>
      <c r="FA40" s="811"/>
      <c r="FB40" s="811"/>
      <c r="FC40" s="811"/>
      <c r="FD40" s="811"/>
      <c r="FE40" s="808"/>
      <c r="FF40" s="808"/>
      <c r="FG40" s="808"/>
      <c r="FH40" s="808"/>
      <c r="FI40" s="808"/>
      <c r="FJ40" s="808"/>
      <c r="FK40" s="808"/>
      <c r="FL40" s="808"/>
      <c r="FM40" s="808"/>
      <c r="FN40" s="808"/>
      <c r="FO40" s="808"/>
      <c r="FP40" s="808"/>
      <c r="FQ40" s="808"/>
      <c r="FR40" s="808"/>
      <c r="FS40" s="808"/>
      <c r="FT40" s="808"/>
      <c r="FU40" s="808"/>
      <c r="FV40" s="808"/>
      <c r="FW40" s="808"/>
      <c r="FX40" s="808"/>
      <c r="FY40" s="808"/>
      <c r="FZ40" s="809"/>
      <c r="GA40" s="807"/>
      <c r="GB40" s="808"/>
      <c r="GC40" s="808"/>
      <c r="GD40" s="808"/>
      <c r="GE40" s="808"/>
      <c r="GF40" s="808"/>
      <c r="GG40" s="808"/>
      <c r="GH40" s="808"/>
      <c r="GI40" s="808"/>
      <c r="GJ40" s="808"/>
      <c r="GK40" s="808"/>
      <c r="GL40" s="808"/>
      <c r="GM40" s="808"/>
      <c r="GN40" s="808"/>
      <c r="GO40" s="808"/>
      <c r="GP40" s="808"/>
      <c r="GQ40" s="808"/>
      <c r="GR40" s="808"/>
      <c r="GS40" s="808"/>
      <c r="GT40" s="808"/>
      <c r="GU40" s="808"/>
      <c r="GV40" s="808"/>
      <c r="GW40" s="808"/>
      <c r="GX40" s="808"/>
      <c r="GY40" s="808"/>
      <c r="GZ40" s="808"/>
      <c r="HA40" s="808"/>
      <c r="HB40" s="808"/>
      <c r="HC40" s="808"/>
      <c r="HD40" s="809"/>
      <c r="HE40" s="807"/>
      <c r="HF40" s="808"/>
      <c r="HG40" s="808"/>
      <c r="HH40" s="808"/>
      <c r="HI40" s="808"/>
      <c r="HJ40" s="808"/>
      <c r="HK40" s="808"/>
      <c r="HL40" s="808"/>
      <c r="HM40" s="808"/>
      <c r="HN40" s="808"/>
      <c r="HO40" s="808"/>
      <c r="HP40" s="808"/>
      <c r="HQ40" s="808"/>
      <c r="HR40" s="808"/>
      <c r="HS40" s="808"/>
      <c r="HT40" s="808"/>
      <c r="HU40" s="808"/>
      <c r="HV40" s="808"/>
      <c r="HW40" s="808"/>
      <c r="HX40" s="808"/>
      <c r="HY40" s="808"/>
      <c r="HZ40" s="808"/>
      <c r="IA40" s="808"/>
      <c r="IB40" s="808"/>
      <c r="IC40" s="808"/>
      <c r="ID40" s="808"/>
      <c r="IE40" s="808"/>
      <c r="IF40" s="808"/>
      <c r="IG40" s="808"/>
      <c r="IH40" s="809"/>
    </row>
    <row r="41" spans="1:242" x14ac:dyDescent="0.25">
      <c r="A41" s="823" t="s">
        <v>48</v>
      </c>
      <c r="B41" s="824" t="s">
        <v>49</v>
      </c>
      <c r="C41" s="825"/>
      <c r="D41" s="826"/>
      <c r="E41" s="826"/>
      <c r="F41" s="826"/>
      <c r="G41" s="826"/>
      <c r="H41" s="826"/>
      <c r="I41" s="826"/>
      <c r="J41" s="826"/>
      <c r="K41" s="826"/>
      <c r="L41" s="826"/>
      <c r="M41" s="826"/>
      <c r="N41" s="826"/>
      <c r="O41" s="826"/>
      <c r="P41" s="826"/>
      <c r="Q41" s="826"/>
      <c r="R41" s="826"/>
      <c r="S41" s="826"/>
      <c r="T41" s="826"/>
      <c r="U41" s="826"/>
      <c r="V41" s="826"/>
      <c r="W41" s="826"/>
      <c r="X41" s="826"/>
      <c r="Y41" s="826"/>
      <c r="Z41" s="826"/>
      <c r="AA41" s="826"/>
      <c r="AB41" s="826"/>
      <c r="AC41" s="826"/>
      <c r="AD41" s="826"/>
      <c r="AE41" s="826"/>
      <c r="AF41" s="824"/>
      <c r="AG41" s="825"/>
      <c r="AH41" s="826"/>
      <c r="AI41" s="826"/>
      <c r="AJ41" s="826"/>
      <c r="AK41" s="826"/>
      <c r="AL41" s="826"/>
      <c r="AM41" s="826"/>
      <c r="AN41" s="826"/>
      <c r="AO41" s="826"/>
      <c r="AP41" s="826"/>
      <c r="AQ41" s="826"/>
      <c r="AR41" s="826"/>
      <c r="AS41" s="826"/>
      <c r="AT41" s="826"/>
      <c r="AU41" s="826"/>
      <c r="AV41" s="826"/>
      <c r="AW41" s="826"/>
      <c r="AX41" s="826"/>
      <c r="AY41" s="826"/>
      <c r="AZ41" s="826"/>
      <c r="BA41" s="826"/>
      <c r="BB41" s="826"/>
      <c r="BC41" s="826"/>
      <c r="BD41" s="826"/>
      <c r="BE41" s="826"/>
      <c r="BF41" s="826"/>
      <c r="BG41" s="826"/>
      <c r="BH41" s="826"/>
      <c r="BI41" s="826"/>
      <c r="BJ41" s="824"/>
      <c r="BK41" s="807"/>
      <c r="BL41" s="808"/>
      <c r="BM41" s="808"/>
      <c r="BN41" s="808"/>
      <c r="BO41" s="808"/>
      <c r="BP41" s="808"/>
      <c r="BQ41" s="808"/>
      <c r="BR41" s="808"/>
      <c r="BS41" s="808"/>
      <c r="BT41" s="808"/>
      <c r="BU41" s="808"/>
      <c r="BV41" s="808"/>
      <c r="BW41" s="808"/>
      <c r="BX41" s="808"/>
      <c r="BY41" s="808"/>
      <c r="BZ41" s="808"/>
      <c r="CA41" s="808"/>
      <c r="CB41" s="808"/>
      <c r="CC41" s="808"/>
      <c r="CD41" s="808"/>
      <c r="CE41" s="808"/>
      <c r="CF41" s="808"/>
      <c r="CG41" s="808"/>
      <c r="CH41" s="808"/>
      <c r="CI41" s="808"/>
      <c r="CJ41" s="808"/>
      <c r="CK41" s="808"/>
      <c r="CL41" s="808"/>
      <c r="CM41" s="808"/>
      <c r="CN41" s="809"/>
      <c r="CO41" s="807"/>
      <c r="CP41" s="808"/>
      <c r="CQ41" s="808"/>
      <c r="CR41" s="808"/>
      <c r="CS41" s="808"/>
      <c r="CT41" s="808"/>
      <c r="CU41" s="808"/>
      <c r="CV41" s="808"/>
      <c r="CW41" s="808"/>
      <c r="CX41" s="808"/>
      <c r="CY41" s="808"/>
      <c r="CZ41" s="808"/>
      <c r="DA41" s="808"/>
      <c r="DB41" s="808"/>
      <c r="DC41" s="808"/>
      <c r="DD41" s="808"/>
      <c r="DE41" s="808"/>
      <c r="DF41" s="808"/>
      <c r="DG41" s="808"/>
      <c r="DH41" s="808"/>
      <c r="DI41" s="808"/>
      <c r="DJ41" s="808"/>
      <c r="DK41" s="808"/>
      <c r="DL41" s="808"/>
      <c r="DM41" s="808"/>
      <c r="DN41" s="808"/>
      <c r="DO41" s="808"/>
      <c r="DP41" s="808"/>
      <c r="DQ41" s="808"/>
      <c r="DR41" s="809"/>
      <c r="DS41" s="807"/>
      <c r="DT41" s="808"/>
      <c r="DU41" s="808"/>
      <c r="DV41" s="808"/>
      <c r="DW41" s="808"/>
      <c r="DX41" s="808"/>
      <c r="DY41" s="808"/>
      <c r="DZ41" s="808"/>
      <c r="EA41" s="811"/>
      <c r="EB41" s="811"/>
      <c r="EC41" s="811"/>
      <c r="ED41" s="811"/>
      <c r="EE41" s="811"/>
      <c r="EF41" s="811"/>
      <c r="EG41" s="811"/>
      <c r="EH41" s="811"/>
      <c r="EI41" s="811"/>
      <c r="EJ41" s="811"/>
      <c r="EK41" s="811"/>
      <c r="EL41" s="811"/>
      <c r="EM41" s="811"/>
      <c r="EN41" s="811"/>
      <c r="EO41" s="811"/>
      <c r="EP41" s="811"/>
      <c r="EQ41" s="811"/>
      <c r="ER41" s="811"/>
      <c r="ES41" s="811"/>
      <c r="ET41" s="811"/>
      <c r="EU41" s="811"/>
      <c r="EV41" s="812"/>
      <c r="EW41" s="810"/>
      <c r="EX41" s="811"/>
      <c r="EY41" s="811"/>
      <c r="EZ41" s="811"/>
      <c r="FA41" s="811"/>
      <c r="FB41" s="811"/>
      <c r="FC41" s="811"/>
      <c r="FD41" s="811"/>
      <c r="FE41" s="808"/>
      <c r="FF41" s="808"/>
      <c r="FG41" s="808"/>
      <c r="FH41" s="808"/>
      <c r="FI41" s="808"/>
      <c r="FJ41" s="808"/>
      <c r="FK41" s="808"/>
      <c r="FL41" s="808"/>
      <c r="FM41" s="808"/>
      <c r="FN41" s="808"/>
      <c r="FO41" s="808"/>
      <c r="FP41" s="808"/>
      <c r="FQ41" s="808"/>
      <c r="FR41" s="808"/>
      <c r="FS41" s="808"/>
      <c r="FT41" s="808"/>
      <c r="FU41" s="808"/>
      <c r="FV41" s="808"/>
      <c r="FW41" s="808"/>
      <c r="FX41" s="808"/>
      <c r="FY41" s="808"/>
      <c r="FZ41" s="809"/>
      <c r="GA41" s="807"/>
      <c r="GB41" s="808"/>
      <c r="GC41" s="808"/>
      <c r="GD41" s="808"/>
      <c r="GE41" s="808"/>
      <c r="GF41" s="808"/>
      <c r="GG41" s="808"/>
      <c r="GH41" s="808"/>
      <c r="GI41" s="808"/>
      <c r="GJ41" s="808"/>
      <c r="GK41" s="808"/>
      <c r="GL41" s="808"/>
      <c r="GM41" s="808"/>
      <c r="GN41" s="808"/>
      <c r="GO41" s="808"/>
      <c r="GP41" s="808"/>
      <c r="GQ41" s="808"/>
      <c r="GR41" s="808"/>
      <c r="GS41" s="808"/>
      <c r="GT41" s="808"/>
      <c r="GU41" s="808"/>
      <c r="GV41" s="808"/>
      <c r="GW41" s="808"/>
      <c r="GX41" s="808"/>
      <c r="GY41" s="808"/>
      <c r="GZ41" s="808"/>
      <c r="HA41" s="808"/>
      <c r="HB41" s="808"/>
      <c r="HC41" s="808"/>
      <c r="HD41" s="809"/>
      <c r="HE41" s="807"/>
      <c r="HF41" s="808"/>
      <c r="HG41" s="808"/>
      <c r="HH41" s="808"/>
      <c r="HI41" s="808"/>
      <c r="HJ41" s="808"/>
      <c r="HK41" s="808"/>
      <c r="HL41" s="808"/>
      <c r="HM41" s="808"/>
      <c r="HN41" s="808"/>
      <c r="HO41" s="808"/>
      <c r="HP41" s="808"/>
      <c r="HQ41" s="808"/>
      <c r="HR41" s="808"/>
      <c r="HS41" s="808"/>
      <c r="HT41" s="808"/>
      <c r="HU41" s="808"/>
      <c r="HV41" s="808"/>
      <c r="HW41" s="808"/>
      <c r="HX41" s="808"/>
      <c r="HY41" s="808"/>
      <c r="HZ41" s="808"/>
      <c r="IA41" s="808"/>
      <c r="IB41" s="808"/>
      <c r="IC41" s="808"/>
      <c r="ID41" s="808"/>
      <c r="IE41" s="808"/>
      <c r="IF41" s="808"/>
      <c r="IG41" s="808"/>
      <c r="IH41" s="809"/>
    </row>
    <row r="42" spans="1:242" s="833" customFormat="1" ht="33" customHeight="1" x14ac:dyDescent="0.25">
      <c r="A42" s="1456" t="s">
        <v>120</v>
      </c>
      <c r="B42" s="1457"/>
      <c r="C42" s="827"/>
      <c r="D42" s="828"/>
      <c r="E42" s="828"/>
      <c r="F42" s="828"/>
      <c r="G42" s="828"/>
      <c r="H42" s="828"/>
      <c r="I42" s="828"/>
      <c r="J42" s="828"/>
      <c r="K42" s="828"/>
      <c r="L42" s="828"/>
      <c r="M42" s="828"/>
      <c r="N42" s="828"/>
      <c r="O42" s="828"/>
      <c r="P42" s="828"/>
      <c r="Q42" s="828"/>
      <c r="R42" s="828"/>
      <c r="S42" s="828"/>
      <c r="T42" s="828"/>
      <c r="U42" s="828"/>
      <c r="V42" s="828"/>
      <c r="W42" s="828"/>
      <c r="X42" s="828"/>
      <c r="Y42" s="828"/>
      <c r="Z42" s="828"/>
      <c r="AA42" s="828"/>
      <c r="AB42" s="828"/>
      <c r="AC42" s="828"/>
      <c r="AD42" s="828"/>
      <c r="AE42" s="828"/>
      <c r="AF42" s="829"/>
      <c r="AG42" s="827"/>
      <c r="AH42" s="828"/>
      <c r="AI42" s="828"/>
      <c r="AJ42" s="828"/>
      <c r="AK42" s="828"/>
      <c r="AL42" s="828"/>
      <c r="AM42" s="828"/>
      <c r="AN42" s="828"/>
      <c r="AO42" s="828"/>
      <c r="AP42" s="828"/>
      <c r="AQ42" s="828"/>
      <c r="AR42" s="828"/>
      <c r="AS42" s="828"/>
      <c r="AT42" s="828"/>
      <c r="AU42" s="828"/>
      <c r="AV42" s="828"/>
      <c r="AW42" s="828"/>
      <c r="AX42" s="828"/>
      <c r="AY42" s="828"/>
      <c r="AZ42" s="828"/>
      <c r="BA42" s="828"/>
      <c r="BB42" s="828"/>
      <c r="BC42" s="828"/>
      <c r="BD42" s="828"/>
      <c r="BE42" s="828"/>
      <c r="BF42" s="828"/>
      <c r="BG42" s="828"/>
      <c r="BH42" s="828"/>
      <c r="BI42" s="828"/>
      <c r="BJ42" s="829"/>
      <c r="BK42" s="830"/>
      <c r="BL42" s="831"/>
      <c r="BM42" s="831"/>
      <c r="BN42" s="831"/>
      <c r="BO42" s="831"/>
      <c r="BP42" s="831"/>
      <c r="BQ42" s="831"/>
      <c r="BR42" s="831"/>
      <c r="BS42" s="831"/>
      <c r="BT42" s="831"/>
      <c r="BU42" s="831"/>
      <c r="BV42" s="831"/>
      <c r="BW42" s="831"/>
      <c r="BX42" s="831"/>
      <c r="BY42" s="831"/>
      <c r="BZ42" s="831"/>
      <c r="CA42" s="831"/>
      <c r="CB42" s="831"/>
      <c r="CC42" s="831"/>
      <c r="CD42" s="831"/>
      <c r="CE42" s="831"/>
      <c r="CF42" s="831"/>
      <c r="CG42" s="831"/>
      <c r="CH42" s="831"/>
      <c r="CI42" s="831"/>
      <c r="CJ42" s="831"/>
      <c r="CK42" s="831"/>
      <c r="CL42" s="831"/>
      <c r="CM42" s="831"/>
      <c r="CN42" s="832"/>
      <c r="CO42" s="830"/>
      <c r="CP42" s="831"/>
      <c r="CQ42" s="831"/>
      <c r="CR42" s="831"/>
      <c r="CS42" s="831"/>
      <c r="CT42" s="831"/>
      <c r="CU42" s="831"/>
      <c r="CV42" s="831"/>
      <c r="CW42" s="831"/>
      <c r="CX42" s="831"/>
      <c r="CY42" s="831"/>
      <c r="CZ42" s="831"/>
      <c r="DA42" s="831"/>
      <c r="DB42" s="831"/>
      <c r="DC42" s="831"/>
      <c r="DD42" s="831"/>
      <c r="DE42" s="831"/>
      <c r="DF42" s="831"/>
      <c r="DG42" s="831"/>
      <c r="DH42" s="831"/>
      <c r="DI42" s="831"/>
      <c r="DJ42" s="831"/>
      <c r="DK42" s="831"/>
      <c r="DL42" s="831"/>
      <c r="DM42" s="831"/>
      <c r="DN42" s="831"/>
      <c r="DO42" s="831"/>
      <c r="DP42" s="831"/>
      <c r="DQ42" s="831"/>
      <c r="DR42" s="832"/>
      <c r="DS42" s="830"/>
      <c r="DT42" s="831"/>
      <c r="DU42" s="831"/>
      <c r="DV42" s="831"/>
      <c r="DW42" s="831"/>
      <c r="DX42" s="831"/>
      <c r="DY42" s="831"/>
      <c r="DZ42" s="831"/>
      <c r="EA42" s="831"/>
      <c r="EB42" s="831"/>
      <c r="EC42" s="831"/>
      <c r="ED42" s="831"/>
      <c r="EE42" s="831"/>
      <c r="EF42" s="831"/>
      <c r="EG42" s="831"/>
      <c r="EH42" s="831"/>
      <c r="EI42" s="831"/>
      <c r="EJ42" s="831"/>
      <c r="EK42" s="831"/>
      <c r="EL42" s="831"/>
      <c r="EM42" s="831"/>
      <c r="EN42" s="831"/>
      <c r="EO42" s="831"/>
      <c r="EP42" s="831"/>
      <c r="EQ42" s="831"/>
      <c r="ER42" s="831"/>
      <c r="ES42" s="831"/>
      <c r="ET42" s="831"/>
      <c r="EU42" s="831"/>
      <c r="EV42" s="832"/>
      <c r="EW42" s="830"/>
      <c r="EX42" s="831"/>
      <c r="EY42" s="831"/>
      <c r="EZ42" s="831"/>
      <c r="FA42" s="831"/>
      <c r="FB42" s="831"/>
      <c r="FC42" s="831"/>
      <c r="FD42" s="831"/>
      <c r="FE42" s="831"/>
      <c r="FF42" s="831"/>
      <c r="FG42" s="831"/>
      <c r="FH42" s="831"/>
      <c r="FI42" s="831"/>
      <c r="FJ42" s="831"/>
      <c r="FK42" s="831"/>
      <c r="FL42" s="831"/>
      <c r="FM42" s="831"/>
      <c r="FN42" s="831"/>
      <c r="FO42" s="831"/>
      <c r="FP42" s="831"/>
      <c r="FQ42" s="831"/>
      <c r="FR42" s="831"/>
      <c r="FS42" s="831"/>
      <c r="FT42" s="831"/>
      <c r="FU42" s="831"/>
      <c r="FV42" s="831"/>
      <c r="FW42" s="831"/>
      <c r="FX42" s="831"/>
      <c r="FY42" s="831"/>
      <c r="FZ42" s="832"/>
      <c r="GA42" s="830"/>
      <c r="GB42" s="831"/>
      <c r="GC42" s="831"/>
      <c r="GD42" s="831"/>
      <c r="GE42" s="831"/>
      <c r="GF42" s="831"/>
      <c r="GG42" s="831"/>
      <c r="GH42" s="831"/>
      <c r="GI42" s="831"/>
      <c r="GJ42" s="831"/>
      <c r="GK42" s="831"/>
      <c r="GL42" s="831"/>
      <c r="GM42" s="831"/>
      <c r="GN42" s="831"/>
      <c r="GO42" s="831"/>
      <c r="GP42" s="831"/>
      <c r="GQ42" s="831"/>
      <c r="GR42" s="831"/>
      <c r="GS42" s="831"/>
      <c r="GT42" s="831"/>
      <c r="GU42" s="831"/>
      <c r="GV42" s="831"/>
      <c r="GW42" s="831"/>
      <c r="GX42" s="831"/>
      <c r="GY42" s="831"/>
      <c r="GZ42" s="831"/>
      <c r="HA42" s="831"/>
      <c r="HB42" s="831"/>
      <c r="HC42" s="831"/>
      <c r="HD42" s="832"/>
      <c r="HE42" s="830"/>
      <c r="HF42" s="831"/>
      <c r="HG42" s="831"/>
      <c r="HH42" s="831"/>
      <c r="HI42" s="831"/>
      <c r="HJ42" s="831"/>
      <c r="HK42" s="831"/>
      <c r="HL42" s="831"/>
      <c r="HM42" s="831"/>
      <c r="HN42" s="831"/>
      <c r="HO42" s="831"/>
      <c r="HP42" s="831"/>
      <c r="HQ42" s="831"/>
      <c r="HR42" s="831"/>
      <c r="HS42" s="831"/>
      <c r="HT42" s="831"/>
      <c r="HU42" s="831"/>
      <c r="HV42" s="831"/>
      <c r="HW42" s="831"/>
      <c r="HX42" s="831"/>
      <c r="HY42" s="831"/>
      <c r="HZ42" s="831"/>
      <c r="IA42" s="831"/>
      <c r="IB42" s="831"/>
      <c r="IC42" s="831"/>
      <c r="ID42" s="831"/>
      <c r="IE42" s="831"/>
      <c r="IF42" s="831"/>
      <c r="IG42" s="831"/>
      <c r="IH42" s="832"/>
    </row>
    <row r="43" spans="1:242" x14ac:dyDescent="0.25">
      <c r="A43" s="823" t="s">
        <v>50</v>
      </c>
      <c r="B43" s="824" t="s">
        <v>123</v>
      </c>
      <c r="C43" s="825"/>
      <c r="D43" s="826"/>
      <c r="E43" s="826"/>
      <c r="F43" s="826"/>
      <c r="G43" s="826"/>
      <c r="H43" s="826"/>
      <c r="I43" s="826"/>
      <c r="J43" s="826"/>
      <c r="K43" s="826"/>
      <c r="L43" s="826"/>
      <c r="M43" s="826"/>
      <c r="N43" s="826"/>
      <c r="O43" s="826"/>
      <c r="P43" s="826"/>
      <c r="Q43" s="826"/>
      <c r="R43" s="826"/>
      <c r="S43" s="826"/>
      <c r="T43" s="826"/>
      <c r="U43" s="826"/>
      <c r="V43" s="826"/>
      <c r="W43" s="826"/>
      <c r="X43" s="826"/>
      <c r="Y43" s="826"/>
      <c r="Z43" s="826"/>
      <c r="AA43" s="826"/>
      <c r="AB43" s="826"/>
      <c r="AC43" s="826"/>
      <c r="AD43" s="826"/>
      <c r="AE43" s="826"/>
      <c r="AF43" s="824"/>
      <c r="AG43" s="825"/>
      <c r="AH43" s="826"/>
      <c r="AI43" s="826"/>
      <c r="AJ43" s="826"/>
      <c r="AK43" s="826"/>
      <c r="AL43" s="826"/>
      <c r="AM43" s="826"/>
      <c r="AN43" s="826"/>
      <c r="AO43" s="826"/>
      <c r="AP43" s="826"/>
      <c r="AQ43" s="826"/>
      <c r="AR43" s="826"/>
      <c r="AS43" s="826"/>
      <c r="AT43" s="826"/>
      <c r="AU43" s="826"/>
      <c r="AV43" s="826"/>
      <c r="AW43" s="826"/>
      <c r="AX43" s="826"/>
      <c r="AY43" s="826"/>
      <c r="AZ43" s="826"/>
      <c r="BA43" s="826"/>
      <c r="BB43" s="826"/>
      <c r="BC43" s="826"/>
      <c r="BD43" s="826"/>
      <c r="BE43" s="826"/>
      <c r="BF43" s="826"/>
      <c r="BG43" s="826"/>
      <c r="BH43" s="826"/>
      <c r="BI43" s="826"/>
      <c r="BJ43" s="824"/>
      <c r="BK43" s="807"/>
      <c r="BL43" s="808"/>
      <c r="BM43" s="808"/>
      <c r="BN43" s="808"/>
      <c r="BO43" s="808"/>
      <c r="BP43" s="808"/>
      <c r="BQ43" s="808"/>
      <c r="BR43" s="808"/>
      <c r="BS43" s="808"/>
      <c r="BT43" s="808"/>
      <c r="BU43" s="808"/>
      <c r="BV43" s="808"/>
      <c r="BW43" s="808"/>
      <c r="BX43" s="808"/>
      <c r="BY43" s="808"/>
      <c r="BZ43" s="808"/>
      <c r="CA43" s="808"/>
      <c r="CB43" s="808"/>
      <c r="CC43" s="808"/>
      <c r="CD43" s="808"/>
      <c r="CE43" s="808"/>
      <c r="CF43" s="808"/>
      <c r="CG43" s="808"/>
      <c r="CH43" s="808"/>
      <c r="CI43" s="808"/>
      <c r="CJ43" s="808"/>
      <c r="CK43" s="808"/>
      <c r="CL43" s="808"/>
      <c r="CM43" s="808"/>
      <c r="CN43" s="809"/>
      <c r="CO43" s="807"/>
      <c r="CP43" s="808"/>
      <c r="CQ43" s="808"/>
      <c r="CR43" s="808"/>
      <c r="CS43" s="811"/>
      <c r="CT43" s="811"/>
      <c r="CU43" s="811"/>
      <c r="CV43" s="811"/>
      <c r="CW43" s="811"/>
      <c r="CX43" s="811"/>
      <c r="CY43" s="811"/>
      <c r="CZ43" s="811"/>
      <c r="DA43" s="811"/>
      <c r="DB43" s="811"/>
      <c r="DC43" s="811"/>
      <c r="DD43" s="811"/>
      <c r="DE43" s="811"/>
      <c r="DF43" s="811"/>
      <c r="DG43" s="811"/>
      <c r="DH43" s="811"/>
      <c r="DI43" s="811"/>
      <c r="DJ43" s="811"/>
      <c r="DK43" s="811"/>
      <c r="DL43" s="811"/>
      <c r="DM43" s="811"/>
      <c r="DN43" s="811"/>
      <c r="DO43" s="811"/>
      <c r="DP43" s="811"/>
      <c r="DQ43" s="811"/>
      <c r="DR43" s="812"/>
      <c r="DS43" s="810"/>
      <c r="DT43" s="811"/>
      <c r="DU43" s="811"/>
      <c r="DV43" s="811"/>
      <c r="DW43" s="811"/>
      <c r="DX43" s="811"/>
      <c r="DY43" s="811"/>
      <c r="DZ43" s="811"/>
      <c r="EA43" s="811"/>
      <c r="EB43" s="811"/>
      <c r="EC43" s="811"/>
      <c r="ED43" s="811"/>
      <c r="EE43" s="811"/>
      <c r="EF43" s="811"/>
      <c r="EG43" s="811"/>
      <c r="EH43" s="811"/>
      <c r="EI43" s="811"/>
      <c r="EJ43" s="811"/>
      <c r="EK43" s="811"/>
      <c r="EL43" s="811"/>
      <c r="EM43" s="811"/>
      <c r="EN43" s="811"/>
      <c r="EO43" s="811"/>
      <c r="EP43" s="811"/>
      <c r="EQ43" s="808"/>
      <c r="ER43" s="808"/>
      <c r="ES43" s="808"/>
      <c r="ET43" s="808"/>
      <c r="EU43" s="808"/>
      <c r="EV43" s="809"/>
      <c r="EW43" s="807"/>
      <c r="EX43" s="808"/>
      <c r="EY43" s="808"/>
      <c r="EZ43" s="808"/>
      <c r="FA43" s="808"/>
      <c r="FB43" s="808"/>
      <c r="FC43" s="808"/>
      <c r="FD43" s="808"/>
      <c r="FE43" s="808"/>
      <c r="FF43" s="808"/>
      <c r="FG43" s="808"/>
      <c r="FH43" s="808"/>
      <c r="FI43" s="808"/>
      <c r="FJ43" s="808"/>
      <c r="FK43" s="808"/>
      <c r="FL43" s="808"/>
      <c r="FM43" s="808"/>
      <c r="FN43" s="808"/>
      <c r="FO43" s="808"/>
      <c r="FP43" s="808"/>
      <c r="FQ43" s="808"/>
      <c r="FR43" s="808"/>
      <c r="FS43" s="808"/>
      <c r="FT43" s="808"/>
      <c r="FU43" s="808"/>
      <c r="FV43" s="808"/>
      <c r="FW43" s="808"/>
      <c r="FX43" s="808"/>
      <c r="FY43" s="808"/>
      <c r="FZ43" s="809"/>
      <c r="GA43" s="807"/>
      <c r="GB43" s="808"/>
      <c r="GC43" s="808"/>
      <c r="GD43" s="808"/>
      <c r="GE43" s="808"/>
      <c r="GF43" s="808"/>
      <c r="GG43" s="808"/>
      <c r="GH43" s="808"/>
      <c r="GI43" s="808"/>
      <c r="GJ43" s="808"/>
      <c r="GK43" s="808"/>
      <c r="GL43" s="808"/>
      <c r="GM43" s="808"/>
      <c r="GN43" s="808"/>
      <c r="GO43" s="808"/>
      <c r="GP43" s="808"/>
      <c r="GQ43" s="808"/>
      <c r="GR43" s="808"/>
      <c r="GS43" s="808"/>
      <c r="GT43" s="808"/>
      <c r="GU43" s="808"/>
      <c r="GV43" s="808"/>
      <c r="GW43" s="808"/>
      <c r="GX43" s="808"/>
      <c r="GY43" s="808"/>
      <c r="GZ43" s="808"/>
      <c r="HA43" s="808"/>
      <c r="HB43" s="808"/>
      <c r="HC43" s="808"/>
      <c r="HD43" s="809"/>
      <c r="HE43" s="807"/>
      <c r="HF43" s="808"/>
      <c r="HG43" s="808"/>
      <c r="HH43" s="808"/>
      <c r="HI43" s="808"/>
      <c r="HJ43" s="808"/>
      <c r="HK43" s="808"/>
      <c r="HL43" s="808"/>
      <c r="HM43" s="808"/>
      <c r="HN43" s="808"/>
      <c r="HO43" s="808"/>
      <c r="HP43" s="808"/>
      <c r="HQ43" s="808"/>
      <c r="HR43" s="808"/>
      <c r="HS43" s="808"/>
      <c r="HT43" s="808"/>
      <c r="HU43" s="808"/>
      <c r="HV43" s="808"/>
      <c r="HW43" s="808"/>
      <c r="HX43" s="808"/>
      <c r="HY43" s="808"/>
      <c r="HZ43" s="808"/>
      <c r="IA43" s="808"/>
      <c r="IB43" s="808"/>
      <c r="IC43" s="808"/>
      <c r="ID43" s="808"/>
      <c r="IE43" s="808"/>
      <c r="IF43" s="808"/>
      <c r="IG43" s="808"/>
      <c r="IH43" s="809"/>
    </row>
    <row r="44" spans="1:242" x14ac:dyDescent="0.25">
      <c r="A44" s="823" t="s">
        <v>165</v>
      </c>
      <c r="B44" s="824" t="s">
        <v>51</v>
      </c>
      <c r="C44" s="825"/>
      <c r="D44" s="826"/>
      <c r="E44" s="826"/>
      <c r="F44" s="826"/>
      <c r="G44" s="826"/>
      <c r="H44" s="826"/>
      <c r="I44" s="826"/>
      <c r="J44" s="826"/>
      <c r="K44" s="826"/>
      <c r="L44" s="826"/>
      <c r="M44" s="826"/>
      <c r="N44" s="826"/>
      <c r="O44" s="826"/>
      <c r="P44" s="826"/>
      <c r="Q44" s="826"/>
      <c r="R44" s="826"/>
      <c r="S44" s="826"/>
      <c r="T44" s="826"/>
      <c r="U44" s="826"/>
      <c r="V44" s="826"/>
      <c r="W44" s="826"/>
      <c r="X44" s="826"/>
      <c r="Y44" s="826"/>
      <c r="Z44" s="826"/>
      <c r="AA44" s="826"/>
      <c r="AB44" s="826"/>
      <c r="AC44" s="826"/>
      <c r="AD44" s="826"/>
      <c r="AE44" s="826"/>
      <c r="AF44" s="824"/>
      <c r="AG44" s="825"/>
      <c r="AH44" s="826"/>
      <c r="AI44" s="826"/>
      <c r="AJ44" s="826"/>
      <c r="AK44" s="826"/>
      <c r="AL44" s="826"/>
      <c r="AM44" s="826"/>
      <c r="AN44" s="826"/>
      <c r="AO44" s="826"/>
      <c r="AP44" s="826"/>
      <c r="AQ44" s="826"/>
      <c r="AR44" s="826"/>
      <c r="AS44" s="826"/>
      <c r="AT44" s="826"/>
      <c r="AU44" s="826"/>
      <c r="AV44" s="826"/>
      <c r="AW44" s="826"/>
      <c r="AX44" s="826"/>
      <c r="AY44" s="826"/>
      <c r="AZ44" s="826"/>
      <c r="BA44" s="826"/>
      <c r="BB44" s="826"/>
      <c r="BC44" s="826"/>
      <c r="BD44" s="826"/>
      <c r="BE44" s="826"/>
      <c r="BF44" s="826"/>
      <c r="BG44" s="826"/>
      <c r="BH44" s="826"/>
      <c r="BI44" s="826"/>
      <c r="BJ44" s="824"/>
      <c r="BK44" s="807"/>
      <c r="BL44" s="808"/>
      <c r="BM44" s="808"/>
      <c r="BN44" s="808"/>
      <c r="BO44" s="808"/>
      <c r="BP44" s="808"/>
      <c r="BQ44" s="808"/>
      <c r="BR44" s="808"/>
      <c r="BS44" s="808"/>
      <c r="BT44" s="808"/>
      <c r="BU44" s="808"/>
      <c r="BV44" s="808"/>
      <c r="BW44" s="808"/>
      <c r="BX44" s="808"/>
      <c r="BY44" s="808"/>
      <c r="BZ44" s="808"/>
      <c r="CA44" s="808"/>
      <c r="CB44" s="808"/>
      <c r="CC44" s="808"/>
      <c r="CD44" s="808"/>
      <c r="CE44" s="808"/>
      <c r="CF44" s="808"/>
      <c r="CG44" s="808"/>
      <c r="CH44" s="808"/>
      <c r="CI44" s="808"/>
      <c r="CJ44" s="808"/>
      <c r="CK44" s="808"/>
      <c r="CL44" s="808"/>
      <c r="CM44" s="808"/>
      <c r="CN44" s="809"/>
      <c r="CO44" s="807"/>
      <c r="CP44" s="808"/>
      <c r="CQ44" s="808"/>
      <c r="CR44" s="808"/>
      <c r="CS44" s="808"/>
      <c r="CT44" s="808"/>
      <c r="CU44" s="811"/>
      <c r="CV44" s="811"/>
      <c r="CW44" s="811"/>
      <c r="CX44" s="811"/>
      <c r="CY44" s="811"/>
      <c r="CZ44" s="811"/>
      <c r="DA44" s="811"/>
      <c r="DB44" s="811"/>
      <c r="DC44" s="811"/>
      <c r="DD44" s="811"/>
      <c r="DE44" s="811"/>
      <c r="DF44" s="811"/>
      <c r="DG44" s="811"/>
      <c r="DH44" s="811"/>
      <c r="DI44" s="811"/>
      <c r="DJ44" s="811"/>
      <c r="DK44" s="811"/>
      <c r="DL44" s="811"/>
      <c r="DM44" s="811"/>
      <c r="DN44" s="811"/>
      <c r="DO44" s="811"/>
      <c r="DP44" s="811"/>
      <c r="DQ44" s="811"/>
      <c r="DR44" s="812"/>
      <c r="DS44" s="810"/>
      <c r="DT44" s="811"/>
      <c r="DU44" s="811"/>
      <c r="DV44" s="811"/>
      <c r="DW44" s="811"/>
      <c r="DX44" s="811"/>
      <c r="DY44" s="811"/>
      <c r="DZ44" s="811"/>
      <c r="EA44" s="811"/>
      <c r="EB44" s="811"/>
      <c r="EC44" s="811"/>
      <c r="ED44" s="811"/>
      <c r="EE44" s="811"/>
      <c r="EF44" s="811"/>
      <c r="EG44" s="811"/>
      <c r="EH44" s="811"/>
      <c r="EI44" s="811"/>
      <c r="EJ44" s="811"/>
      <c r="EK44" s="811"/>
      <c r="EL44" s="811"/>
      <c r="EM44" s="811"/>
      <c r="EN44" s="811"/>
      <c r="EO44" s="811"/>
      <c r="EP44" s="811"/>
      <c r="EQ44" s="811"/>
      <c r="ER44" s="811"/>
      <c r="ES44" s="808"/>
      <c r="ET44" s="808"/>
      <c r="EU44" s="808"/>
      <c r="EV44" s="809"/>
      <c r="EW44" s="807"/>
      <c r="EX44" s="808"/>
      <c r="EY44" s="808"/>
      <c r="EZ44" s="808"/>
      <c r="FA44" s="808"/>
      <c r="FB44" s="808"/>
      <c r="FC44" s="808"/>
      <c r="FD44" s="808"/>
      <c r="FE44" s="808"/>
      <c r="FF44" s="808"/>
      <c r="FG44" s="808"/>
      <c r="FH44" s="808"/>
      <c r="FI44" s="808"/>
      <c r="FJ44" s="808"/>
      <c r="FK44" s="808"/>
      <c r="FL44" s="808"/>
      <c r="FM44" s="808"/>
      <c r="FN44" s="808"/>
      <c r="FO44" s="808"/>
      <c r="FP44" s="808"/>
      <c r="FQ44" s="808"/>
      <c r="FR44" s="808"/>
      <c r="FS44" s="808"/>
      <c r="FT44" s="808"/>
      <c r="FU44" s="808"/>
      <c r="FV44" s="808"/>
      <c r="FW44" s="808"/>
      <c r="FX44" s="808"/>
      <c r="FY44" s="808"/>
      <c r="FZ44" s="809"/>
      <c r="GA44" s="807"/>
      <c r="GB44" s="808"/>
      <c r="GC44" s="808"/>
      <c r="GD44" s="808"/>
      <c r="GE44" s="808"/>
      <c r="GF44" s="808"/>
      <c r="GG44" s="808"/>
      <c r="GH44" s="808"/>
      <c r="GI44" s="808"/>
      <c r="GJ44" s="808"/>
      <c r="GK44" s="808"/>
      <c r="GL44" s="808"/>
      <c r="GM44" s="808"/>
      <c r="GN44" s="808"/>
      <c r="GO44" s="808"/>
      <c r="GP44" s="808"/>
      <c r="GQ44" s="808"/>
      <c r="GR44" s="808"/>
      <c r="GS44" s="808"/>
      <c r="GT44" s="808"/>
      <c r="GU44" s="808"/>
      <c r="GV44" s="808"/>
      <c r="GW44" s="808"/>
      <c r="GX44" s="808"/>
      <c r="GY44" s="808"/>
      <c r="GZ44" s="808"/>
      <c r="HA44" s="808"/>
      <c r="HB44" s="808"/>
      <c r="HC44" s="808"/>
      <c r="HD44" s="809"/>
      <c r="HE44" s="807"/>
      <c r="HF44" s="808"/>
      <c r="HG44" s="808"/>
      <c r="HH44" s="808"/>
      <c r="HI44" s="808"/>
      <c r="HJ44" s="808"/>
      <c r="HK44" s="808"/>
      <c r="HL44" s="808"/>
      <c r="HM44" s="808"/>
      <c r="HN44" s="808"/>
      <c r="HO44" s="808"/>
      <c r="HP44" s="808"/>
      <c r="HQ44" s="808"/>
      <c r="HR44" s="808"/>
      <c r="HS44" s="808"/>
      <c r="HT44" s="808"/>
      <c r="HU44" s="808"/>
      <c r="HV44" s="808"/>
      <c r="HW44" s="808"/>
      <c r="HX44" s="808"/>
      <c r="HY44" s="808"/>
      <c r="HZ44" s="808"/>
      <c r="IA44" s="808"/>
      <c r="IB44" s="808"/>
      <c r="IC44" s="808"/>
      <c r="ID44" s="808"/>
      <c r="IE44" s="808"/>
      <c r="IF44" s="808"/>
      <c r="IG44" s="808"/>
      <c r="IH44" s="809"/>
    </row>
    <row r="45" spans="1:242" ht="33" x14ac:dyDescent="0.25">
      <c r="A45" s="823" t="s">
        <v>52</v>
      </c>
      <c r="B45" s="824" t="s">
        <v>53</v>
      </c>
      <c r="C45" s="825"/>
      <c r="D45" s="826"/>
      <c r="E45" s="826"/>
      <c r="F45" s="826"/>
      <c r="G45" s="826"/>
      <c r="H45" s="826"/>
      <c r="I45" s="826"/>
      <c r="J45" s="826"/>
      <c r="K45" s="826"/>
      <c r="L45" s="826"/>
      <c r="M45" s="826"/>
      <c r="N45" s="826"/>
      <c r="O45" s="826"/>
      <c r="P45" s="826"/>
      <c r="Q45" s="826"/>
      <c r="R45" s="826"/>
      <c r="S45" s="826"/>
      <c r="T45" s="826"/>
      <c r="U45" s="826"/>
      <c r="V45" s="826"/>
      <c r="W45" s="826"/>
      <c r="X45" s="826"/>
      <c r="Y45" s="826"/>
      <c r="Z45" s="826"/>
      <c r="AA45" s="826"/>
      <c r="AB45" s="826"/>
      <c r="AC45" s="826"/>
      <c r="AD45" s="826"/>
      <c r="AE45" s="826"/>
      <c r="AF45" s="824"/>
      <c r="AG45" s="825"/>
      <c r="AH45" s="826"/>
      <c r="AI45" s="826"/>
      <c r="AJ45" s="826"/>
      <c r="AK45" s="826"/>
      <c r="AL45" s="826"/>
      <c r="AM45" s="826"/>
      <c r="AN45" s="826"/>
      <c r="AO45" s="826"/>
      <c r="AP45" s="826"/>
      <c r="AQ45" s="826"/>
      <c r="AR45" s="826"/>
      <c r="AS45" s="826"/>
      <c r="AT45" s="826"/>
      <c r="AU45" s="826"/>
      <c r="AV45" s="826"/>
      <c r="AW45" s="826"/>
      <c r="AX45" s="826"/>
      <c r="AY45" s="826"/>
      <c r="AZ45" s="826"/>
      <c r="BA45" s="826"/>
      <c r="BB45" s="826"/>
      <c r="BC45" s="826"/>
      <c r="BD45" s="826"/>
      <c r="BE45" s="826"/>
      <c r="BF45" s="826"/>
      <c r="BG45" s="826"/>
      <c r="BH45" s="826"/>
      <c r="BI45" s="826"/>
      <c r="BJ45" s="824"/>
      <c r="BK45" s="807"/>
      <c r="BL45" s="808"/>
      <c r="BM45" s="808"/>
      <c r="BN45" s="808"/>
      <c r="BO45" s="808"/>
      <c r="BP45" s="808"/>
      <c r="BQ45" s="808"/>
      <c r="BR45" s="808"/>
      <c r="BS45" s="808"/>
      <c r="BT45" s="808"/>
      <c r="BU45" s="808"/>
      <c r="BV45" s="808"/>
      <c r="BW45" s="808"/>
      <c r="BX45" s="808"/>
      <c r="BY45" s="808"/>
      <c r="BZ45" s="808"/>
      <c r="CA45" s="808"/>
      <c r="CB45" s="808"/>
      <c r="CC45" s="808"/>
      <c r="CD45" s="808"/>
      <c r="CE45" s="808"/>
      <c r="CF45" s="808"/>
      <c r="CG45" s="808"/>
      <c r="CH45" s="808"/>
      <c r="CI45" s="808"/>
      <c r="CJ45" s="808"/>
      <c r="CK45" s="808"/>
      <c r="CL45" s="808"/>
      <c r="CM45" s="808"/>
      <c r="CN45" s="809"/>
      <c r="CO45" s="807"/>
      <c r="CP45" s="808"/>
      <c r="CQ45" s="808"/>
      <c r="CR45" s="808"/>
      <c r="CS45" s="808"/>
      <c r="CT45" s="808"/>
      <c r="CU45" s="808"/>
      <c r="CV45" s="808"/>
      <c r="CW45" s="808"/>
      <c r="CX45" s="811"/>
      <c r="CY45" s="811"/>
      <c r="CZ45" s="811"/>
      <c r="DA45" s="811"/>
      <c r="DB45" s="811"/>
      <c r="DC45" s="811"/>
      <c r="DD45" s="811"/>
      <c r="DE45" s="811"/>
      <c r="DF45" s="811"/>
      <c r="DG45" s="811"/>
      <c r="DH45" s="811"/>
      <c r="DI45" s="811"/>
      <c r="DJ45" s="811"/>
      <c r="DK45" s="811"/>
      <c r="DL45" s="811"/>
      <c r="DM45" s="811"/>
      <c r="DN45" s="811"/>
      <c r="DO45" s="811"/>
      <c r="DP45" s="811"/>
      <c r="DQ45" s="811"/>
      <c r="DR45" s="812"/>
      <c r="DS45" s="810"/>
      <c r="DT45" s="811"/>
      <c r="DU45" s="811"/>
      <c r="DV45" s="811"/>
      <c r="DW45" s="811"/>
      <c r="DX45" s="811"/>
      <c r="DY45" s="811"/>
      <c r="DZ45" s="811"/>
      <c r="EA45" s="811"/>
      <c r="EB45" s="811"/>
      <c r="EC45" s="811"/>
      <c r="ED45" s="811"/>
      <c r="EE45" s="811"/>
      <c r="EF45" s="811"/>
      <c r="EG45" s="811"/>
      <c r="EH45" s="811"/>
      <c r="EI45" s="811"/>
      <c r="EJ45" s="811"/>
      <c r="EK45" s="811"/>
      <c r="EL45" s="811"/>
      <c r="EM45" s="811"/>
      <c r="EN45" s="811"/>
      <c r="EO45" s="811"/>
      <c r="EP45" s="811"/>
      <c r="EQ45" s="811"/>
      <c r="ER45" s="811"/>
      <c r="ES45" s="811"/>
      <c r="ET45" s="811"/>
      <c r="EU45" s="811"/>
      <c r="EV45" s="809"/>
      <c r="EW45" s="807"/>
      <c r="EX45" s="808"/>
      <c r="EY45" s="808"/>
      <c r="EZ45" s="808"/>
      <c r="FA45" s="808"/>
      <c r="FB45" s="808"/>
      <c r="FC45" s="808"/>
      <c r="FD45" s="808"/>
      <c r="FE45" s="808"/>
      <c r="FF45" s="808"/>
      <c r="FG45" s="808"/>
      <c r="FH45" s="808"/>
      <c r="FI45" s="808"/>
      <c r="FJ45" s="808"/>
      <c r="FK45" s="808"/>
      <c r="FL45" s="808"/>
      <c r="FM45" s="808"/>
      <c r="FN45" s="808"/>
      <c r="FO45" s="808"/>
      <c r="FP45" s="808"/>
      <c r="FQ45" s="808"/>
      <c r="FR45" s="808"/>
      <c r="FS45" s="808"/>
      <c r="FT45" s="808"/>
      <c r="FU45" s="808"/>
      <c r="FV45" s="808"/>
      <c r="FW45" s="808"/>
      <c r="FX45" s="808"/>
      <c r="FY45" s="808"/>
      <c r="FZ45" s="809"/>
      <c r="GA45" s="807"/>
      <c r="GB45" s="808"/>
      <c r="GC45" s="808"/>
      <c r="GD45" s="808"/>
      <c r="GE45" s="808"/>
      <c r="GF45" s="808"/>
      <c r="GG45" s="808"/>
      <c r="GH45" s="808"/>
      <c r="GI45" s="808"/>
      <c r="GJ45" s="808"/>
      <c r="GK45" s="808"/>
      <c r="GL45" s="808"/>
      <c r="GM45" s="808"/>
      <c r="GN45" s="808"/>
      <c r="GO45" s="808"/>
      <c r="GP45" s="808"/>
      <c r="GQ45" s="808"/>
      <c r="GR45" s="808"/>
      <c r="GS45" s="808"/>
      <c r="GT45" s="808"/>
      <c r="GU45" s="808"/>
      <c r="GV45" s="808"/>
      <c r="GW45" s="808"/>
      <c r="GX45" s="808"/>
      <c r="GY45" s="808"/>
      <c r="GZ45" s="808"/>
      <c r="HA45" s="808"/>
      <c r="HB45" s="808"/>
      <c r="HC45" s="808"/>
      <c r="HD45" s="809"/>
      <c r="HE45" s="807"/>
      <c r="HF45" s="808"/>
      <c r="HG45" s="808"/>
      <c r="HH45" s="808"/>
      <c r="HI45" s="808"/>
      <c r="HJ45" s="808"/>
      <c r="HK45" s="808"/>
      <c r="HL45" s="808"/>
      <c r="HM45" s="808"/>
      <c r="HN45" s="808"/>
      <c r="HO45" s="808"/>
      <c r="HP45" s="808"/>
      <c r="HQ45" s="808"/>
      <c r="HR45" s="808"/>
      <c r="HS45" s="808"/>
      <c r="HT45" s="808"/>
      <c r="HU45" s="808"/>
      <c r="HV45" s="808"/>
      <c r="HW45" s="808"/>
      <c r="HX45" s="808"/>
      <c r="HY45" s="808"/>
      <c r="HZ45" s="808"/>
      <c r="IA45" s="808"/>
      <c r="IB45" s="808"/>
      <c r="IC45" s="808"/>
      <c r="ID45" s="808"/>
      <c r="IE45" s="808"/>
      <c r="IF45" s="808"/>
      <c r="IG45" s="808"/>
      <c r="IH45" s="809"/>
    </row>
    <row r="46" spans="1:242" s="833" customFormat="1" ht="34.5" customHeight="1" x14ac:dyDescent="0.25">
      <c r="A46" s="1456" t="s">
        <v>124</v>
      </c>
      <c r="B46" s="1457"/>
      <c r="C46" s="827"/>
      <c r="D46" s="828"/>
      <c r="E46" s="828"/>
      <c r="F46" s="828"/>
      <c r="G46" s="828"/>
      <c r="H46" s="828"/>
      <c r="I46" s="828"/>
      <c r="J46" s="828"/>
      <c r="K46" s="828"/>
      <c r="L46" s="828"/>
      <c r="M46" s="828"/>
      <c r="N46" s="828"/>
      <c r="O46" s="828"/>
      <c r="P46" s="828"/>
      <c r="Q46" s="828"/>
      <c r="R46" s="828"/>
      <c r="S46" s="828"/>
      <c r="T46" s="828"/>
      <c r="U46" s="828"/>
      <c r="V46" s="828"/>
      <c r="W46" s="828"/>
      <c r="X46" s="828"/>
      <c r="Y46" s="828"/>
      <c r="Z46" s="828"/>
      <c r="AA46" s="828"/>
      <c r="AB46" s="828"/>
      <c r="AC46" s="828"/>
      <c r="AD46" s="828"/>
      <c r="AE46" s="828"/>
      <c r="AF46" s="829"/>
      <c r="AG46" s="827"/>
      <c r="AH46" s="828"/>
      <c r="AI46" s="828"/>
      <c r="AJ46" s="828"/>
      <c r="AK46" s="828"/>
      <c r="AL46" s="828"/>
      <c r="AM46" s="828"/>
      <c r="AN46" s="828"/>
      <c r="AO46" s="828"/>
      <c r="AP46" s="828"/>
      <c r="AQ46" s="828"/>
      <c r="AR46" s="828"/>
      <c r="AS46" s="828"/>
      <c r="AT46" s="828"/>
      <c r="AU46" s="828"/>
      <c r="AV46" s="828"/>
      <c r="AW46" s="828"/>
      <c r="AX46" s="828"/>
      <c r="AY46" s="828"/>
      <c r="AZ46" s="828"/>
      <c r="BA46" s="828"/>
      <c r="BB46" s="828"/>
      <c r="BC46" s="828"/>
      <c r="BD46" s="828"/>
      <c r="BE46" s="828"/>
      <c r="BF46" s="828"/>
      <c r="BG46" s="828"/>
      <c r="BH46" s="828"/>
      <c r="BI46" s="828"/>
      <c r="BJ46" s="829"/>
      <c r="BK46" s="830"/>
      <c r="BL46" s="831"/>
      <c r="BM46" s="831"/>
      <c r="BN46" s="831"/>
      <c r="BO46" s="831"/>
      <c r="BP46" s="831"/>
      <c r="BQ46" s="831"/>
      <c r="BR46" s="831"/>
      <c r="BS46" s="831"/>
      <c r="BT46" s="831"/>
      <c r="BU46" s="831"/>
      <c r="BV46" s="831"/>
      <c r="BW46" s="831"/>
      <c r="BX46" s="831"/>
      <c r="BY46" s="831"/>
      <c r="BZ46" s="831"/>
      <c r="CA46" s="831"/>
      <c r="CB46" s="831"/>
      <c r="CC46" s="831"/>
      <c r="CD46" s="831"/>
      <c r="CE46" s="831"/>
      <c r="CF46" s="831"/>
      <c r="CG46" s="831"/>
      <c r="CH46" s="831"/>
      <c r="CI46" s="831"/>
      <c r="CJ46" s="831"/>
      <c r="CK46" s="831"/>
      <c r="CL46" s="831"/>
      <c r="CM46" s="831"/>
      <c r="CN46" s="832"/>
      <c r="CO46" s="830"/>
      <c r="CP46" s="831"/>
      <c r="CQ46" s="831"/>
      <c r="CR46" s="831"/>
      <c r="CS46" s="831"/>
      <c r="CT46" s="831"/>
      <c r="CU46" s="831"/>
      <c r="CV46" s="831"/>
      <c r="CW46" s="831"/>
      <c r="CX46" s="831"/>
      <c r="CY46" s="831"/>
      <c r="CZ46" s="831"/>
      <c r="DA46" s="831"/>
      <c r="DB46" s="831"/>
      <c r="DC46" s="831"/>
      <c r="DD46" s="831"/>
      <c r="DE46" s="831"/>
      <c r="DF46" s="831"/>
      <c r="DG46" s="831"/>
      <c r="DH46" s="831"/>
      <c r="DI46" s="831"/>
      <c r="DJ46" s="831"/>
      <c r="DK46" s="831"/>
      <c r="DL46" s="831"/>
      <c r="DM46" s="831"/>
      <c r="DN46" s="831"/>
      <c r="DO46" s="831"/>
      <c r="DP46" s="831"/>
      <c r="DQ46" s="831"/>
      <c r="DR46" s="832"/>
      <c r="DS46" s="830"/>
      <c r="DT46" s="831"/>
      <c r="DU46" s="831"/>
      <c r="DV46" s="831"/>
      <c r="DW46" s="831"/>
      <c r="DX46" s="831"/>
      <c r="DY46" s="831"/>
      <c r="DZ46" s="831"/>
      <c r="EA46" s="831"/>
      <c r="EB46" s="831"/>
      <c r="EC46" s="831"/>
      <c r="ED46" s="831"/>
      <c r="EE46" s="831"/>
      <c r="EF46" s="831"/>
      <c r="EG46" s="831"/>
      <c r="EH46" s="831"/>
      <c r="EI46" s="831"/>
      <c r="EJ46" s="831"/>
      <c r="EK46" s="831"/>
      <c r="EL46" s="831"/>
      <c r="EM46" s="831"/>
      <c r="EN46" s="831"/>
      <c r="EO46" s="831"/>
      <c r="EP46" s="831"/>
      <c r="EQ46" s="831"/>
      <c r="ER46" s="831"/>
      <c r="ES46" s="831"/>
      <c r="ET46" s="831"/>
      <c r="EU46" s="831"/>
      <c r="EV46" s="832"/>
      <c r="EW46" s="830"/>
      <c r="EX46" s="831"/>
      <c r="EY46" s="831"/>
      <c r="EZ46" s="831"/>
      <c r="FA46" s="831"/>
      <c r="FB46" s="831"/>
      <c r="FC46" s="831"/>
      <c r="FD46" s="831"/>
      <c r="FE46" s="831"/>
      <c r="FF46" s="831"/>
      <c r="FG46" s="831"/>
      <c r="FH46" s="831"/>
      <c r="FI46" s="831"/>
      <c r="FJ46" s="831"/>
      <c r="FK46" s="831"/>
      <c r="FL46" s="831"/>
      <c r="FM46" s="831"/>
      <c r="FN46" s="831"/>
      <c r="FO46" s="831"/>
      <c r="FP46" s="831"/>
      <c r="FQ46" s="831"/>
      <c r="FR46" s="831"/>
      <c r="FS46" s="831"/>
      <c r="FT46" s="831"/>
      <c r="FU46" s="831"/>
      <c r="FV46" s="831"/>
      <c r="FW46" s="831"/>
      <c r="FX46" s="831"/>
      <c r="FY46" s="831"/>
      <c r="FZ46" s="832"/>
      <c r="GA46" s="830"/>
      <c r="GB46" s="831"/>
      <c r="GC46" s="831"/>
      <c r="GD46" s="831"/>
      <c r="GE46" s="831"/>
      <c r="GF46" s="831"/>
      <c r="GG46" s="831"/>
      <c r="GH46" s="831"/>
      <c r="GI46" s="831"/>
      <c r="GJ46" s="831"/>
      <c r="GK46" s="831"/>
      <c r="GL46" s="831"/>
      <c r="GM46" s="831"/>
      <c r="GN46" s="831"/>
      <c r="GO46" s="831"/>
      <c r="GP46" s="831"/>
      <c r="GQ46" s="831"/>
      <c r="GR46" s="831"/>
      <c r="GS46" s="831"/>
      <c r="GT46" s="831"/>
      <c r="GU46" s="831"/>
      <c r="GV46" s="831"/>
      <c r="GW46" s="831"/>
      <c r="GX46" s="831"/>
      <c r="GY46" s="831"/>
      <c r="GZ46" s="831"/>
      <c r="HA46" s="831"/>
      <c r="HB46" s="831"/>
      <c r="HC46" s="831"/>
      <c r="HD46" s="832"/>
      <c r="HE46" s="830"/>
      <c r="HF46" s="831"/>
      <c r="HG46" s="831"/>
      <c r="HH46" s="831"/>
      <c r="HI46" s="831"/>
      <c r="HJ46" s="831"/>
      <c r="HK46" s="831"/>
      <c r="HL46" s="831"/>
      <c r="HM46" s="831"/>
      <c r="HN46" s="831"/>
      <c r="HO46" s="831"/>
      <c r="HP46" s="831"/>
      <c r="HQ46" s="831"/>
      <c r="HR46" s="831"/>
      <c r="HS46" s="831"/>
      <c r="HT46" s="831"/>
      <c r="HU46" s="831"/>
      <c r="HV46" s="831"/>
      <c r="HW46" s="831"/>
      <c r="HX46" s="831"/>
      <c r="HY46" s="831"/>
      <c r="HZ46" s="831"/>
      <c r="IA46" s="831"/>
      <c r="IB46" s="831"/>
      <c r="IC46" s="831"/>
      <c r="ID46" s="831"/>
      <c r="IE46" s="831"/>
      <c r="IF46" s="831"/>
      <c r="IG46" s="831"/>
      <c r="IH46" s="832"/>
    </row>
    <row r="47" spans="1:242" x14ac:dyDescent="0.25">
      <c r="A47" s="823" t="s">
        <v>54</v>
      </c>
      <c r="B47" s="824" t="s">
        <v>55</v>
      </c>
      <c r="C47" s="825"/>
      <c r="D47" s="826"/>
      <c r="E47" s="826"/>
      <c r="F47" s="826"/>
      <c r="G47" s="826"/>
      <c r="H47" s="826"/>
      <c r="I47" s="826"/>
      <c r="J47" s="826"/>
      <c r="K47" s="826"/>
      <c r="L47" s="826"/>
      <c r="M47" s="826"/>
      <c r="N47" s="826"/>
      <c r="O47" s="826"/>
      <c r="P47" s="826"/>
      <c r="Q47" s="826"/>
      <c r="R47" s="826"/>
      <c r="S47" s="826"/>
      <c r="T47" s="826"/>
      <c r="U47" s="826"/>
      <c r="V47" s="826"/>
      <c r="W47" s="826"/>
      <c r="X47" s="826"/>
      <c r="Y47" s="826"/>
      <c r="Z47" s="826"/>
      <c r="AA47" s="826"/>
      <c r="AB47" s="826"/>
      <c r="AC47" s="826"/>
      <c r="AD47" s="826"/>
      <c r="AE47" s="826"/>
      <c r="AF47" s="824"/>
      <c r="AG47" s="825"/>
      <c r="AH47" s="826"/>
      <c r="AI47" s="826"/>
      <c r="AJ47" s="826"/>
      <c r="AK47" s="826"/>
      <c r="AL47" s="826"/>
      <c r="AM47" s="826"/>
      <c r="AN47" s="826"/>
      <c r="AO47" s="826"/>
      <c r="AP47" s="826"/>
      <c r="AQ47" s="826"/>
      <c r="AR47" s="826"/>
      <c r="AS47" s="826"/>
      <c r="AT47" s="826"/>
      <c r="AU47" s="826"/>
      <c r="AV47" s="826"/>
      <c r="AW47" s="826"/>
      <c r="AX47" s="826"/>
      <c r="AY47" s="826"/>
      <c r="AZ47" s="826"/>
      <c r="BA47" s="826"/>
      <c r="BB47" s="826"/>
      <c r="BC47" s="826"/>
      <c r="BD47" s="826"/>
      <c r="BE47" s="826"/>
      <c r="BF47" s="826"/>
      <c r="BG47" s="826"/>
      <c r="BH47" s="826"/>
      <c r="BI47" s="826"/>
      <c r="BJ47" s="824"/>
      <c r="BK47" s="807"/>
      <c r="BL47" s="808"/>
      <c r="BM47" s="808"/>
      <c r="BN47" s="808"/>
      <c r="BO47" s="808"/>
      <c r="BP47" s="808"/>
      <c r="BQ47" s="808"/>
      <c r="BR47" s="808"/>
      <c r="BS47" s="808"/>
      <c r="BT47" s="808"/>
      <c r="BU47" s="808"/>
      <c r="BV47" s="808"/>
      <c r="BW47" s="808"/>
      <c r="BX47" s="808"/>
      <c r="BY47" s="808"/>
      <c r="BZ47" s="808"/>
      <c r="CA47" s="808"/>
      <c r="CB47" s="808"/>
      <c r="CC47" s="808"/>
      <c r="CD47" s="808"/>
      <c r="CE47" s="808"/>
      <c r="CF47" s="808"/>
      <c r="CG47" s="808"/>
      <c r="CH47" s="808"/>
      <c r="CI47" s="808"/>
      <c r="CJ47" s="808"/>
      <c r="CK47" s="808"/>
      <c r="CL47" s="808"/>
      <c r="CM47" s="808"/>
      <c r="CN47" s="809"/>
      <c r="CO47" s="807"/>
      <c r="CP47" s="808"/>
      <c r="CQ47" s="808"/>
      <c r="CR47" s="808"/>
      <c r="CS47" s="808"/>
      <c r="CT47" s="808"/>
      <c r="CU47" s="808"/>
      <c r="CV47" s="808"/>
      <c r="CW47" s="808"/>
      <c r="CX47" s="808"/>
      <c r="CY47" s="808"/>
      <c r="CZ47" s="808"/>
      <c r="DA47" s="808"/>
      <c r="DB47" s="808"/>
      <c r="DC47" s="808"/>
      <c r="DD47" s="808"/>
      <c r="DE47" s="808"/>
      <c r="DF47" s="811"/>
      <c r="DG47" s="811"/>
      <c r="DH47" s="811"/>
      <c r="DI47" s="811"/>
      <c r="DJ47" s="811"/>
      <c r="DK47" s="811"/>
      <c r="DL47" s="811"/>
      <c r="DM47" s="811"/>
      <c r="DN47" s="811"/>
      <c r="DO47" s="811"/>
      <c r="DP47" s="811"/>
      <c r="DQ47" s="811"/>
      <c r="DR47" s="812"/>
      <c r="DS47" s="810"/>
      <c r="DT47" s="811"/>
      <c r="DU47" s="811"/>
      <c r="DV47" s="811"/>
      <c r="DW47" s="811"/>
      <c r="DX47" s="811"/>
      <c r="DY47" s="811"/>
      <c r="DZ47" s="811"/>
      <c r="EA47" s="811"/>
      <c r="EB47" s="811"/>
      <c r="EC47" s="811"/>
      <c r="ED47" s="811"/>
      <c r="EE47" s="811"/>
      <c r="EF47" s="811"/>
      <c r="EG47" s="811"/>
      <c r="EH47" s="811"/>
      <c r="EI47" s="811"/>
      <c r="EJ47" s="808"/>
      <c r="EK47" s="808"/>
      <c r="EL47" s="808"/>
      <c r="EM47" s="808"/>
      <c r="EN47" s="808"/>
      <c r="EO47" s="808"/>
      <c r="EP47" s="808"/>
      <c r="EQ47" s="808"/>
      <c r="ER47" s="808"/>
      <c r="ES47" s="808"/>
      <c r="ET47" s="808"/>
      <c r="EU47" s="808"/>
      <c r="EV47" s="809"/>
      <c r="EW47" s="807"/>
      <c r="EX47" s="808"/>
      <c r="EY47" s="808"/>
      <c r="EZ47" s="808"/>
      <c r="FA47" s="808"/>
      <c r="FB47" s="808"/>
      <c r="FC47" s="808"/>
      <c r="FD47" s="808"/>
      <c r="FE47" s="808"/>
      <c r="FF47" s="808"/>
      <c r="FG47" s="808"/>
      <c r="FH47" s="808"/>
      <c r="FI47" s="808"/>
      <c r="FJ47" s="808"/>
      <c r="FK47" s="808"/>
      <c r="FL47" s="808"/>
      <c r="FM47" s="808"/>
      <c r="FN47" s="808"/>
      <c r="FO47" s="808"/>
      <c r="FP47" s="808"/>
      <c r="FQ47" s="808"/>
      <c r="FR47" s="808"/>
      <c r="FS47" s="808"/>
      <c r="FT47" s="808"/>
      <c r="FU47" s="808"/>
      <c r="FV47" s="808"/>
      <c r="FW47" s="808"/>
      <c r="FX47" s="808"/>
      <c r="FY47" s="808"/>
      <c r="FZ47" s="809"/>
      <c r="GA47" s="807"/>
      <c r="GB47" s="808"/>
      <c r="GC47" s="808"/>
      <c r="GD47" s="808"/>
      <c r="GE47" s="808"/>
      <c r="GF47" s="808"/>
      <c r="GG47" s="808"/>
      <c r="GH47" s="808"/>
      <c r="GI47" s="808"/>
      <c r="GJ47" s="808"/>
      <c r="GK47" s="808"/>
      <c r="GL47" s="808"/>
      <c r="GM47" s="808"/>
      <c r="GN47" s="808"/>
      <c r="GO47" s="808"/>
      <c r="GP47" s="808"/>
      <c r="GQ47" s="808"/>
      <c r="GR47" s="808"/>
      <c r="GS47" s="808"/>
      <c r="GT47" s="808"/>
      <c r="GU47" s="808"/>
      <c r="GV47" s="808"/>
      <c r="GW47" s="808"/>
      <c r="GX47" s="808"/>
      <c r="GY47" s="808"/>
      <c r="GZ47" s="808"/>
      <c r="HA47" s="808"/>
      <c r="HB47" s="808"/>
      <c r="HC47" s="808"/>
      <c r="HD47" s="809"/>
      <c r="HE47" s="807"/>
      <c r="HF47" s="808"/>
      <c r="HG47" s="808"/>
      <c r="HH47" s="808"/>
      <c r="HI47" s="808"/>
      <c r="HJ47" s="808"/>
      <c r="HK47" s="808"/>
      <c r="HL47" s="808"/>
      <c r="HM47" s="808"/>
      <c r="HN47" s="808"/>
      <c r="HO47" s="808"/>
      <c r="HP47" s="808"/>
      <c r="HQ47" s="808"/>
      <c r="HR47" s="808"/>
      <c r="HS47" s="808"/>
      <c r="HT47" s="808"/>
      <c r="HU47" s="808"/>
      <c r="HV47" s="808"/>
      <c r="HW47" s="808"/>
      <c r="HX47" s="808"/>
      <c r="HY47" s="808"/>
      <c r="HZ47" s="808"/>
      <c r="IA47" s="808"/>
      <c r="IB47" s="808"/>
      <c r="IC47" s="808"/>
      <c r="ID47" s="808"/>
      <c r="IE47" s="808"/>
      <c r="IF47" s="808"/>
      <c r="IG47" s="808"/>
      <c r="IH47" s="809"/>
    </row>
    <row r="48" spans="1:242" ht="39.75" customHeight="1" x14ac:dyDescent="0.25">
      <c r="A48" s="1438" t="s">
        <v>143</v>
      </c>
      <c r="B48" s="1439"/>
      <c r="C48" s="817"/>
      <c r="D48" s="818"/>
      <c r="E48" s="818"/>
      <c r="F48" s="818"/>
      <c r="G48" s="818"/>
      <c r="H48" s="818"/>
      <c r="I48" s="818"/>
      <c r="J48" s="818"/>
      <c r="K48" s="818"/>
      <c r="L48" s="818"/>
      <c r="M48" s="818"/>
      <c r="N48" s="818"/>
      <c r="O48" s="818"/>
      <c r="P48" s="818"/>
      <c r="Q48" s="818"/>
      <c r="R48" s="818"/>
      <c r="S48" s="818"/>
      <c r="T48" s="818"/>
      <c r="U48" s="818"/>
      <c r="V48" s="818"/>
      <c r="W48" s="818"/>
      <c r="X48" s="818"/>
      <c r="Y48" s="818"/>
      <c r="Z48" s="818"/>
      <c r="AA48" s="818"/>
      <c r="AB48" s="818"/>
      <c r="AC48" s="818"/>
      <c r="AD48" s="818"/>
      <c r="AE48" s="818"/>
      <c r="AF48" s="819"/>
      <c r="AG48" s="817"/>
      <c r="AH48" s="818"/>
      <c r="AI48" s="818"/>
      <c r="AJ48" s="818"/>
      <c r="AK48" s="818"/>
      <c r="AL48" s="818"/>
      <c r="AM48" s="818"/>
      <c r="AN48" s="818"/>
      <c r="AO48" s="818"/>
      <c r="AP48" s="818"/>
      <c r="AQ48" s="818"/>
      <c r="AR48" s="818"/>
      <c r="AS48" s="818"/>
      <c r="AT48" s="818"/>
      <c r="AU48" s="818"/>
      <c r="AV48" s="818"/>
      <c r="AW48" s="818"/>
      <c r="AX48" s="818"/>
      <c r="AY48" s="818"/>
      <c r="AZ48" s="818"/>
      <c r="BA48" s="818"/>
      <c r="BB48" s="818"/>
      <c r="BC48" s="818"/>
      <c r="BD48" s="818"/>
      <c r="BE48" s="818"/>
      <c r="BF48" s="818"/>
      <c r="BG48" s="818"/>
      <c r="BH48" s="818"/>
      <c r="BI48" s="818"/>
      <c r="BJ48" s="819"/>
      <c r="BK48" s="820"/>
      <c r="BL48" s="821"/>
      <c r="BM48" s="821"/>
      <c r="BN48" s="821"/>
      <c r="BO48" s="821"/>
      <c r="BP48" s="821"/>
      <c r="BQ48" s="821"/>
      <c r="BR48" s="821"/>
      <c r="BS48" s="821"/>
      <c r="BT48" s="821"/>
      <c r="BU48" s="821"/>
      <c r="BV48" s="821"/>
      <c r="BW48" s="821"/>
      <c r="BX48" s="821"/>
      <c r="BY48" s="821"/>
      <c r="BZ48" s="821"/>
      <c r="CA48" s="821"/>
      <c r="CB48" s="821"/>
      <c r="CC48" s="821"/>
      <c r="CD48" s="821"/>
      <c r="CE48" s="821"/>
      <c r="CF48" s="821"/>
      <c r="CG48" s="821"/>
      <c r="CH48" s="821"/>
      <c r="CI48" s="821"/>
      <c r="CJ48" s="821"/>
      <c r="CK48" s="821"/>
      <c r="CL48" s="821"/>
      <c r="CM48" s="821"/>
      <c r="CN48" s="822"/>
      <c r="CO48" s="820"/>
      <c r="CP48" s="821"/>
      <c r="CQ48" s="821"/>
      <c r="CR48" s="821"/>
      <c r="CS48" s="821"/>
      <c r="CT48" s="821"/>
      <c r="CU48" s="821"/>
      <c r="CV48" s="821"/>
      <c r="CW48" s="821"/>
      <c r="CX48" s="821"/>
      <c r="CY48" s="821"/>
      <c r="CZ48" s="821"/>
      <c r="DA48" s="821"/>
      <c r="DB48" s="821"/>
      <c r="DC48" s="821"/>
      <c r="DD48" s="821"/>
      <c r="DE48" s="821"/>
      <c r="DF48" s="821"/>
      <c r="DG48" s="821"/>
      <c r="DH48" s="821"/>
      <c r="DI48" s="821"/>
      <c r="DJ48" s="821"/>
      <c r="DK48" s="821"/>
      <c r="DL48" s="821"/>
      <c r="DM48" s="821"/>
      <c r="DN48" s="821"/>
      <c r="DO48" s="821"/>
      <c r="DP48" s="821"/>
      <c r="DQ48" s="821"/>
      <c r="DR48" s="822"/>
      <c r="DS48" s="820"/>
      <c r="DT48" s="821"/>
      <c r="DU48" s="821"/>
      <c r="DV48" s="821"/>
      <c r="DW48" s="821"/>
      <c r="DX48" s="821"/>
      <c r="DY48" s="821"/>
      <c r="DZ48" s="821"/>
      <c r="EA48" s="821"/>
      <c r="EB48" s="821"/>
      <c r="EC48" s="821"/>
      <c r="ED48" s="821"/>
      <c r="EE48" s="821"/>
      <c r="EF48" s="821"/>
      <c r="EG48" s="821"/>
      <c r="EH48" s="821"/>
      <c r="EI48" s="821"/>
      <c r="EJ48" s="821"/>
      <c r="EK48" s="821"/>
      <c r="EL48" s="821"/>
      <c r="EM48" s="821"/>
      <c r="EN48" s="821"/>
      <c r="EO48" s="821"/>
      <c r="EP48" s="821"/>
      <c r="EQ48" s="821"/>
      <c r="ER48" s="821"/>
      <c r="ES48" s="821"/>
      <c r="ET48" s="821"/>
      <c r="EU48" s="821"/>
      <c r="EV48" s="822"/>
      <c r="EW48" s="820"/>
      <c r="EX48" s="821"/>
      <c r="EY48" s="821"/>
      <c r="EZ48" s="821"/>
      <c r="FA48" s="821"/>
      <c r="FB48" s="821"/>
      <c r="FC48" s="821"/>
      <c r="FD48" s="821"/>
      <c r="FE48" s="821"/>
      <c r="FF48" s="821"/>
      <c r="FG48" s="821"/>
      <c r="FH48" s="821"/>
      <c r="FI48" s="821"/>
      <c r="FJ48" s="821"/>
      <c r="FK48" s="821"/>
      <c r="FL48" s="821"/>
      <c r="FM48" s="821"/>
      <c r="FN48" s="821"/>
      <c r="FO48" s="821"/>
      <c r="FP48" s="821"/>
      <c r="FQ48" s="821"/>
      <c r="FR48" s="821"/>
      <c r="FS48" s="821"/>
      <c r="FT48" s="821"/>
      <c r="FU48" s="821"/>
      <c r="FV48" s="821"/>
      <c r="FW48" s="821"/>
      <c r="FX48" s="821"/>
      <c r="FY48" s="821"/>
      <c r="FZ48" s="822"/>
      <c r="GA48" s="820"/>
      <c r="GB48" s="821"/>
      <c r="GC48" s="821"/>
      <c r="GD48" s="821"/>
      <c r="GE48" s="821"/>
      <c r="GF48" s="821"/>
      <c r="GG48" s="821"/>
      <c r="GH48" s="821"/>
      <c r="GI48" s="821"/>
      <c r="GJ48" s="821"/>
      <c r="GK48" s="821"/>
      <c r="GL48" s="821"/>
      <c r="GM48" s="821"/>
      <c r="GN48" s="821"/>
      <c r="GO48" s="821"/>
      <c r="GP48" s="821"/>
      <c r="GQ48" s="821"/>
      <c r="GR48" s="821"/>
      <c r="GS48" s="821"/>
      <c r="GT48" s="821"/>
      <c r="GU48" s="821"/>
      <c r="GV48" s="821"/>
      <c r="GW48" s="821"/>
      <c r="GX48" s="821"/>
      <c r="GY48" s="821"/>
      <c r="GZ48" s="821"/>
      <c r="HA48" s="821"/>
      <c r="HB48" s="821"/>
      <c r="HC48" s="821"/>
      <c r="HD48" s="822"/>
      <c r="HE48" s="820"/>
      <c r="HF48" s="821"/>
      <c r="HG48" s="821"/>
      <c r="HH48" s="821"/>
      <c r="HI48" s="821"/>
      <c r="HJ48" s="821"/>
      <c r="HK48" s="821"/>
      <c r="HL48" s="821"/>
      <c r="HM48" s="821"/>
      <c r="HN48" s="821"/>
      <c r="HO48" s="821"/>
      <c r="HP48" s="821"/>
      <c r="HQ48" s="821"/>
      <c r="HR48" s="821"/>
      <c r="HS48" s="821"/>
      <c r="HT48" s="821"/>
      <c r="HU48" s="821"/>
      <c r="HV48" s="821"/>
      <c r="HW48" s="821"/>
      <c r="HX48" s="821"/>
      <c r="HY48" s="821"/>
      <c r="HZ48" s="821"/>
      <c r="IA48" s="821"/>
      <c r="IB48" s="821"/>
      <c r="IC48" s="821"/>
      <c r="ID48" s="821"/>
      <c r="IE48" s="821"/>
      <c r="IF48" s="821"/>
      <c r="IG48" s="821"/>
      <c r="IH48" s="822"/>
    </row>
    <row r="49" spans="1:242" x14ac:dyDescent="0.25">
      <c r="A49" s="823">
        <v>700.3</v>
      </c>
      <c r="B49" s="824" t="s">
        <v>149</v>
      </c>
      <c r="C49" s="825"/>
      <c r="D49" s="826"/>
      <c r="E49" s="826"/>
      <c r="F49" s="826"/>
      <c r="G49" s="826"/>
      <c r="H49" s="826"/>
      <c r="I49" s="826"/>
      <c r="J49" s="826"/>
      <c r="K49" s="826"/>
      <c r="L49" s="826"/>
      <c r="M49" s="826"/>
      <c r="N49" s="826"/>
      <c r="O49" s="826"/>
      <c r="P49" s="826"/>
      <c r="Q49" s="826"/>
      <c r="R49" s="826"/>
      <c r="S49" s="826"/>
      <c r="T49" s="826"/>
      <c r="U49" s="826"/>
      <c r="V49" s="826"/>
      <c r="W49" s="826"/>
      <c r="X49" s="826"/>
      <c r="Y49" s="826"/>
      <c r="Z49" s="826"/>
      <c r="AA49" s="826"/>
      <c r="AB49" s="826"/>
      <c r="AC49" s="826"/>
      <c r="AD49" s="826"/>
      <c r="AE49" s="826"/>
      <c r="AF49" s="824"/>
      <c r="AG49" s="825"/>
      <c r="AH49" s="826"/>
      <c r="AI49" s="826"/>
      <c r="AJ49" s="826"/>
      <c r="AK49" s="826"/>
      <c r="AL49" s="826"/>
      <c r="AM49" s="826"/>
      <c r="AN49" s="826"/>
      <c r="AO49" s="826"/>
      <c r="AP49" s="826"/>
      <c r="AQ49" s="826"/>
      <c r="AR49" s="826"/>
      <c r="AS49" s="826"/>
      <c r="AT49" s="826"/>
      <c r="AU49" s="826"/>
      <c r="AV49" s="826"/>
      <c r="AW49" s="826"/>
      <c r="AX49" s="826"/>
      <c r="AY49" s="826"/>
      <c r="AZ49" s="826"/>
      <c r="BA49" s="826"/>
      <c r="BB49" s="826"/>
      <c r="BC49" s="826"/>
      <c r="BD49" s="826"/>
      <c r="BE49" s="826"/>
      <c r="BF49" s="826"/>
      <c r="BG49" s="826"/>
      <c r="BH49" s="826"/>
      <c r="BI49" s="826"/>
      <c r="BJ49" s="824"/>
      <c r="BK49" s="807"/>
      <c r="BL49" s="808"/>
      <c r="BM49" s="808"/>
      <c r="BN49" s="808"/>
      <c r="BO49" s="808"/>
      <c r="BP49" s="808"/>
      <c r="BQ49" s="808"/>
      <c r="BR49" s="808"/>
      <c r="BS49" s="808"/>
      <c r="BT49" s="808"/>
      <c r="BU49" s="808"/>
      <c r="BV49" s="808"/>
      <c r="BW49" s="808"/>
      <c r="BX49" s="808"/>
      <c r="BY49" s="808"/>
      <c r="BZ49" s="808"/>
      <c r="CA49" s="808"/>
      <c r="CB49" s="808"/>
      <c r="CC49" s="808"/>
      <c r="CD49" s="808"/>
      <c r="CE49" s="808"/>
      <c r="CF49" s="808"/>
      <c r="CG49" s="808"/>
      <c r="CH49" s="808"/>
      <c r="CI49" s="808"/>
      <c r="CJ49" s="808"/>
      <c r="CK49" s="808"/>
      <c r="CL49" s="808"/>
      <c r="CM49" s="808"/>
      <c r="CN49" s="809"/>
      <c r="CO49" s="807"/>
      <c r="CP49" s="808"/>
      <c r="CQ49" s="808"/>
      <c r="CR49" s="808"/>
      <c r="CS49" s="808"/>
      <c r="CT49" s="808"/>
      <c r="CU49" s="808"/>
      <c r="CV49" s="808"/>
      <c r="CW49" s="808"/>
      <c r="CX49" s="808"/>
      <c r="CY49" s="808"/>
      <c r="CZ49" s="808"/>
      <c r="DA49" s="808"/>
      <c r="DB49" s="808"/>
      <c r="DC49" s="808"/>
      <c r="DD49" s="808"/>
      <c r="DE49" s="808"/>
      <c r="DF49" s="808"/>
      <c r="DG49" s="808"/>
      <c r="DH49" s="808"/>
      <c r="DI49" s="808"/>
      <c r="DJ49" s="808"/>
      <c r="DK49" s="808"/>
      <c r="DL49" s="808"/>
      <c r="DM49" s="808"/>
      <c r="DN49" s="808"/>
      <c r="DO49" s="808"/>
      <c r="DP49" s="808"/>
      <c r="DQ49" s="808"/>
      <c r="DR49" s="809"/>
      <c r="DS49" s="807"/>
      <c r="DT49" s="808"/>
      <c r="DU49" s="808"/>
      <c r="DV49" s="808"/>
      <c r="DW49" s="808"/>
      <c r="DX49" s="808"/>
      <c r="DY49" s="808"/>
      <c r="DZ49" s="808"/>
      <c r="EA49" s="808"/>
      <c r="EB49" s="808"/>
      <c r="EC49" s="808"/>
      <c r="ED49" s="808"/>
      <c r="EE49" s="808"/>
      <c r="EF49" s="808"/>
      <c r="EG49" s="808"/>
      <c r="EH49" s="808"/>
      <c r="EI49" s="808"/>
      <c r="EJ49" s="808"/>
      <c r="EK49" s="808"/>
      <c r="EL49" s="808"/>
      <c r="EM49" s="808"/>
      <c r="EN49" s="808"/>
      <c r="EO49" s="808"/>
      <c r="EP49" s="808"/>
      <c r="EQ49" s="808"/>
      <c r="ER49" s="808"/>
      <c r="ES49" s="808"/>
      <c r="ET49" s="808"/>
      <c r="EU49" s="811"/>
      <c r="EV49" s="812"/>
      <c r="EW49" s="810"/>
      <c r="EX49" s="811"/>
      <c r="EY49" s="811"/>
      <c r="EZ49" s="811"/>
      <c r="FA49" s="811"/>
      <c r="FB49" s="811"/>
      <c r="FC49" s="811"/>
      <c r="FD49" s="811"/>
      <c r="FE49" s="811"/>
      <c r="FF49" s="811"/>
      <c r="FG49" s="811"/>
      <c r="FH49" s="811"/>
      <c r="FI49" s="811"/>
      <c r="FJ49" s="811"/>
      <c r="FK49" s="811"/>
      <c r="FL49" s="811"/>
      <c r="FM49" s="811"/>
      <c r="FN49" s="811"/>
      <c r="FO49" s="811"/>
      <c r="FP49" s="811"/>
      <c r="FQ49" s="811"/>
      <c r="FR49" s="811"/>
      <c r="FS49" s="811"/>
      <c r="FT49" s="811"/>
      <c r="FU49" s="811"/>
      <c r="FV49" s="808"/>
      <c r="FW49" s="808"/>
      <c r="FX49" s="808"/>
      <c r="FY49" s="808"/>
      <c r="FZ49" s="809"/>
      <c r="GA49" s="807"/>
      <c r="GB49" s="808"/>
      <c r="GC49" s="808"/>
      <c r="GD49" s="808"/>
      <c r="GE49" s="808"/>
      <c r="GF49" s="808"/>
      <c r="GG49" s="808"/>
      <c r="GH49" s="808"/>
      <c r="GI49" s="808"/>
      <c r="GJ49" s="808"/>
      <c r="GK49" s="808"/>
      <c r="GL49" s="808"/>
      <c r="GM49" s="808"/>
      <c r="GN49" s="808"/>
      <c r="GO49" s="808"/>
      <c r="GP49" s="808"/>
      <c r="GQ49" s="808"/>
      <c r="GR49" s="808"/>
      <c r="GS49" s="808"/>
      <c r="GT49" s="808"/>
      <c r="GU49" s="808"/>
      <c r="GV49" s="808"/>
      <c r="GW49" s="808"/>
      <c r="GX49" s="808"/>
      <c r="GY49" s="808"/>
      <c r="GZ49" s="808"/>
      <c r="HA49" s="808"/>
      <c r="HB49" s="808"/>
      <c r="HC49" s="808"/>
      <c r="HD49" s="809"/>
      <c r="HE49" s="807"/>
      <c r="HF49" s="808"/>
      <c r="HG49" s="808"/>
      <c r="HH49" s="808"/>
      <c r="HI49" s="808"/>
      <c r="HJ49" s="808"/>
      <c r="HK49" s="808"/>
      <c r="HL49" s="808"/>
      <c r="HM49" s="808"/>
      <c r="HN49" s="808"/>
      <c r="HO49" s="808"/>
      <c r="HP49" s="808"/>
      <c r="HQ49" s="808"/>
      <c r="HR49" s="808"/>
      <c r="HS49" s="808"/>
      <c r="HT49" s="808"/>
      <c r="HU49" s="808"/>
      <c r="HV49" s="808"/>
      <c r="HW49" s="808"/>
      <c r="HX49" s="808"/>
      <c r="HY49" s="808"/>
      <c r="HZ49" s="808"/>
      <c r="IA49" s="808"/>
      <c r="IB49" s="808"/>
      <c r="IC49" s="808"/>
      <c r="ID49" s="808"/>
      <c r="IE49" s="808"/>
      <c r="IF49" s="808"/>
      <c r="IG49" s="808"/>
      <c r="IH49" s="809"/>
    </row>
    <row r="50" spans="1:242" ht="33" x14ac:dyDescent="0.25">
      <c r="A50" s="823" t="s">
        <v>56</v>
      </c>
      <c r="B50" s="824" t="s">
        <v>57</v>
      </c>
      <c r="C50" s="825"/>
      <c r="D50" s="826"/>
      <c r="E50" s="826"/>
      <c r="F50" s="826"/>
      <c r="G50" s="826"/>
      <c r="H50" s="826"/>
      <c r="I50" s="826"/>
      <c r="J50" s="826"/>
      <c r="K50" s="826"/>
      <c r="L50" s="826"/>
      <c r="M50" s="826"/>
      <c r="N50" s="826"/>
      <c r="O50" s="826"/>
      <c r="P50" s="826"/>
      <c r="Q50" s="826"/>
      <c r="R50" s="826"/>
      <c r="S50" s="826"/>
      <c r="T50" s="826"/>
      <c r="U50" s="826"/>
      <c r="V50" s="826"/>
      <c r="W50" s="826"/>
      <c r="X50" s="826"/>
      <c r="Y50" s="826"/>
      <c r="Z50" s="826"/>
      <c r="AA50" s="826"/>
      <c r="AB50" s="826"/>
      <c r="AC50" s="826"/>
      <c r="AD50" s="826"/>
      <c r="AE50" s="826"/>
      <c r="AF50" s="824"/>
      <c r="AG50" s="825"/>
      <c r="AH50" s="826"/>
      <c r="AI50" s="826"/>
      <c r="AJ50" s="826"/>
      <c r="AK50" s="826"/>
      <c r="AL50" s="826"/>
      <c r="AM50" s="826"/>
      <c r="AN50" s="826"/>
      <c r="AO50" s="826"/>
      <c r="AP50" s="826"/>
      <c r="AQ50" s="826"/>
      <c r="AR50" s="826"/>
      <c r="AS50" s="826"/>
      <c r="AT50" s="826"/>
      <c r="AU50" s="826"/>
      <c r="AV50" s="826"/>
      <c r="AW50" s="826"/>
      <c r="AX50" s="826"/>
      <c r="AY50" s="826"/>
      <c r="AZ50" s="826"/>
      <c r="BA50" s="826"/>
      <c r="BB50" s="826"/>
      <c r="BC50" s="826"/>
      <c r="BD50" s="826"/>
      <c r="BE50" s="826"/>
      <c r="BF50" s="826"/>
      <c r="BG50" s="826"/>
      <c r="BH50" s="826"/>
      <c r="BI50" s="826"/>
      <c r="BJ50" s="824"/>
      <c r="BK50" s="807"/>
      <c r="BL50" s="808"/>
      <c r="BM50" s="808"/>
      <c r="BN50" s="808"/>
      <c r="BO50" s="808"/>
      <c r="BP50" s="808"/>
      <c r="BQ50" s="808"/>
      <c r="BR50" s="808"/>
      <c r="BS50" s="808"/>
      <c r="BT50" s="808"/>
      <c r="BU50" s="808"/>
      <c r="BV50" s="808"/>
      <c r="BW50" s="808"/>
      <c r="BX50" s="808"/>
      <c r="BY50" s="808"/>
      <c r="BZ50" s="808"/>
      <c r="CA50" s="808"/>
      <c r="CB50" s="808"/>
      <c r="CC50" s="808"/>
      <c r="CD50" s="808"/>
      <c r="CE50" s="808"/>
      <c r="CF50" s="808"/>
      <c r="CG50" s="808"/>
      <c r="CH50" s="808"/>
      <c r="CI50" s="808"/>
      <c r="CJ50" s="808"/>
      <c r="CK50" s="808"/>
      <c r="CL50" s="808"/>
      <c r="CM50" s="808"/>
      <c r="CN50" s="809"/>
      <c r="CO50" s="807"/>
      <c r="CP50" s="808"/>
      <c r="CQ50" s="808"/>
      <c r="CR50" s="808"/>
      <c r="CS50" s="808"/>
      <c r="CT50" s="808"/>
      <c r="CU50" s="808"/>
      <c r="CV50" s="808"/>
      <c r="CW50" s="808"/>
      <c r="CX50" s="808"/>
      <c r="CY50" s="808"/>
      <c r="CZ50" s="808"/>
      <c r="DA50" s="808"/>
      <c r="DB50" s="808"/>
      <c r="DC50" s="808"/>
      <c r="DD50" s="808"/>
      <c r="DE50" s="808"/>
      <c r="DF50" s="808"/>
      <c r="DG50" s="808"/>
      <c r="DH50" s="808"/>
      <c r="DI50" s="808"/>
      <c r="DJ50" s="808"/>
      <c r="DK50" s="808"/>
      <c r="DL50" s="808"/>
      <c r="DM50" s="808"/>
      <c r="DN50" s="808"/>
      <c r="DO50" s="808"/>
      <c r="DP50" s="808"/>
      <c r="DQ50" s="808"/>
      <c r="DR50" s="809"/>
      <c r="DS50" s="807"/>
      <c r="DT50" s="808"/>
      <c r="DU50" s="808"/>
      <c r="DV50" s="808"/>
      <c r="DW50" s="808"/>
      <c r="DX50" s="808"/>
      <c r="DY50" s="808"/>
      <c r="DZ50" s="808"/>
      <c r="EA50" s="808"/>
      <c r="EB50" s="808"/>
      <c r="EC50" s="808"/>
      <c r="ED50" s="808"/>
      <c r="EE50" s="808"/>
      <c r="EF50" s="808"/>
      <c r="EG50" s="808"/>
      <c r="EH50" s="808"/>
      <c r="EI50" s="808"/>
      <c r="EJ50" s="808"/>
      <c r="EK50" s="808"/>
      <c r="EL50" s="808"/>
      <c r="EM50" s="808"/>
      <c r="EN50" s="808"/>
      <c r="EO50" s="808"/>
      <c r="EP50" s="808"/>
      <c r="EQ50" s="808"/>
      <c r="ER50" s="808"/>
      <c r="ES50" s="808"/>
      <c r="ET50" s="808"/>
      <c r="EU50" s="811"/>
      <c r="EV50" s="812"/>
      <c r="EW50" s="810"/>
      <c r="EX50" s="811"/>
      <c r="EY50" s="811"/>
      <c r="EZ50" s="811"/>
      <c r="FA50" s="811"/>
      <c r="FB50" s="811"/>
      <c r="FC50" s="811"/>
      <c r="FD50" s="811"/>
      <c r="FE50" s="811"/>
      <c r="FF50" s="811"/>
      <c r="FG50" s="811"/>
      <c r="FH50" s="811"/>
      <c r="FI50" s="811"/>
      <c r="FJ50" s="811"/>
      <c r="FK50" s="811"/>
      <c r="FL50" s="811"/>
      <c r="FM50" s="811"/>
      <c r="FN50" s="811"/>
      <c r="FO50" s="811"/>
      <c r="FP50" s="811"/>
      <c r="FQ50" s="811"/>
      <c r="FR50" s="811"/>
      <c r="FS50" s="811"/>
      <c r="FT50" s="811"/>
      <c r="FU50" s="811"/>
      <c r="FV50" s="808"/>
      <c r="FW50" s="808"/>
      <c r="FX50" s="808"/>
      <c r="FY50" s="808"/>
      <c r="FZ50" s="809"/>
      <c r="GA50" s="807"/>
      <c r="GB50" s="808"/>
      <c r="GC50" s="808"/>
      <c r="GD50" s="808"/>
      <c r="GE50" s="808"/>
      <c r="GF50" s="808"/>
      <c r="GG50" s="808"/>
      <c r="GH50" s="808"/>
      <c r="GI50" s="808"/>
      <c r="GJ50" s="808"/>
      <c r="GK50" s="808"/>
      <c r="GL50" s="808"/>
      <c r="GM50" s="808"/>
      <c r="GN50" s="808"/>
      <c r="GO50" s="808"/>
      <c r="GP50" s="808"/>
      <c r="GQ50" s="808"/>
      <c r="GR50" s="808"/>
      <c r="GS50" s="808"/>
      <c r="GT50" s="808"/>
      <c r="GU50" s="808"/>
      <c r="GV50" s="808"/>
      <c r="GW50" s="808"/>
      <c r="GX50" s="808"/>
      <c r="GY50" s="808"/>
      <c r="GZ50" s="808"/>
      <c r="HA50" s="808"/>
      <c r="HB50" s="808"/>
      <c r="HC50" s="808"/>
      <c r="HD50" s="809"/>
      <c r="HE50" s="807"/>
      <c r="HF50" s="808"/>
      <c r="HG50" s="808"/>
      <c r="HH50" s="808"/>
      <c r="HI50" s="808"/>
      <c r="HJ50" s="808"/>
      <c r="HK50" s="808"/>
      <c r="HL50" s="808"/>
      <c r="HM50" s="808"/>
      <c r="HN50" s="808"/>
      <c r="HO50" s="808"/>
      <c r="HP50" s="808"/>
      <c r="HQ50" s="808"/>
      <c r="HR50" s="808"/>
      <c r="HS50" s="808"/>
      <c r="HT50" s="808"/>
      <c r="HU50" s="808"/>
      <c r="HV50" s="808"/>
      <c r="HW50" s="808"/>
      <c r="HX50" s="808"/>
      <c r="HY50" s="808"/>
      <c r="HZ50" s="808"/>
      <c r="IA50" s="808"/>
      <c r="IB50" s="808"/>
      <c r="IC50" s="808"/>
      <c r="ID50" s="808"/>
      <c r="IE50" s="808"/>
      <c r="IF50" s="808"/>
      <c r="IG50" s="808"/>
      <c r="IH50" s="809"/>
    </row>
    <row r="51" spans="1:242" x14ac:dyDescent="0.25">
      <c r="A51" s="823" t="s">
        <v>152</v>
      </c>
      <c r="B51" s="824" t="s">
        <v>151</v>
      </c>
      <c r="C51" s="825"/>
      <c r="D51" s="826"/>
      <c r="E51" s="826"/>
      <c r="F51" s="826"/>
      <c r="G51" s="826"/>
      <c r="H51" s="826"/>
      <c r="I51" s="826"/>
      <c r="J51" s="826"/>
      <c r="K51" s="826"/>
      <c r="L51" s="826"/>
      <c r="M51" s="826"/>
      <c r="N51" s="826"/>
      <c r="O51" s="826"/>
      <c r="P51" s="826"/>
      <c r="Q51" s="826"/>
      <c r="R51" s="826"/>
      <c r="S51" s="826"/>
      <c r="T51" s="826"/>
      <c r="U51" s="826"/>
      <c r="V51" s="826"/>
      <c r="W51" s="826"/>
      <c r="X51" s="826"/>
      <c r="Y51" s="826"/>
      <c r="Z51" s="826"/>
      <c r="AA51" s="826"/>
      <c r="AB51" s="826"/>
      <c r="AC51" s="826"/>
      <c r="AD51" s="826"/>
      <c r="AE51" s="826"/>
      <c r="AF51" s="824"/>
      <c r="AG51" s="825"/>
      <c r="AH51" s="826"/>
      <c r="AI51" s="826"/>
      <c r="AJ51" s="826"/>
      <c r="AK51" s="826"/>
      <c r="AL51" s="826"/>
      <c r="AM51" s="826"/>
      <c r="AN51" s="826"/>
      <c r="AO51" s="826"/>
      <c r="AP51" s="826"/>
      <c r="AQ51" s="826"/>
      <c r="AR51" s="826"/>
      <c r="AS51" s="826"/>
      <c r="AT51" s="826"/>
      <c r="AU51" s="826"/>
      <c r="AV51" s="826"/>
      <c r="AW51" s="826"/>
      <c r="AX51" s="826"/>
      <c r="AY51" s="826"/>
      <c r="AZ51" s="826"/>
      <c r="BA51" s="826"/>
      <c r="BB51" s="826"/>
      <c r="BC51" s="826"/>
      <c r="BD51" s="826"/>
      <c r="BE51" s="826"/>
      <c r="BF51" s="826"/>
      <c r="BG51" s="826"/>
      <c r="BH51" s="826"/>
      <c r="BI51" s="826"/>
      <c r="BJ51" s="824"/>
      <c r="BK51" s="807"/>
      <c r="BL51" s="808"/>
      <c r="BM51" s="808"/>
      <c r="BN51" s="808"/>
      <c r="BO51" s="808"/>
      <c r="BP51" s="808"/>
      <c r="BQ51" s="808"/>
      <c r="BR51" s="808"/>
      <c r="BS51" s="808"/>
      <c r="BT51" s="808"/>
      <c r="BU51" s="808"/>
      <c r="BV51" s="808"/>
      <c r="BW51" s="808"/>
      <c r="BX51" s="808"/>
      <c r="BY51" s="808"/>
      <c r="BZ51" s="808"/>
      <c r="CA51" s="808"/>
      <c r="CB51" s="808"/>
      <c r="CC51" s="808"/>
      <c r="CD51" s="808"/>
      <c r="CE51" s="808"/>
      <c r="CF51" s="808"/>
      <c r="CG51" s="808"/>
      <c r="CH51" s="808"/>
      <c r="CI51" s="808"/>
      <c r="CJ51" s="808"/>
      <c r="CK51" s="808"/>
      <c r="CL51" s="808"/>
      <c r="CM51" s="808"/>
      <c r="CN51" s="809"/>
      <c r="CO51" s="807"/>
      <c r="CP51" s="808"/>
      <c r="CQ51" s="808"/>
      <c r="CR51" s="808"/>
      <c r="CS51" s="808"/>
      <c r="CT51" s="808"/>
      <c r="CU51" s="808"/>
      <c r="CV51" s="808"/>
      <c r="CW51" s="808"/>
      <c r="CX51" s="808"/>
      <c r="CY51" s="808"/>
      <c r="CZ51" s="808"/>
      <c r="DA51" s="808"/>
      <c r="DB51" s="808"/>
      <c r="DC51" s="808"/>
      <c r="DD51" s="808"/>
      <c r="DE51" s="808"/>
      <c r="DF51" s="808"/>
      <c r="DG51" s="808"/>
      <c r="DH51" s="808"/>
      <c r="DI51" s="808"/>
      <c r="DJ51" s="808"/>
      <c r="DK51" s="808"/>
      <c r="DL51" s="808"/>
      <c r="DM51" s="808"/>
      <c r="DN51" s="808"/>
      <c r="DO51" s="808"/>
      <c r="DP51" s="808"/>
      <c r="DQ51" s="808"/>
      <c r="DR51" s="809"/>
      <c r="DS51" s="807"/>
      <c r="DT51" s="808"/>
      <c r="DU51" s="808"/>
      <c r="DV51" s="808"/>
      <c r="DW51" s="808"/>
      <c r="DX51" s="808"/>
      <c r="DY51" s="808"/>
      <c r="DZ51" s="808"/>
      <c r="EA51" s="808"/>
      <c r="EB51" s="808"/>
      <c r="EC51" s="808"/>
      <c r="ED51" s="808"/>
      <c r="EE51" s="808"/>
      <c r="EF51" s="808"/>
      <c r="EG51" s="808"/>
      <c r="EH51" s="808"/>
      <c r="EI51" s="808"/>
      <c r="EJ51" s="808"/>
      <c r="EK51" s="808"/>
      <c r="EL51" s="808"/>
      <c r="EM51" s="808"/>
      <c r="EN51" s="808"/>
      <c r="EO51" s="808"/>
      <c r="EP51" s="808"/>
      <c r="EQ51" s="808"/>
      <c r="ER51" s="808"/>
      <c r="ES51" s="808"/>
      <c r="ET51" s="808"/>
      <c r="EU51" s="811"/>
      <c r="EV51" s="812"/>
      <c r="EW51" s="810"/>
      <c r="EX51" s="811"/>
      <c r="EY51" s="811"/>
      <c r="EZ51" s="811"/>
      <c r="FA51" s="811"/>
      <c r="FB51" s="811"/>
      <c r="FC51" s="811"/>
      <c r="FD51" s="811"/>
      <c r="FE51" s="811"/>
      <c r="FF51" s="811"/>
      <c r="FG51" s="811"/>
      <c r="FH51" s="811"/>
      <c r="FI51" s="811"/>
      <c r="FJ51" s="811"/>
      <c r="FK51" s="811"/>
      <c r="FL51" s="811"/>
      <c r="FM51" s="811"/>
      <c r="FN51" s="811"/>
      <c r="FO51" s="811"/>
      <c r="FP51" s="811"/>
      <c r="FQ51" s="811"/>
      <c r="FR51" s="811"/>
      <c r="FS51" s="811"/>
      <c r="FT51" s="811"/>
      <c r="FU51" s="811"/>
      <c r="FV51" s="808"/>
      <c r="FW51" s="808"/>
      <c r="FX51" s="808"/>
      <c r="FY51" s="808"/>
      <c r="FZ51" s="809"/>
      <c r="GA51" s="807"/>
      <c r="GB51" s="808"/>
      <c r="GC51" s="808"/>
      <c r="GD51" s="808"/>
      <c r="GE51" s="808"/>
      <c r="GF51" s="808"/>
      <c r="GG51" s="808"/>
      <c r="GH51" s="808"/>
      <c r="GI51" s="808"/>
      <c r="GJ51" s="808"/>
      <c r="GK51" s="808"/>
      <c r="GL51" s="808"/>
      <c r="GM51" s="808"/>
      <c r="GN51" s="808"/>
      <c r="GO51" s="808"/>
      <c r="GP51" s="808"/>
      <c r="GQ51" s="808"/>
      <c r="GR51" s="808"/>
      <c r="GS51" s="808"/>
      <c r="GT51" s="808"/>
      <c r="GU51" s="808"/>
      <c r="GV51" s="808"/>
      <c r="GW51" s="808"/>
      <c r="GX51" s="808"/>
      <c r="GY51" s="808"/>
      <c r="GZ51" s="808"/>
      <c r="HA51" s="808"/>
      <c r="HB51" s="808"/>
      <c r="HC51" s="808"/>
      <c r="HD51" s="809"/>
      <c r="HE51" s="807"/>
      <c r="HF51" s="808"/>
      <c r="HG51" s="808"/>
      <c r="HH51" s="808"/>
      <c r="HI51" s="808"/>
      <c r="HJ51" s="808"/>
      <c r="HK51" s="808"/>
      <c r="HL51" s="808"/>
      <c r="HM51" s="808"/>
      <c r="HN51" s="808"/>
      <c r="HO51" s="808"/>
      <c r="HP51" s="808"/>
      <c r="HQ51" s="808"/>
      <c r="HR51" s="808"/>
      <c r="HS51" s="808"/>
      <c r="HT51" s="808"/>
      <c r="HU51" s="808"/>
      <c r="HV51" s="808"/>
      <c r="HW51" s="808"/>
      <c r="HX51" s="808"/>
      <c r="HY51" s="808"/>
      <c r="HZ51" s="808"/>
      <c r="IA51" s="808"/>
      <c r="IB51" s="808"/>
      <c r="IC51" s="808"/>
      <c r="ID51" s="808"/>
      <c r="IE51" s="808"/>
      <c r="IF51" s="808"/>
      <c r="IG51" s="808"/>
      <c r="IH51" s="809"/>
    </row>
    <row r="52" spans="1:242" ht="49.5" x14ac:dyDescent="0.25">
      <c r="A52" s="834">
        <v>710.1</v>
      </c>
      <c r="B52" s="824" t="s">
        <v>146</v>
      </c>
      <c r="C52" s="825"/>
      <c r="D52" s="826"/>
      <c r="E52" s="826"/>
      <c r="F52" s="826"/>
      <c r="G52" s="826"/>
      <c r="H52" s="826"/>
      <c r="I52" s="826"/>
      <c r="J52" s="826"/>
      <c r="K52" s="826"/>
      <c r="L52" s="826"/>
      <c r="M52" s="826"/>
      <c r="N52" s="826"/>
      <c r="O52" s="826"/>
      <c r="P52" s="826"/>
      <c r="Q52" s="826"/>
      <c r="R52" s="826"/>
      <c r="S52" s="826"/>
      <c r="T52" s="826"/>
      <c r="U52" s="826"/>
      <c r="V52" s="826"/>
      <c r="W52" s="826"/>
      <c r="X52" s="826"/>
      <c r="Y52" s="826"/>
      <c r="Z52" s="826"/>
      <c r="AA52" s="826"/>
      <c r="AB52" s="826"/>
      <c r="AC52" s="826"/>
      <c r="AD52" s="826"/>
      <c r="AE52" s="826"/>
      <c r="AF52" s="824"/>
      <c r="AG52" s="825"/>
      <c r="AH52" s="826"/>
      <c r="AI52" s="826"/>
      <c r="AJ52" s="826"/>
      <c r="AK52" s="826"/>
      <c r="AL52" s="826"/>
      <c r="AM52" s="826"/>
      <c r="AN52" s="826"/>
      <c r="AO52" s="826"/>
      <c r="AP52" s="826"/>
      <c r="AQ52" s="826"/>
      <c r="AR52" s="826"/>
      <c r="AS52" s="826"/>
      <c r="AT52" s="826"/>
      <c r="AU52" s="826"/>
      <c r="AV52" s="826"/>
      <c r="AW52" s="826"/>
      <c r="AX52" s="826"/>
      <c r="AY52" s="826"/>
      <c r="AZ52" s="826"/>
      <c r="BA52" s="826"/>
      <c r="BB52" s="826"/>
      <c r="BC52" s="826"/>
      <c r="BD52" s="826"/>
      <c r="BE52" s="826"/>
      <c r="BF52" s="826"/>
      <c r="BG52" s="826"/>
      <c r="BH52" s="826"/>
      <c r="BI52" s="826"/>
      <c r="BJ52" s="824"/>
      <c r="BK52" s="807"/>
      <c r="BL52" s="808"/>
      <c r="BM52" s="808"/>
      <c r="BN52" s="808"/>
      <c r="BO52" s="808"/>
      <c r="BP52" s="808"/>
      <c r="BQ52" s="808"/>
      <c r="BR52" s="808"/>
      <c r="BS52" s="808"/>
      <c r="BT52" s="808"/>
      <c r="BU52" s="808"/>
      <c r="BV52" s="808"/>
      <c r="BW52" s="808"/>
      <c r="BX52" s="808"/>
      <c r="BY52" s="808"/>
      <c r="BZ52" s="808"/>
      <c r="CA52" s="808"/>
      <c r="CB52" s="808"/>
      <c r="CC52" s="808"/>
      <c r="CD52" s="808"/>
      <c r="CE52" s="808"/>
      <c r="CF52" s="808"/>
      <c r="CG52" s="808"/>
      <c r="CH52" s="808"/>
      <c r="CI52" s="808"/>
      <c r="CJ52" s="808"/>
      <c r="CK52" s="808"/>
      <c r="CL52" s="808"/>
      <c r="CM52" s="808"/>
      <c r="CN52" s="809"/>
      <c r="CO52" s="807"/>
      <c r="CP52" s="808"/>
      <c r="CQ52" s="808"/>
      <c r="CR52" s="808"/>
      <c r="CS52" s="808"/>
      <c r="CT52" s="808"/>
      <c r="CU52" s="808"/>
      <c r="CV52" s="808"/>
      <c r="CW52" s="808"/>
      <c r="CX52" s="808"/>
      <c r="CY52" s="808"/>
      <c r="CZ52" s="808"/>
      <c r="DA52" s="808"/>
      <c r="DB52" s="808"/>
      <c r="DC52" s="808"/>
      <c r="DD52" s="808"/>
      <c r="DE52" s="808"/>
      <c r="DF52" s="808"/>
      <c r="DG52" s="808"/>
      <c r="DH52" s="808"/>
      <c r="DI52" s="808"/>
      <c r="DJ52" s="808"/>
      <c r="DK52" s="808"/>
      <c r="DL52" s="808"/>
      <c r="DM52" s="808"/>
      <c r="DN52" s="808"/>
      <c r="DO52" s="808"/>
      <c r="DP52" s="808"/>
      <c r="DQ52" s="808"/>
      <c r="DR52" s="809"/>
      <c r="DS52" s="807"/>
      <c r="DT52" s="808"/>
      <c r="DU52" s="808"/>
      <c r="DV52" s="808"/>
      <c r="DW52" s="808"/>
      <c r="DX52" s="808"/>
      <c r="DY52" s="808"/>
      <c r="DZ52" s="808"/>
      <c r="EA52" s="808"/>
      <c r="EB52" s="808"/>
      <c r="EC52" s="808"/>
      <c r="ED52" s="808"/>
      <c r="EE52" s="808"/>
      <c r="EF52" s="808"/>
      <c r="EG52" s="808"/>
      <c r="EH52" s="808"/>
      <c r="EI52" s="808"/>
      <c r="EJ52" s="808"/>
      <c r="EK52" s="808"/>
      <c r="EL52" s="808"/>
      <c r="EM52" s="808"/>
      <c r="EN52" s="808"/>
      <c r="EO52" s="808"/>
      <c r="EP52" s="808"/>
      <c r="EQ52" s="808"/>
      <c r="ER52" s="808"/>
      <c r="ES52" s="808"/>
      <c r="ET52" s="808"/>
      <c r="EU52" s="808"/>
      <c r="EV52" s="809"/>
      <c r="EW52" s="807"/>
      <c r="EX52" s="808"/>
      <c r="EY52" s="811"/>
      <c r="EZ52" s="811"/>
      <c r="FA52" s="811"/>
      <c r="FB52" s="811"/>
      <c r="FC52" s="811"/>
      <c r="FD52" s="811"/>
      <c r="FE52" s="811"/>
      <c r="FF52" s="811"/>
      <c r="FG52" s="811"/>
      <c r="FH52" s="811"/>
      <c r="FI52" s="811"/>
      <c r="FJ52" s="811"/>
      <c r="FK52" s="811"/>
      <c r="FL52" s="811"/>
      <c r="FM52" s="811"/>
      <c r="FN52" s="811"/>
      <c r="FO52" s="811"/>
      <c r="FP52" s="811"/>
      <c r="FQ52" s="811"/>
      <c r="FR52" s="811"/>
      <c r="FS52" s="811"/>
      <c r="FT52" s="811"/>
      <c r="FU52" s="811"/>
      <c r="FV52" s="811"/>
      <c r="FW52" s="811"/>
      <c r="FX52" s="811"/>
      <c r="FY52" s="811"/>
      <c r="FZ52" s="809"/>
      <c r="GA52" s="807"/>
      <c r="GB52" s="808"/>
      <c r="GC52" s="808"/>
      <c r="GD52" s="808"/>
      <c r="GE52" s="808"/>
      <c r="GF52" s="808"/>
      <c r="GG52" s="808"/>
      <c r="GH52" s="808"/>
      <c r="GI52" s="808"/>
      <c r="GJ52" s="808"/>
      <c r="GK52" s="808"/>
      <c r="GL52" s="808"/>
      <c r="GM52" s="808"/>
      <c r="GN52" s="808"/>
      <c r="GO52" s="808"/>
      <c r="GP52" s="808"/>
      <c r="GQ52" s="808"/>
      <c r="GR52" s="808"/>
      <c r="GS52" s="808"/>
      <c r="GT52" s="808"/>
      <c r="GU52" s="808"/>
      <c r="GV52" s="808"/>
      <c r="GW52" s="808"/>
      <c r="GX52" s="808"/>
      <c r="GY52" s="808"/>
      <c r="GZ52" s="808"/>
      <c r="HA52" s="808"/>
      <c r="HB52" s="808"/>
      <c r="HC52" s="808"/>
      <c r="HD52" s="809"/>
      <c r="HE52" s="807"/>
      <c r="HF52" s="808"/>
      <c r="HG52" s="808"/>
      <c r="HH52" s="808"/>
      <c r="HI52" s="808"/>
      <c r="HJ52" s="808"/>
      <c r="HK52" s="808"/>
      <c r="HL52" s="808"/>
      <c r="HM52" s="808"/>
      <c r="HN52" s="808"/>
      <c r="HO52" s="808"/>
      <c r="HP52" s="808"/>
      <c r="HQ52" s="808"/>
      <c r="HR52" s="808"/>
      <c r="HS52" s="808"/>
      <c r="HT52" s="808"/>
      <c r="HU52" s="808"/>
      <c r="HV52" s="808"/>
      <c r="HW52" s="808"/>
      <c r="HX52" s="808"/>
      <c r="HY52" s="808"/>
      <c r="HZ52" s="808"/>
      <c r="IA52" s="808"/>
      <c r="IB52" s="808"/>
      <c r="IC52" s="808"/>
      <c r="ID52" s="808"/>
      <c r="IE52" s="808"/>
      <c r="IF52" s="808"/>
      <c r="IG52" s="808"/>
      <c r="IH52" s="809"/>
    </row>
    <row r="53" spans="1:242" ht="49.5" x14ac:dyDescent="0.25">
      <c r="A53" s="834">
        <v>710.2</v>
      </c>
      <c r="B53" s="824" t="s">
        <v>148</v>
      </c>
      <c r="C53" s="825"/>
      <c r="D53" s="826"/>
      <c r="E53" s="826"/>
      <c r="F53" s="826"/>
      <c r="G53" s="826"/>
      <c r="H53" s="826"/>
      <c r="I53" s="826"/>
      <c r="J53" s="826"/>
      <c r="K53" s="826"/>
      <c r="L53" s="826"/>
      <c r="M53" s="826"/>
      <c r="N53" s="826"/>
      <c r="O53" s="826"/>
      <c r="P53" s="826"/>
      <c r="Q53" s="826"/>
      <c r="R53" s="826"/>
      <c r="S53" s="826"/>
      <c r="T53" s="826"/>
      <c r="U53" s="826"/>
      <c r="V53" s="826"/>
      <c r="W53" s="826"/>
      <c r="X53" s="826"/>
      <c r="Y53" s="826"/>
      <c r="Z53" s="826"/>
      <c r="AA53" s="826"/>
      <c r="AB53" s="826"/>
      <c r="AC53" s="826"/>
      <c r="AD53" s="826"/>
      <c r="AE53" s="826"/>
      <c r="AF53" s="824"/>
      <c r="AG53" s="825"/>
      <c r="AH53" s="826"/>
      <c r="AI53" s="826"/>
      <c r="AJ53" s="826"/>
      <c r="AK53" s="826"/>
      <c r="AL53" s="826"/>
      <c r="AM53" s="826"/>
      <c r="AN53" s="826"/>
      <c r="AO53" s="826"/>
      <c r="AP53" s="826"/>
      <c r="AQ53" s="826"/>
      <c r="AR53" s="826"/>
      <c r="AS53" s="826"/>
      <c r="AT53" s="826"/>
      <c r="AU53" s="826"/>
      <c r="AV53" s="826"/>
      <c r="AW53" s="826"/>
      <c r="AX53" s="826"/>
      <c r="AY53" s="826"/>
      <c r="AZ53" s="826"/>
      <c r="BA53" s="826"/>
      <c r="BB53" s="826"/>
      <c r="BC53" s="826"/>
      <c r="BD53" s="826"/>
      <c r="BE53" s="826"/>
      <c r="BF53" s="826"/>
      <c r="BG53" s="826"/>
      <c r="BH53" s="826"/>
      <c r="BI53" s="826"/>
      <c r="BJ53" s="824"/>
      <c r="BK53" s="807"/>
      <c r="BL53" s="808"/>
      <c r="BM53" s="808"/>
      <c r="BN53" s="808"/>
      <c r="BO53" s="808"/>
      <c r="BP53" s="808"/>
      <c r="BQ53" s="808"/>
      <c r="BR53" s="808"/>
      <c r="BS53" s="808"/>
      <c r="BT53" s="808"/>
      <c r="BU53" s="808"/>
      <c r="BV53" s="808"/>
      <c r="BW53" s="808"/>
      <c r="BX53" s="808"/>
      <c r="BY53" s="808"/>
      <c r="BZ53" s="808"/>
      <c r="CA53" s="808"/>
      <c r="CB53" s="808"/>
      <c r="CC53" s="808"/>
      <c r="CD53" s="808"/>
      <c r="CE53" s="808"/>
      <c r="CF53" s="808"/>
      <c r="CG53" s="808"/>
      <c r="CH53" s="808"/>
      <c r="CI53" s="808"/>
      <c r="CJ53" s="808"/>
      <c r="CK53" s="808"/>
      <c r="CL53" s="808"/>
      <c r="CM53" s="808"/>
      <c r="CN53" s="809"/>
      <c r="CO53" s="807"/>
      <c r="CP53" s="808"/>
      <c r="CQ53" s="808"/>
      <c r="CR53" s="808"/>
      <c r="CS53" s="808"/>
      <c r="CT53" s="808"/>
      <c r="CU53" s="808"/>
      <c r="CV53" s="808"/>
      <c r="CW53" s="808"/>
      <c r="CX53" s="808"/>
      <c r="CY53" s="808"/>
      <c r="CZ53" s="808"/>
      <c r="DA53" s="808"/>
      <c r="DB53" s="808"/>
      <c r="DC53" s="808"/>
      <c r="DD53" s="808"/>
      <c r="DE53" s="808"/>
      <c r="DF53" s="808"/>
      <c r="DG53" s="808"/>
      <c r="DH53" s="808"/>
      <c r="DI53" s="808"/>
      <c r="DJ53" s="808"/>
      <c r="DK53" s="808"/>
      <c r="DL53" s="808"/>
      <c r="DM53" s="808"/>
      <c r="DN53" s="808"/>
      <c r="DO53" s="808"/>
      <c r="DP53" s="808"/>
      <c r="DQ53" s="808"/>
      <c r="DR53" s="809"/>
      <c r="DS53" s="807"/>
      <c r="DT53" s="808"/>
      <c r="DU53" s="808"/>
      <c r="DV53" s="808"/>
      <c r="DW53" s="808"/>
      <c r="DX53" s="808"/>
      <c r="DY53" s="808"/>
      <c r="DZ53" s="808"/>
      <c r="EA53" s="808"/>
      <c r="EB53" s="808"/>
      <c r="EC53" s="808"/>
      <c r="ED53" s="808"/>
      <c r="EE53" s="808"/>
      <c r="EF53" s="808"/>
      <c r="EG53" s="808"/>
      <c r="EH53" s="808"/>
      <c r="EI53" s="808"/>
      <c r="EJ53" s="808"/>
      <c r="EK53" s="808"/>
      <c r="EL53" s="808"/>
      <c r="EM53" s="808"/>
      <c r="EN53" s="808"/>
      <c r="EO53" s="808"/>
      <c r="EP53" s="808"/>
      <c r="EQ53" s="808"/>
      <c r="ER53" s="808"/>
      <c r="ES53" s="808"/>
      <c r="ET53" s="808"/>
      <c r="EU53" s="808"/>
      <c r="EV53" s="809"/>
      <c r="EW53" s="807"/>
      <c r="EX53" s="808"/>
      <c r="EY53" s="811"/>
      <c r="EZ53" s="811"/>
      <c r="FA53" s="811"/>
      <c r="FB53" s="811"/>
      <c r="FC53" s="811"/>
      <c r="FD53" s="811"/>
      <c r="FE53" s="811"/>
      <c r="FF53" s="811"/>
      <c r="FG53" s="811"/>
      <c r="FH53" s="811"/>
      <c r="FI53" s="811"/>
      <c r="FJ53" s="811"/>
      <c r="FK53" s="811"/>
      <c r="FL53" s="811"/>
      <c r="FM53" s="811"/>
      <c r="FN53" s="811"/>
      <c r="FO53" s="811"/>
      <c r="FP53" s="811"/>
      <c r="FQ53" s="811"/>
      <c r="FR53" s="811"/>
      <c r="FS53" s="811"/>
      <c r="FT53" s="811"/>
      <c r="FU53" s="811"/>
      <c r="FV53" s="811"/>
      <c r="FW53" s="811"/>
      <c r="FX53" s="811"/>
      <c r="FY53" s="811"/>
      <c r="FZ53" s="809"/>
      <c r="GA53" s="807"/>
      <c r="GB53" s="808"/>
      <c r="GC53" s="808"/>
      <c r="GD53" s="808"/>
      <c r="GE53" s="808"/>
      <c r="GF53" s="808"/>
      <c r="GG53" s="808"/>
      <c r="GH53" s="808"/>
      <c r="GI53" s="808"/>
      <c r="GJ53" s="808"/>
      <c r="GK53" s="808"/>
      <c r="GL53" s="808"/>
      <c r="GM53" s="808"/>
      <c r="GN53" s="808"/>
      <c r="GO53" s="808"/>
      <c r="GP53" s="808"/>
      <c r="GQ53" s="808"/>
      <c r="GR53" s="808"/>
      <c r="GS53" s="808"/>
      <c r="GT53" s="808"/>
      <c r="GU53" s="808"/>
      <c r="GV53" s="808"/>
      <c r="GW53" s="808"/>
      <c r="GX53" s="808"/>
      <c r="GY53" s="808"/>
      <c r="GZ53" s="808"/>
      <c r="HA53" s="808"/>
      <c r="HB53" s="808"/>
      <c r="HC53" s="808"/>
      <c r="HD53" s="809"/>
      <c r="HE53" s="807"/>
      <c r="HF53" s="808"/>
      <c r="HG53" s="808"/>
      <c r="HH53" s="808"/>
      <c r="HI53" s="808"/>
      <c r="HJ53" s="808"/>
      <c r="HK53" s="808"/>
      <c r="HL53" s="808"/>
      <c r="HM53" s="808"/>
      <c r="HN53" s="808"/>
      <c r="HO53" s="808"/>
      <c r="HP53" s="808"/>
      <c r="HQ53" s="808"/>
      <c r="HR53" s="808"/>
      <c r="HS53" s="808"/>
      <c r="HT53" s="808"/>
      <c r="HU53" s="808"/>
      <c r="HV53" s="808"/>
      <c r="HW53" s="808"/>
      <c r="HX53" s="808"/>
      <c r="HY53" s="808"/>
      <c r="HZ53" s="808"/>
      <c r="IA53" s="808"/>
      <c r="IB53" s="808"/>
      <c r="IC53" s="808"/>
      <c r="ID53" s="808"/>
      <c r="IE53" s="808"/>
      <c r="IF53" s="808"/>
      <c r="IG53" s="808"/>
      <c r="IH53" s="809"/>
    </row>
    <row r="54" spans="1:242" x14ac:dyDescent="0.25">
      <c r="A54" s="823" t="s">
        <v>60</v>
      </c>
      <c r="B54" s="824" t="s">
        <v>61</v>
      </c>
      <c r="C54" s="825"/>
      <c r="D54" s="826"/>
      <c r="E54" s="826"/>
      <c r="F54" s="826"/>
      <c r="G54" s="826"/>
      <c r="H54" s="826"/>
      <c r="I54" s="826"/>
      <c r="J54" s="826"/>
      <c r="K54" s="826"/>
      <c r="L54" s="826"/>
      <c r="M54" s="826"/>
      <c r="N54" s="826"/>
      <c r="O54" s="826"/>
      <c r="P54" s="826"/>
      <c r="Q54" s="826"/>
      <c r="R54" s="826"/>
      <c r="S54" s="826"/>
      <c r="T54" s="826"/>
      <c r="U54" s="826"/>
      <c r="V54" s="826"/>
      <c r="W54" s="826"/>
      <c r="X54" s="826"/>
      <c r="Y54" s="826"/>
      <c r="Z54" s="826"/>
      <c r="AA54" s="826"/>
      <c r="AB54" s="826"/>
      <c r="AC54" s="826"/>
      <c r="AD54" s="826"/>
      <c r="AE54" s="826"/>
      <c r="AF54" s="824"/>
      <c r="AG54" s="825"/>
      <c r="AH54" s="826"/>
      <c r="AI54" s="826"/>
      <c r="AJ54" s="826"/>
      <c r="AK54" s="826"/>
      <c r="AL54" s="826"/>
      <c r="AM54" s="826"/>
      <c r="AN54" s="826"/>
      <c r="AO54" s="826"/>
      <c r="AP54" s="826"/>
      <c r="AQ54" s="826"/>
      <c r="AR54" s="826"/>
      <c r="AS54" s="826"/>
      <c r="AT54" s="826"/>
      <c r="AU54" s="826"/>
      <c r="AV54" s="826"/>
      <c r="AW54" s="826"/>
      <c r="AX54" s="826"/>
      <c r="AY54" s="826"/>
      <c r="AZ54" s="826"/>
      <c r="BA54" s="826"/>
      <c r="BB54" s="826"/>
      <c r="BC54" s="826"/>
      <c r="BD54" s="826"/>
      <c r="BE54" s="826"/>
      <c r="BF54" s="826"/>
      <c r="BG54" s="826"/>
      <c r="BH54" s="826"/>
      <c r="BI54" s="826"/>
      <c r="BJ54" s="824"/>
      <c r="BK54" s="807"/>
      <c r="BL54" s="808"/>
      <c r="BM54" s="808"/>
      <c r="BN54" s="808"/>
      <c r="BO54" s="808"/>
      <c r="BP54" s="808"/>
      <c r="BQ54" s="808"/>
      <c r="BR54" s="808"/>
      <c r="BS54" s="808"/>
      <c r="BT54" s="808"/>
      <c r="BU54" s="808"/>
      <c r="BV54" s="808"/>
      <c r="BW54" s="808"/>
      <c r="BX54" s="808"/>
      <c r="BY54" s="808"/>
      <c r="BZ54" s="808"/>
      <c r="CA54" s="808"/>
      <c r="CB54" s="808"/>
      <c r="CC54" s="808"/>
      <c r="CD54" s="808"/>
      <c r="CE54" s="808"/>
      <c r="CF54" s="808"/>
      <c r="CG54" s="808"/>
      <c r="CH54" s="808"/>
      <c r="CI54" s="808"/>
      <c r="CJ54" s="808"/>
      <c r="CK54" s="808"/>
      <c r="CL54" s="808"/>
      <c r="CM54" s="808"/>
      <c r="CN54" s="809"/>
      <c r="CO54" s="807"/>
      <c r="CP54" s="808"/>
      <c r="CQ54" s="808"/>
      <c r="CR54" s="808"/>
      <c r="CS54" s="808"/>
      <c r="CT54" s="808"/>
      <c r="CU54" s="808"/>
      <c r="CV54" s="808"/>
      <c r="CW54" s="808"/>
      <c r="CX54" s="808"/>
      <c r="CY54" s="808"/>
      <c r="CZ54" s="808"/>
      <c r="DA54" s="808"/>
      <c r="DB54" s="808"/>
      <c r="DC54" s="808"/>
      <c r="DD54" s="808"/>
      <c r="DE54" s="808"/>
      <c r="DF54" s="808"/>
      <c r="DG54" s="808"/>
      <c r="DH54" s="808"/>
      <c r="DI54" s="808"/>
      <c r="DJ54" s="808"/>
      <c r="DK54" s="808"/>
      <c r="DL54" s="808"/>
      <c r="DM54" s="808"/>
      <c r="DN54" s="808"/>
      <c r="DO54" s="808"/>
      <c r="DP54" s="808"/>
      <c r="DQ54" s="808"/>
      <c r="DR54" s="809"/>
      <c r="DS54" s="807"/>
      <c r="DT54" s="808"/>
      <c r="DU54" s="808"/>
      <c r="DV54" s="808"/>
      <c r="DW54" s="808"/>
      <c r="DX54" s="808"/>
      <c r="DY54" s="808"/>
      <c r="DZ54" s="808"/>
      <c r="EA54" s="808"/>
      <c r="EB54" s="808"/>
      <c r="EC54" s="808"/>
      <c r="ED54" s="808"/>
      <c r="EE54" s="808"/>
      <c r="EF54" s="808"/>
      <c r="EG54" s="808"/>
      <c r="EH54" s="808"/>
      <c r="EI54" s="808"/>
      <c r="EJ54" s="808"/>
      <c r="EK54" s="808"/>
      <c r="EL54" s="808"/>
      <c r="EM54" s="808"/>
      <c r="EN54" s="808"/>
      <c r="EO54" s="808"/>
      <c r="EP54" s="808"/>
      <c r="EQ54" s="808"/>
      <c r="ER54" s="808"/>
      <c r="ES54" s="808"/>
      <c r="ET54" s="808"/>
      <c r="EU54" s="811"/>
      <c r="EV54" s="812"/>
      <c r="EW54" s="810"/>
      <c r="EX54" s="811"/>
      <c r="EY54" s="811"/>
      <c r="EZ54" s="811"/>
      <c r="FA54" s="811"/>
      <c r="FB54" s="811"/>
      <c r="FC54" s="811"/>
      <c r="FD54" s="811"/>
      <c r="FE54" s="811"/>
      <c r="FF54" s="811"/>
      <c r="FG54" s="811"/>
      <c r="FH54" s="811"/>
      <c r="FI54" s="811"/>
      <c r="FJ54" s="811"/>
      <c r="FK54" s="811"/>
      <c r="FL54" s="811"/>
      <c r="FM54" s="811"/>
      <c r="FN54" s="811"/>
      <c r="FO54" s="811"/>
      <c r="FP54" s="811"/>
      <c r="FQ54" s="811"/>
      <c r="FR54" s="811"/>
      <c r="FS54" s="811"/>
      <c r="FT54" s="811"/>
      <c r="FU54" s="811"/>
      <c r="FV54" s="808"/>
      <c r="FW54" s="808"/>
      <c r="FX54" s="808"/>
      <c r="FY54" s="808"/>
      <c r="FZ54" s="809"/>
      <c r="GA54" s="807"/>
      <c r="GB54" s="808"/>
      <c r="GC54" s="808"/>
      <c r="GD54" s="808"/>
      <c r="GE54" s="808"/>
      <c r="GF54" s="808"/>
      <c r="GG54" s="808"/>
      <c r="GH54" s="808"/>
      <c r="GI54" s="808"/>
      <c r="GJ54" s="808"/>
      <c r="GK54" s="808"/>
      <c r="GL54" s="808"/>
      <c r="GM54" s="808"/>
      <c r="GN54" s="808"/>
      <c r="GO54" s="808"/>
      <c r="GP54" s="808"/>
      <c r="GQ54" s="808"/>
      <c r="GR54" s="808"/>
      <c r="GS54" s="808"/>
      <c r="GT54" s="808"/>
      <c r="GU54" s="808"/>
      <c r="GV54" s="808"/>
      <c r="GW54" s="808"/>
      <c r="GX54" s="808"/>
      <c r="GY54" s="808"/>
      <c r="GZ54" s="808"/>
      <c r="HA54" s="808"/>
      <c r="HB54" s="808"/>
      <c r="HC54" s="808"/>
      <c r="HD54" s="809"/>
      <c r="HE54" s="807"/>
      <c r="HF54" s="808"/>
      <c r="HG54" s="808"/>
      <c r="HH54" s="808"/>
      <c r="HI54" s="808"/>
      <c r="HJ54" s="808"/>
      <c r="HK54" s="808"/>
      <c r="HL54" s="808"/>
      <c r="HM54" s="808"/>
      <c r="HN54" s="808"/>
      <c r="HO54" s="808"/>
      <c r="HP54" s="808"/>
      <c r="HQ54" s="808"/>
      <c r="HR54" s="808"/>
      <c r="HS54" s="808"/>
      <c r="HT54" s="808"/>
      <c r="HU54" s="808"/>
      <c r="HV54" s="808"/>
      <c r="HW54" s="808"/>
      <c r="HX54" s="808"/>
      <c r="HY54" s="808"/>
      <c r="HZ54" s="808"/>
      <c r="IA54" s="808"/>
      <c r="IB54" s="808"/>
      <c r="IC54" s="808"/>
      <c r="ID54" s="808"/>
      <c r="IE54" s="808"/>
      <c r="IF54" s="808"/>
      <c r="IG54" s="808"/>
      <c r="IH54" s="809"/>
    </row>
    <row r="55" spans="1:242" ht="33" x14ac:dyDescent="0.25">
      <c r="A55" s="823" t="s">
        <v>62</v>
      </c>
      <c r="B55" s="824" t="s">
        <v>63</v>
      </c>
      <c r="C55" s="825"/>
      <c r="D55" s="826"/>
      <c r="E55" s="826"/>
      <c r="F55" s="826"/>
      <c r="G55" s="826"/>
      <c r="H55" s="826"/>
      <c r="I55" s="826"/>
      <c r="J55" s="826"/>
      <c r="K55" s="826"/>
      <c r="L55" s="826"/>
      <c r="M55" s="826"/>
      <c r="N55" s="826"/>
      <c r="O55" s="826"/>
      <c r="P55" s="826"/>
      <c r="Q55" s="826"/>
      <c r="R55" s="826"/>
      <c r="S55" s="826"/>
      <c r="T55" s="826"/>
      <c r="U55" s="826"/>
      <c r="V55" s="826"/>
      <c r="W55" s="826"/>
      <c r="X55" s="826"/>
      <c r="Y55" s="826"/>
      <c r="Z55" s="826"/>
      <c r="AA55" s="826"/>
      <c r="AB55" s="826"/>
      <c r="AC55" s="826"/>
      <c r="AD55" s="826"/>
      <c r="AE55" s="826"/>
      <c r="AF55" s="824"/>
      <c r="AG55" s="825"/>
      <c r="AH55" s="826"/>
      <c r="AI55" s="826"/>
      <c r="AJ55" s="826"/>
      <c r="AK55" s="826"/>
      <c r="AL55" s="826"/>
      <c r="AM55" s="826"/>
      <c r="AN55" s="826"/>
      <c r="AO55" s="826"/>
      <c r="AP55" s="826"/>
      <c r="AQ55" s="826"/>
      <c r="AR55" s="826"/>
      <c r="AS55" s="826"/>
      <c r="AT55" s="826"/>
      <c r="AU55" s="826"/>
      <c r="AV55" s="826"/>
      <c r="AW55" s="826"/>
      <c r="AX55" s="826"/>
      <c r="AY55" s="826"/>
      <c r="AZ55" s="826"/>
      <c r="BA55" s="826"/>
      <c r="BB55" s="826"/>
      <c r="BC55" s="826"/>
      <c r="BD55" s="826"/>
      <c r="BE55" s="826"/>
      <c r="BF55" s="826"/>
      <c r="BG55" s="826"/>
      <c r="BH55" s="826"/>
      <c r="BI55" s="826"/>
      <c r="BJ55" s="824"/>
      <c r="BK55" s="807"/>
      <c r="BL55" s="808"/>
      <c r="BM55" s="808"/>
      <c r="BN55" s="808"/>
      <c r="BO55" s="808"/>
      <c r="BP55" s="808"/>
      <c r="BQ55" s="808"/>
      <c r="BR55" s="808"/>
      <c r="BS55" s="808"/>
      <c r="BT55" s="808"/>
      <c r="BU55" s="808"/>
      <c r="BV55" s="808"/>
      <c r="BW55" s="808"/>
      <c r="BX55" s="808"/>
      <c r="BY55" s="808"/>
      <c r="BZ55" s="808"/>
      <c r="CA55" s="808"/>
      <c r="CB55" s="808"/>
      <c r="CC55" s="808"/>
      <c r="CD55" s="808"/>
      <c r="CE55" s="808"/>
      <c r="CF55" s="808"/>
      <c r="CG55" s="808"/>
      <c r="CH55" s="808"/>
      <c r="CI55" s="808"/>
      <c r="CJ55" s="808"/>
      <c r="CK55" s="808"/>
      <c r="CL55" s="808"/>
      <c r="CM55" s="808"/>
      <c r="CN55" s="809"/>
      <c r="CO55" s="807"/>
      <c r="CP55" s="808"/>
      <c r="CQ55" s="808"/>
      <c r="CR55" s="808"/>
      <c r="CS55" s="808"/>
      <c r="CT55" s="808"/>
      <c r="CU55" s="808"/>
      <c r="CV55" s="808"/>
      <c r="CW55" s="808"/>
      <c r="CX55" s="808"/>
      <c r="CY55" s="808"/>
      <c r="CZ55" s="808"/>
      <c r="DA55" s="808"/>
      <c r="DB55" s="808"/>
      <c r="DC55" s="808"/>
      <c r="DD55" s="808"/>
      <c r="DE55" s="808"/>
      <c r="DF55" s="808"/>
      <c r="DG55" s="808"/>
      <c r="DH55" s="808"/>
      <c r="DI55" s="808"/>
      <c r="DJ55" s="808"/>
      <c r="DK55" s="808"/>
      <c r="DL55" s="808"/>
      <c r="DM55" s="808"/>
      <c r="DN55" s="808"/>
      <c r="DO55" s="808"/>
      <c r="DP55" s="808"/>
      <c r="DQ55" s="808"/>
      <c r="DR55" s="809"/>
      <c r="DS55" s="807"/>
      <c r="DT55" s="808"/>
      <c r="DU55" s="808"/>
      <c r="DV55" s="808"/>
      <c r="DW55" s="808"/>
      <c r="DX55" s="808"/>
      <c r="DY55" s="808"/>
      <c r="DZ55" s="808"/>
      <c r="EA55" s="808"/>
      <c r="EB55" s="808"/>
      <c r="EC55" s="808"/>
      <c r="ED55" s="808"/>
      <c r="EE55" s="808"/>
      <c r="EF55" s="808"/>
      <c r="EG55" s="808"/>
      <c r="EH55" s="808"/>
      <c r="EI55" s="808"/>
      <c r="EJ55" s="808"/>
      <c r="EK55" s="808"/>
      <c r="EL55" s="808"/>
      <c r="EM55" s="808"/>
      <c r="EN55" s="808"/>
      <c r="EO55" s="808"/>
      <c r="EP55" s="808"/>
      <c r="EQ55" s="808"/>
      <c r="ER55" s="808"/>
      <c r="ES55" s="808"/>
      <c r="ET55" s="808"/>
      <c r="EU55" s="808"/>
      <c r="EV55" s="809"/>
      <c r="EW55" s="807"/>
      <c r="EX55" s="811"/>
      <c r="EY55" s="811"/>
      <c r="EZ55" s="811"/>
      <c r="FA55" s="811"/>
      <c r="FB55" s="811"/>
      <c r="FC55" s="811"/>
      <c r="FD55" s="811"/>
      <c r="FE55" s="811"/>
      <c r="FF55" s="811"/>
      <c r="FG55" s="811"/>
      <c r="FH55" s="811"/>
      <c r="FI55" s="811"/>
      <c r="FJ55" s="811"/>
      <c r="FK55" s="811"/>
      <c r="FL55" s="811"/>
      <c r="FM55" s="811"/>
      <c r="FN55" s="811"/>
      <c r="FO55" s="811"/>
      <c r="FP55" s="811"/>
      <c r="FQ55" s="811"/>
      <c r="FR55" s="811"/>
      <c r="FS55" s="811"/>
      <c r="FT55" s="811"/>
      <c r="FU55" s="811"/>
      <c r="FV55" s="811"/>
      <c r="FW55" s="811"/>
      <c r="FX55" s="811"/>
      <c r="FY55" s="808"/>
      <c r="FZ55" s="809"/>
      <c r="GA55" s="807"/>
      <c r="GB55" s="808"/>
      <c r="GC55" s="808"/>
      <c r="GD55" s="808"/>
      <c r="GE55" s="808"/>
      <c r="GF55" s="808"/>
      <c r="GG55" s="808"/>
      <c r="GH55" s="808"/>
      <c r="GI55" s="808"/>
      <c r="GJ55" s="808"/>
      <c r="GK55" s="808"/>
      <c r="GL55" s="808"/>
      <c r="GM55" s="808"/>
      <c r="GN55" s="808"/>
      <c r="GO55" s="808"/>
      <c r="GP55" s="808"/>
      <c r="GQ55" s="808"/>
      <c r="GR55" s="808"/>
      <c r="GS55" s="808"/>
      <c r="GT55" s="808"/>
      <c r="GU55" s="808"/>
      <c r="GV55" s="808"/>
      <c r="GW55" s="808"/>
      <c r="GX55" s="808"/>
      <c r="GY55" s="808"/>
      <c r="GZ55" s="808"/>
      <c r="HA55" s="808"/>
      <c r="HB55" s="808"/>
      <c r="HC55" s="808"/>
      <c r="HD55" s="809"/>
      <c r="HE55" s="807"/>
      <c r="HF55" s="808"/>
      <c r="HG55" s="808"/>
      <c r="HH55" s="808"/>
      <c r="HI55" s="808"/>
      <c r="HJ55" s="808"/>
      <c r="HK55" s="808"/>
      <c r="HL55" s="808"/>
      <c r="HM55" s="808"/>
      <c r="HN55" s="808"/>
      <c r="HO55" s="808"/>
      <c r="HP55" s="808"/>
      <c r="HQ55" s="808"/>
      <c r="HR55" s="808"/>
      <c r="HS55" s="808"/>
      <c r="HT55" s="808"/>
      <c r="HU55" s="808"/>
      <c r="HV55" s="808"/>
      <c r="HW55" s="808"/>
      <c r="HX55" s="808"/>
      <c r="HY55" s="808"/>
      <c r="HZ55" s="808"/>
      <c r="IA55" s="808"/>
      <c r="IB55" s="808"/>
      <c r="IC55" s="808"/>
      <c r="ID55" s="808"/>
      <c r="IE55" s="808"/>
      <c r="IF55" s="808"/>
      <c r="IG55" s="808"/>
      <c r="IH55" s="809"/>
    </row>
    <row r="56" spans="1:242" x14ac:dyDescent="0.25">
      <c r="A56" s="823" t="s">
        <v>64</v>
      </c>
      <c r="B56" s="824" t="s">
        <v>66</v>
      </c>
      <c r="C56" s="825"/>
      <c r="D56" s="826"/>
      <c r="E56" s="826"/>
      <c r="F56" s="826"/>
      <c r="G56" s="826"/>
      <c r="H56" s="826"/>
      <c r="I56" s="826"/>
      <c r="J56" s="826"/>
      <c r="K56" s="826"/>
      <c r="L56" s="826"/>
      <c r="M56" s="826"/>
      <c r="N56" s="826"/>
      <c r="O56" s="826"/>
      <c r="P56" s="826"/>
      <c r="Q56" s="826"/>
      <c r="R56" s="826"/>
      <c r="S56" s="826"/>
      <c r="T56" s="826"/>
      <c r="U56" s="826"/>
      <c r="V56" s="826"/>
      <c r="W56" s="826"/>
      <c r="X56" s="826"/>
      <c r="Y56" s="826"/>
      <c r="Z56" s="826"/>
      <c r="AA56" s="826"/>
      <c r="AB56" s="826"/>
      <c r="AC56" s="826"/>
      <c r="AD56" s="826"/>
      <c r="AE56" s="826"/>
      <c r="AF56" s="824"/>
      <c r="AG56" s="825"/>
      <c r="AH56" s="826"/>
      <c r="AI56" s="826"/>
      <c r="AJ56" s="826"/>
      <c r="AK56" s="826"/>
      <c r="AL56" s="826"/>
      <c r="AM56" s="826"/>
      <c r="AN56" s="826"/>
      <c r="AO56" s="826"/>
      <c r="AP56" s="826"/>
      <c r="AQ56" s="826"/>
      <c r="AR56" s="826"/>
      <c r="AS56" s="826"/>
      <c r="AT56" s="826"/>
      <c r="AU56" s="826"/>
      <c r="AV56" s="826"/>
      <c r="AW56" s="826"/>
      <c r="AX56" s="826"/>
      <c r="AY56" s="826"/>
      <c r="AZ56" s="826"/>
      <c r="BA56" s="826"/>
      <c r="BB56" s="826"/>
      <c r="BC56" s="826"/>
      <c r="BD56" s="826"/>
      <c r="BE56" s="826"/>
      <c r="BF56" s="826"/>
      <c r="BG56" s="826"/>
      <c r="BH56" s="826"/>
      <c r="BI56" s="826"/>
      <c r="BJ56" s="824"/>
      <c r="BK56" s="807"/>
      <c r="BL56" s="808"/>
      <c r="BM56" s="808"/>
      <c r="BN56" s="808"/>
      <c r="BO56" s="808"/>
      <c r="BP56" s="808"/>
      <c r="BQ56" s="808"/>
      <c r="BR56" s="808"/>
      <c r="BS56" s="808"/>
      <c r="BT56" s="808"/>
      <c r="BU56" s="808"/>
      <c r="BV56" s="808"/>
      <c r="BW56" s="808"/>
      <c r="BX56" s="808"/>
      <c r="BY56" s="808"/>
      <c r="BZ56" s="808"/>
      <c r="CA56" s="808"/>
      <c r="CB56" s="808"/>
      <c r="CC56" s="808"/>
      <c r="CD56" s="808"/>
      <c r="CE56" s="808"/>
      <c r="CF56" s="808"/>
      <c r="CG56" s="808"/>
      <c r="CH56" s="808"/>
      <c r="CI56" s="808"/>
      <c r="CJ56" s="808"/>
      <c r="CK56" s="808"/>
      <c r="CL56" s="808"/>
      <c r="CM56" s="808"/>
      <c r="CN56" s="809"/>
      <c r="CO56" s="807"/>
      <c r="CP56" s="808"/>
      <c r="CQ56" s="808"/>
      <c r="CR56" s="808"/>
      <c r="CS56" s="808"/>
      <c r="CT56" s="808"/>
      <c r="CU56" s="808"/>
      <c r="CV56" s="808"/>
      <c r="CW56" s="808"/>
      <c r="CX56" s="808"/>
      <c r="CY56" s="808"/>
      <c r="CZ56" s="808"/>
      <c r="DA56" s="808"/>
      <c r="DB56" s="808"/>
      <c r="DC56" s="808"/>
      <c r="DD56" s="808"/>
      <c r="DE56" s="808"/>
      <c r="DF56" s="808"/>
      <c r="DG56" s="808"/>
      <c r="DH56" s="808"/>
      <c r="DI56" s="808"/>
      <c r="DJ56" s="808"/>
      <c r="DK56" s="808"/>
      <c r="DL56" s="808"/>
      <c r="DM56" s="808"/>
      <c r="DN56" s="808"/>
      <c r="DO56" s="808"/>
      <c r="DP56" s="808"/>
      <c r="DQ56" s="808"/>
      <c r="DR56" s="809"/>
      <c r="DS56" s="807"/>
      <c r="DT56" s="808"/>
      <c r="DU56" s="808"/>
      <c r="DV56" s="808"/>
      <c r="DW56" s="808"/>
      <c r="DX56" s="808"/>
      <c r="DY56" s="808"/>
      <c r="DZ56" s="808"/>
      <c r="EA56" s="808"/>
      <c r="EB56" s="808"/>
      <c r="EC56" s="808"/>
      <c r="ED56" s="808"/>
      <c r="EE56" s="808"/>
      <c r="EF56" s="808"/>
      <c r="EG56" s="808"/>
      <c r="EH56" s="808"/>
      <c r="EI56" s="808"/>
      <c r="EJ56" s="808"/>
      <c r="EK56" s="808"/>
      <c r="EL56" s="808"/>
      <c r="EM56" s="808"/>
      <c r="EN56" s="808"/>
      <c r="EO56" s="808"/>
      <c r="EP56" s="808"/>
      <c r="EQ56" s="808"/>
      <c r="ER56" s="808"/>
      <c r="ES56" s="808"/>
      <c r="ET56" s="808"/>
      <c r="EU56" s="808"/>
      <c r="EV56" s="809"/>
      <c r="EW56" s="807"/>
      <c r="EX56" s="808"/>
      <c r="EY56" s="808"/>
      <c r="EZ56" s="811"/>
      <c r="FA56" s="811"/>
      <c r="FB56" s="811"/>
      <c r="FC56" s="811"/>
      <c r="FD56" s="811"/>
      <c r="FE56" s="811"/>
      <c r="FF56" s="811"/>
      <c r="FG56" s="811"/>
      <c r="FH56" s="811"/>
      <c r="FI56" s="811"/>
      <c r="FJ56" s="811"/>
      <c r="FK56" s="811"/>
      <c r="FL56" s="811"/>
      <c r="FM56" s="811"/>
      <c r="FN56" s="811"/>
      <c r="FO56" s="811"/>
      <c r="FP56" s="811"/>
      <c r="FQ56" s="811"/>
      <c r="FR56" s="811"/>
      <c r="FS56" s="811"/>
      <c r="FT56" s="811"/>
      <c r="FU56" s="811"/>
      <c r="FV56" s="811"/>
      <c r="FW56" s="811"/>
      <c r="FX56" s="811"/>
      <c r="FY56" s="811"/>
      <c r="FZ56" s="812"/>
      <c r="GA56" s="807"/>
      <c r="GB56" s="808"/>
      <c r="GC56" s="808"/>
      <c r="GD56" s="808"/>
      <c r="GE56" s="808"/>
      <c r="GF56" s="808"/>
      <c r="GG56" s="808"/>
      <c r="GH56" s="808"/>
      <c r="GI56" s="808"/>
      <c r="GJ56" s="808"/>
      <c r="GK56" s="808"/>
      <c r="GL56" s="808"/>
      <c r="GM56" s="808"/>
      <c r="GN56" s="808"/>
      <c r="GO56" s="808"/>
      <c r="GP56" s="808"/>
      <c r="GQ56" s="808"/>
      <c r="GR56" s="808"/>
      <c r="GS56" s="808"/>
      <c r="GT56" s="808"/>
      <c r="GU56" s="808"/>
      <c r="GV56" s="808"/>
      <c r="GW56" s="808"/>
      <c r="GX56" s="808"/>
      <c r="GY56" s="808"/>
      <c r="GZ56" s="808"/>
      <c r="HA56" s="808"/>
      <c r="HB56" s="808"/>
      <c r="HC56" s="808"/>
      <c r="HD56" s="809"/>
      <c r="HE56" s="807"/>
      <c r="HF56" s="808"/>
      <c r="HG56" s="808"/>
      <c r="HH56" s="808"/>
      <c r="HI56" s="808"/>
      <c r="HJ56" s="808"/>
      <c r="HK56" s="808"/>
      <c r="HL56" s="808"/>
      <c r="HM56" s="808"/>
      <c r="HN56" s="808"/>
      <c r="HO56" s="808"/>
      <c r="HP56" s="808"/>
      <c r="HQ56" s="808"/>
      <c r="HR56" s="808"/>
      <c r="HS56" s="808"/>
      <c r="HT56" s="808"/>
      <c r="HU56" s="808"/>
      <c r="HV56" s="808"/>
      <c r="HW56" s="808"/>
      <c r="HX56" s="808"/>
      <c r="HY56" s="808"/>
      <c r="HZ56" s="808"/>
      <c r="IA56" s="808"/>
      <c r="IB56" s="808"/>
      <c r="IC56" s="808"/>
      <c r="ID56" s="808"/>
      <c r="IE56" s="808"/>
      <c r="IF56" s="808"/>
      <c r="IG56" s="808"/>
      <c r="IH56" s="809"/>
    </row>
    <row r="57" spans="1:242" x14ac:dyDescent="0.25">
      <c r="A57" s="1438" t="s">
        <v>154</v>
      </c>
      <c r="B57" s="1439"/>
      <c r="C57" s="817"/>
      <c r="D57" s="818"/>
      <c r="E57" s="818"/>
      <c r="F57" s="818"/>
      <c r="G57" s="818"/>
      <c r="H57" s="818"/>
      <c r="I57" s="818"/>
      <c r="J57" s="818"/>
      <c r="K57" s="818"/>
      <c r="L57" s="818"/>
      <c r="M57" s="818"/>
      <c r="N57" s="818"/>
      <c r="O57" s="818"/>
      <c r="P57" s="818"/>
      <c r="Q57" s="818"/>
      <c r="R57" s="818"/>
      <c r="S57" s="818"/>
      <c r="T57" s="818"/>
      <c r="U57" s="818"/>
      <c r="V57" s="818"/>
      <c r="W57" s="818"/>
      <c r="X57" s="818"/>
      <c r="Y57" s="818"/>
      <c r="Z57" s="818"/>
      <c r="AA57" s="818"/>
      <c r="AB57" s="818"/>
      <c r="AC57" s="818"/>
      <c r="AD57" s="818"/>
      <c r="AE57" s="818"/>
      <c r="AF57" s="819"/>
      <c r="AG57" s="817"/>
      <c r="AH57" s="818"/>
      <c r="AI57" s="818"/>
      <c r="AJ57" s="818"/>
      <c r="AK57" s="818"/>
      <c r="AL57" s="818"/>
      <c r="AM57" s="818"/>
      <c r="AN57" s="818"/>
      <c r="AO57" s="818"/>
      <c r="AP57" s="818"/>
      <c r="AQ57" s="818"/>
      <c r="AR57" s="818"/>
      <c r="AS57" s="818"/>
      <c r="AT57" s="818"/>
      <c r="AU57" s="818"/>
      <c r="AV57" s="818"/>
      <c r="AW57" s="818"/>
      <c r="AX57" s="818"/>
      <c r="AY57" s="818"/>
      <c r="AZ57" s="818"/>
      <c r="BA57" s="818"/>
      <c r="BB57" s="818"/>
      <c r="BC57" s="818"/>
      <c r="BD57" s="818"/>
      <c r="BE57" s="818"/>
      <c r="BF57" s="818"/>
      <c r="BG57" s="818"/>
      <c r="BH57" s="818"/>
      <c r="BI57" s="818"/>
      <c r="BJ57" s="819"/>
      <c r="BK57" s="820"/>
      <c r="BL57" s="821"/>
      <c r="BM57" s="821"/>
      <c r="BN57" s="821"/>
      <c r="BO57" s="821"/>
      <c r="BP57" s="821"/>
      <c r="BQ57" s="821"/>
      <c r="BR57" s="821"/>
      <c r="BS57" s="821"/>
      <c r="BT57" s="821"/>
      <c r="BU57" s="821"/>
      <c r="BV57" s="821"/>
      <c r="BW57" s="821"/>
      <c r="BX57" s="821"/>
      <c r="BY57" s="821"/>
      <c r="BZ57" s="821"/>
      <c r="CA57" s="821"/>
      <c r="CB57" s="821"/>
      <c r="CC57" s="821"/>
      <c r="CD57" s="821"/>
      <c r="CE57" s="821"/>
      <c r="CF57" s="821"/>
      <c r="CG57" s="821"/>
      <c r="CH57" s="821"/>
      <c r="CI57" s="821"/>
      <c r="CJ57" s="821"/>
      <c r="CK57" s="821"/>
      <c r="CL57" s="821"/>
      <c r="CM57" s="821"/>
      <c r="CN57" s="822"/>
      <c r="CO57" s="820"/>
      <c r="CP57" s="821"/>
      <c r="CQ57" s="821"/>
      <c r="CR57" s="821"/>
      <c r="CS57" s="821"/>
      <c r="CT57" s="821"/>
      <c r="CU57" s="821"/>
      <c r="CV57" s="821"/>
      <c r="CW57" s="821"/>
      <c r="CX57" s="821"/>
      <c r="CY57" s="821"/>
      <c r="CZ57" s="821"/>
      <c r="DA57" s="821"/>
      <c r="DB57" s="821"/>
      <c r="DC57" s="821"/>
      <c r="DD57" s="821"/>
      <c r="DE57" s="821"/>
      <c r="DF57" s="821"/>
      <c r="DG57" s="821"/>
      <c r="DH57" s="821"/>
      <c r="DI57" s="821"/>
      <c r="DJ57" s="821"/>
      <c r="DK57" s="821"/>
      <c r="DL57" s="821"/>
      <c r="DM57" s="821"/>
      <c r="DN57" s="821"/>
      <c r="DO57" s="821"/>
      <c r="DP57" s="821"/>
      <c r="DQ57" s="821"/>
      <c r="DR57" s="822"/>
      <c r="DS57" s="820"/>
      <c r="DT57" s="821"/>
      <c r="DU57" s="821"/>
      <c r="DV57" s="821"/>
      <c r="DW57" s="821"/>
      <c r="DX57" s="821"/>
      <c r="DY57" s="821"/>
      <c r="DZ57" s="821"/>
      <c r="EA57" s="821"/>
      <c r="EB57" s="821"/>
      <c r="EC57" s="821"/>
      <c r="ED57" s="821"/>
      <c r="EE57" s="821"/>
      <c r="EF57" s="821"/>
      <c r="EG57" s="821"/>
      <c r="EH57" s="821"/>
      <c r="EI57" s="821"/>
      <c r="EJ57" s="821"/>
      <c r="EK57" s="821"/>
      <c r="EL57" s="821"/>
      <c r="EM57" s="821"/>
      <c r="EN57" s="821"/>
      <c r="EO57" s="821"/>
      <c r="EP57" s="821"/>
      <c r="EQ57" s="821"/>
      <c r="ER57" s="821"/>
      <c r="ES57" s="821"/>
      <c r="ET57" s="821"/>
      <c r="EU57" s="821"/>
      <c r="EV57" s="822"/>
      <c r="EW57" s="820"/>
      <c r="EX57" s="821"/>
      <c r="EY57" s="821"/>
      <c r="EZ57" s="821"/>
      <c r="FA57" s="821"/>
      <c r="FB57" s="821"/>
      <c r="FC57" s="821"/>
      <c r="FD57" s="821"/>
      <c r="FE57" s="821"/>
      <c r="FF57" s="821"/>
      <c r="FG57" s="821"/>
      <c r="FH57" s="821"/>
      <c r="FI57" s="821"/>
      <c r="FJ57" s="821"/>
      <c r="FK57" s="821"/>
      <c r="FL57" s="821"/>
      <c r="FM57" s="821"/>
      <c r="FN57" s="821"/>
      <c r="FO57" s="821"/>
      <c r="FP57" s="821"/>
      <c r="FQ57" s="821"/>
      <c r="FR57" s="821"/>
      <c r="FS57" s="821"/>
      <c r="FT57" s="821"/>
      <c r="FU57" s="821"/>
      <c r="FV57" s="821"/>
      <c r="FW57" s="821"/>
      <c r="FX57" s="821"/>
      <c r="FY57" s="821"/>
      <c r="FZ57" s="822"/>
      <c r="GA57" s="820"/>
      <c r="GB57" s="821"/>
      <c r="GC57" s="821"/>
      <c r="GD57" s="821"/>
      <c r="GE57" s="821"/>
      <c r="GF57" s="821"/>
      <c r="GG57" s="821"/>
      <c r="GH57" s="821"/>
      <c r="GI57" s="821"/>
      <c r="GJ57" s="821"/>
      <c r="GK57" s="821"/>
      <c r="GL57" s="821"/>
      <c r="GM57" s="821"/>
      <c r="GN57" s="821"/>
      <c r="GO57" s="821"/>
      <c r="GP57" s="821"/>
      <c r="GQ57" s="821"/>
      <c r="GR57" s="821"/>
      <c r="GS57" s="821"/>
      <c r="GT57" s="821"/>
      <c r="GU57" s="821"/>
      <c r="GV57" s="821"/>
      <c r="GW57" s="821"/>
      <c r="GX57" s="821"/>
      <c r="GY57" s="821"/>
      <c r="GZ57" s="821"/>
      <c r="HA57" s="821"/>
      <c r="HB57" s="821"/>
      <c r="HC57" s="821"/>
      <c r="HD57" s="822"/>
      <c r="HE57" s="820"/>
      <c r="HF57" s="821"/>
      <c r="HG57" s="821"/>
      <c r="HH57" s="821"/>
      <c r="HI57" s="821"/>
      <c r="HJ57" s="821"/>
      <c r="HK57" s="821"/>
      <c r="HL57" s="821"/>
      <c r="HM57" s="821"/>
      <c r="HN57" s="821"/>
      <c r="HO57" s="821"/>
      <c r="HP57" s="821"/>
      <c r="HQ57" s="821"/>
      <c r="HR57" s="821"/>
      <c r="HS57" s="821"/>
      <c r="HT57" s="821"/>
      <c r="HU57" s="821"/>
      <c r="HV57" s="821"/>
      <c r="HW57" s="821"/>
      <c r="HX57" s="821"/>
      <c r="HY57" s="821"/>
      <c r="HZ57" s="821"/>
      <c r="IA57" s="821"/>
      <c r="IB57" s="821"/>
      <c r="IC57" s="821"/>
      <c r="ID57" s="821"/>
      <c r="IE57" s="821"/>
      <c r="IF57" s="821"/>
      <c r="IG57" s="821"/>
      <c r="IH57" s="822"/>
    </row>
    <row r="58" spans="1:242" ht="33" x14ac:dyDescent="0.25">
      <c r="A58" s="823" t="s">
        <v>155</v>
      </c>
      <c r="B58" s="824" t="s">
        <v>157</v>
      </c>
      <c r="C58" s="825"/>
      <c r="D58" s="826"/>
      <c r="E58" s="826"/>
      <c r="F58" s="826"/>
      <c r="G58" s="826"/>
      <c r="H58" s="826"/>
      <c r="I58" s="826"/>
      <c r="J58" s="826"/>
      <c r="K58" s="826"/>
      <c r="L58" s="826"/>
      <c r="M58" s="826"/>
      <c r="N58" s="826"/>
      <c r="O58" s="826"/>
      <c r="P58" s="826"/>
      <c r="Q58" s="826"/>
      <c r="R58" s="826"/>
      <c r="S58" s="826"/>
      <c r="T58" s="826"/>
      <c r="U58" s="826"/>
      <c r="V58" s="826"/>
      <c r="W58" s="826"/>
      <c r="X58" s="826"/>
      <c r="Y58" s="826"/>
      <c r="Z58" s="826"/>
      <c r="AA58" s="826"/>
      <c r="AB58" s="826"/>
      <c r="AC58" s="826"/>
      <c r="AD58" s="826"/>
      <c r="AE58" s="826"/>
      <c r="AF58" s="824"/>
      <c r="AG58" s="825"/>
      <c r="AH58" s="826"/>
      <c r="AI58" s="826"/>
      <c r="AJ58" s="826"/>
      <c r="AK58" s="826"/>
      <c r="AL58" s="826"/>
      <c r="AM58" s="826"/>
      <c r="AN58" s="826"/>
      <c r="AO58" s="826"/>
      <c r="AP58" s="826"/>
      <c r="AQ58" s="826"/>
      <c r="AR58" s="826"/>
      <c r="AS58" s="826"/>
      <c r="AT58" s="826"/>
      <c r="AU58" s="826"/>
      <c r="AV58" s="826"/>
      <c r="AW58" s="826"/>
      <c r="AX58" s="826"/>
      <c r="AY58" s="826"/>
      <c r="AZ58" s="826"/>
      <c r="BA58" s="826"/>
      <c r="BB58" s="826"/>
      <c r="BC58" s="826"/>
      <c r="BD58" s="826"/>
      <c r="BE58" s="826"/>
      <c r="BF58" s="826"/>
      <c r="BG58" s="826"/>
      <c r="BH58" s="826"/>
      <c r="BI58" s="826"/>
      <c r="BJ58" s="824"/>
      <c r="BK58" s="807"/>
      <c r="BL58" s="808"/>
      <c r="BM58" s="808"/>
      <c r="BN58" s="808"/>
      <c r="BO58" s="808"/>
      <c r="BP58" s="808"/>
      <c r="BQ58" s="808"/>
      <c r="BR58" s="808"/>
      <c r="BS58" s="808"/>
      <c r="BT58" s="808"/>
      <c r="BU58" s="808"/>
      <c r="BV58" s="808"/>
      <c r="BW58" s="808"/>
      <c r="BX58" s="808"/>
      <c r="BY58" s="808"/>
      <c r="BZ58" s="808"/>
      <c r="CA58" s="808"/>
      <c r="CB58" s="808"/>
      <c r="CC58" s="808"/>
      <c r="CD58" s="808"/>
      <c r="CE58" s="808"/>
      <c r="CF58" s="808"/>
      <c r="CG58" s="808"/>
      <c r="CH58" s="808"/>
      <c r="CI58" s="808"/>
      <c r="CJ58" s="808"/>
      <c r="CK58" s="808"/>
      <c r="CL58" s="808"/>
      <c r="CM58" s="808"/>
      <c r="CN58" s="809"/>
      <c r="CO58" s="807"/>
      <c r="CP58" s="808"/>
      <c r="CQ58" s="808"/>
      <c r="CR58" s="808"/>
      <c r="CS58" s="808"/>
      <c r="CT58" s="808"/>
      <c r="CU58" s="808"/>
      <c r="CV58" s="808"/>
      <c r="CW58" s="808"/>
      <c r="CX58" s="808"/>
      <c r="CY58" s="808"/>
      <c r="CZ58" s="808"/>
      <c r="DA58" s="808"/>
      <c r="DB58" s="808"/>
      <c r="DC58" s="808"/>
      <c r="DD58" s="808"/>
      <c r="DE58" s="808"/>
      <c r="DF58" s="808"/>
      <c r="DG58" s="808"/>
      <c r="DH58" s="808"/>
      <c r="DI58" s="808"/>
      <c r="DJ58" s="808"/>
      <c r="DK58" s="808"/>
      <c r="DL58" s="808"/>
      <c r="DM58" s="808"/>
      <c r="DN58" s="808"/>
      <c r="DO58" s="808"/>
      <c r="DP58" s="808"/>
      <c r="DQ58" s="808"/>
      <c r="DR58" s="809"/>
      <c r="DS58" s="807"/>
      <c r="DT58" s="808"/>
      <c r="DU58" s="808"/>
      <c r="DV58" s="808"/>
      <c r="DW58" s="808"/>
      <c r="DX58" s="808"/>
      <c r="DY58" s="808"/>
      <c r="DZ58" s="808"/>
      <c r="EA58" s="808"/>
      <c r="EB58" s="808"/>
      <c r="EC58" s="808"/>
      <c r="ED58" s="808"/>
      <c r="EE58" s="808"/>
      <c r="EF58" s="808"/>
      <c r="EG58" s="808"/>
      <c r="EH58" s="808"/>
      <c r="EI58" s="808"/>
      <c r="EJ58" s="808"/>
      <c r="EK58" s="808"/>
      <c r="EL58" s="808"/>
      <c r="EM58" s="808"/>
      <c r="EN58" s="808"/>
      <c r="EO58" s="808"/>
      <c r="EP58" s="808"/>
      <c r="EQ58" s="808"/>
      <c r="ER58" s="808"/>
      <c r="ES58" s="808"/>
      <c r="ET58" s="808"/>
      <c r="EU58" s="811"/>
      <c r="EV58" s="812"/>
      <c r="EW58" s="810"/>
      <c r="EX58" s="811"/>
      <c r="EY58" s="811"/>
      <c r="EZ58" s="811"/>
      <c r="FA58" s="811"/>
      <c r="FB58" s="811"/>
      <c r="FC58" s="811"/>
      <c r="FD58" s="811"/>
      <c r="FE58" s="811"/>
      <c r="FF58" s="811"/>
      <c r="FG58" s="811"/>
      <c r="FH58" s="811"/>
      <c r="FI58" s="811"/>
      <c r="FJ58" s="811"/>
      <c r="FK58" s="811"/>
      <c r="FL58" s="808"/>
      <c r="FM58" s="808"/>
      <c r="FN58" s="808"/>
      <c r="FO58" s="808"/>
      <c r="FP58" s="808"/>
      <c r="FQ58" s="808"/>
      <c r="FR58" s="808"/>
      <c r="FS58" s="808"/>
      <c r="FT58" s="808"/>
      <c r="FU58" s="808"/>
      <c r="FV58" s="808"/>
      <c r="FW58" s="808"/>
      <c r="FX58" s="808"/>
      <c r="FY58" s="808"/>
      <c r="FZ58" s="809"/>
      <c r="GA58" s="807"/>
      <c r="GB58" s="808"/>
      <c r="GC58" s="808"/>
      <c r="GD58" s="808"/>
      <c r="GE58" s="808"/>
      <c r="GF58" s="808"/>
      <c r="GG58" s="808"/>
      <c r="GH58" s="808"/>
      <c r="GI58" s="808"/>
      <c r="GJ58" s="808"/>
      <c r="GK58" s="808"/>
      <c r="GL58" s="808"/>
      <c r="GM58" s="808"/>
      <c r="GN58" s="808"/>
      <c r="GO58" s="808"/>
      <c r="GP58" s="808"/>
      <c r="GQ58" s="808"/>
      <c r="GR58" s="808"/>
      <c r="GS58" s="808"/>
      <c r="GT58" s="808"/>
      <c r="GU58" s="808"/>
      <c r="GV58" s="808"/>
      <c r="GW58" s="808"/>
      <c r="GX58" s="808"/>
      <c r="GY58" s="808"/>
      <c r="GZ58" s="808"/>
      <c r="HA58" s="808"/>
      <c r="HB58" s="808"/>
      <c r="HC58" s="808"/>
      <c r="HD58" s="809"/>
      <c r="HE58" s="807"/>
      <c r="HF58" s="808"/>
      <c r="HG58" s="808"/>
      <c r="HH58" s="808"/>
      <c r="HI58" s="808"/>
      <c r="HJ58" s="808"/>
      <c r="HK58" s="808"/>
      <c r="HL58" s="808"/>
      <c r="HM58" s="808"/>
      <c r="HN58" s="808"/>
      <c r="HO58" s="808"/>
      <c r="HP58" s="808"/>
      <c r="HQ58" s="808"/>
      <c r="HR58" s="808"/>
      <c r="HS58" s="808"/>
      <c r="HT58" s="808"/>
      <c r="HU58" s="808"/>
      <c r="HV58" s="808"/>
      <c r="HW58" s="808"/>
      <c r="HX58" s="808"/>
      <c r="HY58" s="808"/>
      <c r="HZ58" s="808"/>
      <c r="IA58" s="808"/>
      <c r="IB58" s="808"/>
      <c r="IC58" s="808"/>
      <c r="ID58" s="808"/>
      <c r="IE58" s="808"/>
      <c r="IF58" s="808"/>
      <c r="IG58" s="808"/>
      <c r="IH58" s="809"/>
    </row>
    <row r="59" spans="1:242" ht="33" x14ac:dyDescent="0.25">
      <c r="A59" s="823" t="s">
        <v>159</v>
      </c>
      <c r="B59" s="824" t="s">
        <v>158</v>
      </c>
      <c r="C59" s="825"/>
      <c r="D59" s="826"/>
      <c r="E59" s="826"/>
      <c r="F59" s="826"/>
      <c r="G59" s="826"/>
      <c r="H59" s="826"/>
      <c r="I59" s="826"/>
      <c r="J59" s="826"/>
      <c r="K59" s="826"/>
      <c r="L59" s="826"/>
      <c r="M59" s="826"/>
      <c r="N59" s="826"/>
      <c r="O59" s="826"/>
      <c r="P59" s="826"/>
      <c r="Q59" s="826"/>
      <c r="R59" s="826"/>
      <c r="S59" s="826"/>
      <c r="T59" s="826"/>
      <c r="U59" s="826"/>
      <c r="V59" s="826"/>
      <c r="W59" s="826"/>
      <c r="X59" s="826"/>
      <c r="Y59" s="826"/>
      <c r="Z59" s="826"/>
      <c r="AA59" s="826"/>
      <c r="AB59" s="826"/>
      <c r="AC59" s="826"/>
      <c r="AD59" s="826"/>
      <c r="AE59" s="826"/>
      <c r="AF59" s="824"/>
      <c r="AG59" s="825"/>
      <c r="AH59" s="826"/>
      <c r="AI59" s="826"/>
      <c r="AJ59" s="826"/>
      <c r="AK59" s="826"/>
      <c r="AL59" s="826"/>
      <c r="AM59" s="826"/>
      <c r="AN59" s="826"/>
      <c r="AO59" s="826"/>
      <c r="AP59" s="826"/>
      <c r="AQ59" s="826"/>
      <c r="AR59" s="826"/>
      <c r="AS59" s="826"/>
      <c r="AT59" s="826"/>
      <c r="AU59" s="826"/>
      <c r="AV59" s="826"/>
      <c r="AW59" s="826"/>
      <c r="AX59" s="826"/>
      <c r="AY59" s="826"/>
      <c r="AZ59" s="826"/>
      <c r="BA59" s="826"/>
      <c r="BB59" s="826"/>
      <c r="BC59" s="826"/>
      <c r="BD59" s="826"/>
      <c r="BE59" s="826"/>
      <c r="BF59" s="826"/>
      <c r="BG59" s="826"/>
      <c r="BH59" s="826"/>
      <c r="BI59" s="826"/>
      <c r="BJ59" s="824"/>
      <c r="BK59" s="807"/>
      <c r="BL59" s="808"/>
      <c r="BM59" s="808"/>
      <c r="BN59" s="808"/>
      <c r="BO59" s="808"/>
      <c r="BP59" s="808"/>
      <c r="BQ59" s="808"/>
      <c r="BR59" s="808"/>
      <c r="BS59" s="808"/>
      <c r="BT59" s="808"/>
      <c r="BU59" s="808"/>
      <c r="BV59" s="808"/>
      <c r="BW59" s="808"/>
      <c r="BX59" s="808"/>
      <c r="BY59" s="808"/>
      <c r="BZ59" s="808"/>
      <c r="CA59" s="808"/>
      <c r="CB59" s="808"/>
      <c r="CC59" s="808"/>
      <c r="CD59" s="808"/>
      <c r="CE59" s="808"/>
      <c r="CF59" s="808"/>
      <c r="CG59" s="808"/>
      <c r="CH59" s="808"/>
      <c r="CI59" s="808"/>
      <c r="CJ59" s="808"/>
      <c r="CK59" s="808"/>
      <c r="CL59" s="808"/>
      <c r="CM59" s="808"/>
      <c r="CN59" s="809"/>
      <c r="CO59" s="807"/>
      <c r="CP59" s="808"/>
      <c r="CQ59" s="808"/>
      <c r="CR59" s="808"/>
      <c r="CS59" s="808"/>
      <c r="CT59" s="808"/>
      <c r="CU59" s="808"/>
      <c r="CV59" s="808"/>
      <c r="CW59" s="808"/>
      <c r="CX59" s="808"/>
      <c r="CY59" s="808"/>
      <c r="CZ59" s="808"/>
      <c r="DA59" s="808"/>
      <c r="DB59" s="808"/>
      <c r="DC59" s="808"/>
      <c r="DD59" s="808"/>
      <c r="DE59" s="808"/>
      <c r="DF59" s="808"/>
      <c r="DG59" s="808"/>
      <c r="DH59" s="808"/>
      <c r="DI59" s="808"/>
      <c r="DJ59" s="808"/>
      <c r="DK59" s="808"/>
      <c r="DL59" s="808"/>
      <c r="DM59" s="808"/>
      <c r="DN59" s="808"/>
      <c r="DO59" s="808"/>
      <c r="DP59" s="808"/>
      <c r="DQ59" s="808"/>
      <c r="DR59" s="809"/>
      <c r="DS59" s="807"/>
      <c r="DT59" s="808"/>
      <c r="DU59" s="808"/>
      <c r="DV59" s="808"/>
      <c r="DW59" s="808"/>
      <c r="DX59" s="808"/>
      <c r="DY59" s="808"/>
      <c r="DZ59" s="808"/>
      <c r="EA59" s="808"/>
      <c r="EB59" s="808"/>
      <c r="EC59" s="808"/>
      <c r="ED59" s="808"/>
      <c r="EE59" s="808"/>
      <c r="EF59" s="808"/>
      <c r="EG59" s="808"/>
      <c r="EH59" s="808"/>
      <c r="EI59" s="808"/>
      <c r="EJ59" s="808"/>
      <c r="EK59" s="808"/>
      <c r="EL59" s="808"/>
      <c r="EM59" s="808"/>
      <c r="EN59" s="808"/>
      <c r="EO59" s="808"/>
      <c r="EP59" s="808"/>
      <c r="EQ59" s="808"/>
      <c r="ER59" s="808"/>
      <c r="ES59" s="808"/>
      <c r="ET59" s="808"/>
      <c r="EU59" s="811"/>
      <c r="EV59" s="812"/>
      <c r="EW59" s="810"/>
      <c r="EX59" s="811"/>
      <c r="EY59" s="811"/>
      <c r="EZ59" s="811"/>
      <c r="FA59" s="811"/>
      <c r="FB59" s="811"/>
      <c r="FC59" s="811"/>
      <c r="FD59" s="811"/>
      <c r="FE59" s="811"/>
      <c r="FF59" s="811"/>
      <c r="FG59" s="811"/>
      <c r="FH59" s="811"/>
      <c r="FI59" s="811"/>
      <c r="FJ59" s="811"/>
      <c r="FK59" s="811"/>
      <c r="FL59" s="811"/>
      <c r="FM59" s="808"/>
      <c r="FN59" s="808"/>
      <c r="FO59" s="808"/>
      <c r="FP59" s="808"/>
      <c r="FQ59" s="808"/>
      <c r="FR59" s="808"/>
      <c r="FS59" s="808"/>
      <c r="FT59" s="808"/>
      <c r="FU59" s="808"/>
      <c r="FV59" s="808"/>
      <c r="FW59" s="808"/>
      <c r="FX59" s="808"/>
      <c r="FY59" s="808"/>
      <c r="FZ59" s="809"/>
      <c r="GA59" s="807"/>
      <c r="GB59" s="808"/>
      <c r="GC59" s="808"/>
      <c r="GD59" s="808"/>
      <c r="GE59" s="808"/>
      <c r="GF59" s="808"/>
      <c r="GG59" s="808"/>
      <c r="GH59" s="808"/>
      <c r="GI59" s="808"/>
      <c r="GJ59" s="808"/>
      <c r="GK59" s="808"/>
      <c r="GL59" s="808"/>
      <c r="GM59" s="808"/>
      <c r="GN59" s="808"/>
      <c r="GO59" s="808"/>
      <c r="GP59" s="808"/>
      <c r="GQ59" s="808"/>
      <c r="GR59" s="808"/>
      <c r="GS59" s="808"/>
      <c r="GT59" s="808"/>
      <c r="GU59" s="808"/>
      <c r="GV59" s="808"/>
      <c r="GW59" s="808"/>
      <c r="GX59" s="808"/>
      <c r="GY59" s="808"/>
      <c r="GZ59" s="808"/>
      <c r="HA59" s="808"/>
      <c r="HB59" s="808"/>
      <c r="HC59" s="808"/>
      <c r="HD59" s="809"/>
      <c r="HE59" s="807"/>
      <c r="HF59" s="808"/>
      <c r="HG59" s="808"/>
      <c r="HH59" s="808"/>
      <c r="HI59" s="808"/>
      <c r="HJ59" s="808"/>
      <c r="HK59" s="808"/>
      <c r="HL59" s="808"/>
      <c r="HM59" s="808"/>
      <c r="HN59" s="808"/>
      <c r="HO59" s="808"/>
      <c r="HP59" s="808"/>
      <c r="HQ59" s="808"/>
      <c r="HR59" s="808"/>
      <c r="HS59" s="808"/>
      <c r="HT59" s="808"/>
      <c r="HU59" s="808"/>
      <c r="HV59" s="808"/>
      <c r="HW59" s="808"/>
      <c r="HX59" s="808"/>
      <c r="HY59" s="808"/>
      <c r="HZ59" s="808"/>
      <c r="IA59" s="808"/>
      <c r="IB59" s="808"/>
      <c r="IC59" s="808"/>
      <c r="ID59" s="808"/>
      <c r="IE59" s="808"/>
      <c r="IF59" s="808"/>
      <c r="IG59" s="808"/>
      <c r="IH59" s="809"/>
    </row>
    <row r="60" spans="1:242" ht="53.25" customHeight="1" x14ac:dyDescent="0.25">
      <c r="A60" s="1438" t="s">
        <v>162</v>
      </c>
      <c r="B60" s="1439"/>
      <c r="C60" s="817"/>
      <c r="D60" s="818"/>
      <c r="E60" s="818"/>
      <c r="F60" s="818"/>
      <c r="G60" s="818"/>
      <c r="H60" s="818"/>
      <c r="I60" s="818"/>
      <c r="J60" s="818"/>
      <c r="K60" s="818"/>
      <c r="L60" s="818"/>
      <c r="M60" s="818"/>
      <c r="N60" s="818"/>
      <c r="O60" s="818"/>
      <c r="P60" s="818"/>
      <c r="Q60" s="818"/>
      <c r="R60" s="818"/>
      <c r="S60" s="818"/>
      <c r="T60" s="818"/>
      <c r="U60" s="818"/>
      <c r="V60" s="818"/>
      <c r="W60" s="818"/>
      <c r="X60" s="818"/>
      <c r="Y60" s="818"/>
      <c r="Z60" s="818"/>
      <c r="AA60" s="818"/>
      <c r="AB60" s="818"/>
      <c r="AC60" s="818"/>
      <c r="AD60" s="818"/>
      <c r="AE60" s="818"/>
      <c r="AF60" s="819"/>
      <c r="AG60" s="817"/>
      <c r="AH60" s="818"/>
      <c r="AI60" s="818"/>
      <c r="AJ60" s="818"/>
      <c r="AK60" s="818"/>
      <c r="AL60" s="818"/>
      <c r="AM60" s="818"/>
      <c r="AN60" s="818"/>
      <c r="AO60" s="818"/>
      <c r="AP60" s="818"/>
      <c r="AQ60" s="818"/>
      <c r="AR60" s="818"/>
      <c r="AS60" s="818"/>
      <c r="AT60" s="818"/>
      <c r="AU60" s="818"/>
      <c r="AV60" s="818"/>
      <c r="AW60" s="818"/>
      <c r="AX60" s="818"/>
      <c r="AY60" s="818"/>
      <c r="AZ60" s="818"/>
      <c r="BA60" s="818"/>
      <c r="BB60" s="818"/>
      <c r="BC60" s="818"/>
      <c r="BD60" s="818"/>
      <c r="BE60" s="818"/>
      <c r="BF60" s="818"/>
      <c r="BG60" s="818"/>
      <c r="BH60" s="818"/>
      <c r="BI60" s="818"/>
      <c r="BJ60" s="819"/>
      <c r="BK60" s="820"/>
      <c r="BL60" s="821"/>
      <c r="BM60" s="821"/>
      <c r="BN60" s="821"/>
      <c r="BO60" s="821"/>
      <c r="BP60" s="821"/>
      <c r="BQ60" s="821"/>
      <c r="BR60" s="821"/>
      <c r="BS60" s="821"/>
      <c r="BT60" s="821"/>
      <c r="BU60" s="821"/>
      <c r="BV60" s="821"/>
      <c r="BW60" s="821"/>
      <c r="BX60" s="821"/>
      <c r="BY60" s="821"/>
      <c r="BZ60" s="821"/>
      <c r="CA60" s="821"/>
      <c r="CB60" s="821"/>
      <c r="CC60" s="821"/>
      <c r="CD60" s="821"/>
      <c r="CE60" s="821"/>
      <c r="CF60" s="821"/>
      <c r="CG60" s="821"/>
      <c r="CH60" s="821"/>
      <c r="CI60" s="821"/>
      <c r="CJ60" s="821"/>
      <c r="CK60" s="821"/>
      <c r="CL60" s="821"/>
      <c r="CM60" s="821"/>
      <c r="CN60" s="822"/>
      <c r="CO60" s="820"/>
      <c r="CP60" s="821"/>
      <c r="CQ60" s="821"/>
      <c r="CR60" s="821"/>
      <c r="CS60" s="821"/>
      <c r="CT60" s="821"/>
      <c r="CU60" s="821"/>
      <c r="CV60" s="821"/>
      <c r="CW60" s="821"/>
      <c r="CX60" s="821"/>
      <c r="CY60" s="821"/>
      <c r="CZ60" s="821"/>
      <c r="DA60" s="821"/>
      <c r="DB60" s="821"/>
      <c r="DC60" s="821"/>
      <c r="DD60" s="821"/>
      <c r="DE60" s="821"/>
      <c r="DF60" s="821"/>
      <c r="DG60" s="821"/>
      <c r="DH60" s="821"/>
      <c r="DI60" s="821"/>
      <c r="DJ60" s="821"/>
      <c r="DK60" s="821"/>
      <c r="DL60" s="821"/>
      <c r="DM60" s="821"/>
      <c r="DN60" s="821"/>
      <c r="DO60" s="821"/>
      <c r="DP60" s="821"/>
      <c r="DQ60" s="821"/>
      <c r="DR60" s="822"/>
      <c r="DS60" s="820"/>
      <c r="DT60" s="821"/>
      <c r="DU60" s="821"/>
      <c r="DV60" s="821"/>
      <c r="DW60" s="821"/>
      <c r="DX60" s="821"/>
      <c r="DY60" s="821"/>
      <c r="DZ60" s="821"/>
      <c r="EA60" s="821"/>
      <c r="EB60" s="821"/>
      <c r="EC60" s="821"/>
      <c r="ED60" s="821"/>
      <c r="EE60" s="821"/>
      <c r="EF60" s="821"/>
      <c r="EG60" s="821"/>
      <c r="EH60" s="821"/>
      <c r="EI60" s="821"/>
      <c r="EJ60" s="821"/>
      <c r="EK60" s="821"/>
      <c r="EL60" s="821"/>
      <c r="EM60" s="821"/>
      <c r="EN60" s="821"/>
      <c r="EO60" s="821"/>
      <c r="EP60" s="821"/>
      <c r="EQ60" s="821"/>
      <c r="ER60" s="821"/>
      <c r="ES60" s="821"/>
      <c r="ET60" s="821"/>
      <c r="EU60" s="821"/>
      <c r="EV60" s="822"/>
      <c r="EW60" s="820"/>
      <c r="EX60" s="821"/>
      <c r="EY60" s="821"/>
      <c r="EZ60" s="821"/>
      <c r="FA60" s="821"/>
      <c r="FB60" s="821"/>
      <c r="FC60" s="821"/>
      <c r="FD60" s="821"/>
      <c r="FE60" s="821"/>
      <c r="FF60" s="821"/>
      <c r="FG60" s="821"/>
      <c r="FH60" s="821"/>
      <c r="FI60" s="821"/>
      <c r="FJ60" s="821"/>
      <c r="FK60" s="821"/>
      <c r="FL60" s="821"/>
      <c r="FM60" s="821"/>
      <c r="FN60" s="821"/>
      <c r="FO60" s="821"/>
      <c r="FP60" s="821"/>
      <c r="FQ60" s="821"/>
      <c r="FR60" s="821"/>
      <c r="FS60" s="821"/>
      <c r="FT60" s="821"/>
      <c r="FU60" s="821"/>
      <c r="FV60" s="821"/>
      <c r="FW60" s="821"/>
      <c r="FX60" s="821"/>
      <c r="FY60" s="821"/>
      <c r="FZ60" s="822"/>
      <c r="GA60" s="820"/>
      <c r="GB60" s="821"/>
      <c r="GC60" s="821"/>
      <c r="GD60" s="821"/>
      <c r="GE60" s="821"/>
      <c r="GF60" s="821"/>
      <c r="GG60" s="821"/>
      <c r="GH60" s="821"/>
      <c r="GI60" s="821"/>
      <c r="GJ60" s="821"/>
      <c r="GK60" s="821"/>
      <c r="GL60" s="821"/>
      <c r="GM60" s="821"/>
      <c r="GN60" s="821"/>
      <c r="GO60" s="821"/>
      <c r="GP60" s="821"/>
      <c r="GQ60" s="821"/>
      <c r="GR60" s="821"/>
      <c r="GS60" s="821"/>
      <c r="GT60" s="821"/>
      <c r="GU60" s="821"/>
      <c r="GV60" s="821"/>
      <c r="GW60" s="821"/>
      <c r="GX60" s="821"/>
      <c r="GY60" s="821"/>
      <c r="GZ60" s="821"/>
      <c r="HA60" s="821"/>
      <c r="HB60" s="821"/>
      <c r="HC60" s="821"/>
      <c r="HD60" s="822"/>
      <c r="HE60" s="820"/>
      <c r="HF60" s="821"/>
      <c r="HG60" s="821"/>
      <c r="HH60" s="821"/>
      <c r="HI60" s="821"/>
      <c r="HJ60" s="821"/>
      <c r="HK60" s="821"/>
      <c r="HL60" s="821"/>
      <c r="HM60" s="821"/>
      <c r="HN60" s="821"/>
      <c r="HO60" s="821"/>
      <c r="HP60" s="821"/>
      <c r="HQ60" s="821"/>
      <c r="HR60" s="821"/>
      <c r="HS60" s="821"/>
      <c r="HT60" s="821"/>
      <c r="HU60" s="821"/>
      <c r="HV60" s="821"/>
      <c r="HW60" s="821"/>
      <c r="HX60" s="821"/>
      <c r="HY60" s="821"/>
      <c r="HZ60" s="821"/>
      <c r="IA60" s="821"/>
      <c r="IB60" s="821"/>
      <c r="IC60" s="821"/>
      <c r="ID60" s="821"/>
      <c r="IE60" s="821"/>
      <c r="IF60" s="821"/>
      <c r="IG60" s="821"/>
      <c r="IH60" s="822"/>
    </row>
    <row r="61" spans="1:242" ht="33" x14ac:dyDescent="0.25">
      <c r="A61" s="823"/>
      <c r="B61" s="824" t="s">
        <v>163</v>
      </c>
      <c r="C61" s="825"/>
      <c r="D61" s="826"/>
      <c r="E61" s="826"/>
      <c r="F61" s="826"/>
      <c r="G61" s="826"/>
      <c r="H61" s="826"/>
      <c r="I61" s="826"/>
      <c r="J61" s="826"/>
      <c r="K61" s="826"/>
      <c r="L61" s="826"/>
      <c r="M61" s="826"/>
      <c r="N61" s="826"/>
      <c r="O61" s="826"/>
      <c r="P61" s="826"/>
      <c r="Q61" s="826"/>
      <c r="R61" s="826"/>
      <c r="S61" s="826"/>
      <c r="T61" s="826"/>
      <c r="U61" s="826"/>
      <c r="V61" s="826"/>
      <c r="W61" s="826"/>
      <c r="X61" s="826"/>
      <c r="Y61" s="826"/>
      <c r="Z61" s="826"/>
      <c r="AA61" s="826"/>
      <c r="AB61" s="826"/>
      <c r="AC61" s="826"/>
      <c r="AD61" s="826"/>
      <c r="AE61" s="826"/>
      <c r="AF61" s="824"/>
      <c r="AG61" s="825"/>
      <c r="AH61" s="826"/>
      <c r="AI61" s="826"/>
      <c r="AJ61" s="826"/>
      <c r="AK61" s="826"/>
      <c r="AL61" s="826"/>
      <c r="AM61" s="826"/>
      <c r="AN61" s="826"/>
      <c r="AO61" s="826"/>
      <c r="AP61" s="826"/>
      <c r="AQ61" s="826"/>
      <c r="AR61" s="826"/>
      <c r="AS61" s="826"/>
      <c r="AT61" s="826"/>
      <c r="AU61" s="826"/>
      <c r="AV61" s="826"/>
      <c r="AW61" s="826"/>
      <c r="AX61" s="826"/>
      <c r="AY61" s="826"/>
      <c r="AZ61" s="826"/>
      <c r="BA61" s="826"/>
      <c r="BB61" s="826"/>
      <c r="BC61" s="826"/>
      <c r="BD61" s="826"/>
      <c r="BE61" s="826"/>
      <c r="BF61" s="826"/>
      <c r="BG61" s="826"/>
      <c r="BH61" s="826"/>
      <c r="BI61" s="826"/>
      <c r="BJ61" s="824"/>
      <c r="BK61" s="807"/>
      <c r="BL61" s="811"/>
      <c r="BM61" s="811"/>
      <c r="BN61" s="811"/>
      <c r="BO61" s="811"/>
      <c r="BP61" s="811"/>
      <c r="BQ61" s="811"/>
      <c r="BR61" s="811"/>
      <c r="BS61" s="811"/>
      <c r="BT61" s="811"/>
      <c r="BU61" s="811"/>
      <c r="BV61" s="811"/>
      <c r="BW61" s="811"/>
      <c r="BX61" s="811"/>
      <c r="BY61" s="811"/>
      <c r="BZ61" s="811"/>
      <c r="CA61" s="811"/>
      <c r="CB61" s="811"/>
      <c r="CC61" s="811"/>
      <c r="CD61" s="811"/>
      <c r="CE61" s="811"/>
      <c r="CF61" s="811"/>
      <c r="CG61" s="811"/>
      <c r="CH61" s="811"/>
      <c r="CI61" s="811"/>
      <c r="CJ61" s="811"/>
      <c r="CK61" s="811"/>
      <c r="CL61" s="811"/>
      <c r="CM61" s="811"/>
      <c r="CN61" s="812"/>
      <c r="CO61" s="810"/>
      <c r="CP61" s="811"/>
      <c r="CQ61" s="811"/>
      <c r="CR61" s="811"/>
      <c r="CS61" s="811"/>
      <c r="CT61" s="811"/>
      <c r="CU61" s="811"/>
      <c r="CV61" s="811"/>
      <c r="CW61" s="811"/>
      <c r="CX61" s="808"/>
      <c r="CY61" s="808"/>
      <c r="CZ61" s="808"/>
      <c r="DA61" s="808"/>
      <c r="DB61" s="808"/>
      <c r="DC61" s="808"/>
      <c r="DD61" s="808"/>
      <c r="DE61" s="808"/>
      <c r="DF61" s="808"/>
      <c r="DG61" s="808"/>
      <c r="DH61" s="808"/>
      <c r="DI61" s="808"/>
      <c r="DJ61" s="808"/>
      <c r="DK61" s="808"/>
      <c r="DL61" s="808"/>
      <c r="DM61" s="808"/>
      <c r="DN61" s="808"/>
      <c r="DO61" s="808"/>
      <c r="DP61" s="808"/>
      <c r="DQ61" s="808"/>
      <c r="DR61" s="809"/>
      <c r="DS61" s="807"/>
      <c r="DT61" s="808"/>
      <c r="DU61" s="808"/>
      <c r="DV61" s="808"/>
      <c r="DW61" s="808"/>
      <c r="DX61" s="808"/>
      <c r="DY61" s="808"/>
      <c r="DZ61" s="808"/>
      <c r="EA61" s="808"/>
      <c r="EB61" s="808"/>
      <c r="EC61" s="808"/>
      <c r="ED61" s="808"/>
      <c r="EE61" s="808"/>
      <c r="EF61" s="808"/>
      <c r="EG61" s="808"/>
      <c r="EH61" s="808"/>
      <c r="EI61" s="808"/>
      <c r="EJ61" s="808"/>
      <c r="EK61" s="808"/>
      <c r="EL61" s="808"/>
      <c r="EM61" s="808"/>
      <c r="EN61" s="808"/>
      <c r="EO61" s="808"/>
      <c r="EP61" s="808"/>
      <c r="EQ61" s="808"/>
      <c r="ER61" s="808"/>
      <c r="ES61" s="808"/>
      <c r="ET61" s="808"/>
      <c r="EU61" s="808"/>
      <c r="EV61" s="809"/>
      <c r="EW61" s="807"/>
      <c r="EX61" s="808"/>
      <c r="EY61" s="808"/>
      <c r="EZ61" s="808"/>
      <c r="FA61" s="808"/>
      <c r="FB61" s="808"/>
      <c r="FC61" s="808"/>
      <c r="FD61" s="808"/>
      <c r="FE61" s="808"/>
      <c r="FF61" s="808"/>
      <c r="FG61" s="808"/>
      <c r="FH61" s="808"/>
      <c r="FI61" s="808"/>
      <c r="FJ61" s="808"/>
      <c r="FK61" s="808"/>
      <c r="FL61" s="808"/>
      <c r="FM61" s="808"/>
      <c r="FN61" s="808"/>
      <c r="FO61" s="808"/>
      <c r="FP61" s="808"/>
      <c r="FQ61" s="808"/>
      <c r="FR61" s="808"/>
      <c r="FS61" s="808"/>
      <c r="FT61" s="808"/>
      <c r="FU61" s="808"/>
      <c r="FV61" s="808"/>
      <c r="FW61" s="808"/>
      <c r="FX61" s="808"/>
      <c r="FY61" s="808"/>
      <c r="FZ61" s="809"/>
      <c r="GA61" s="807"/>
      <c r="GB61" s="808"/>
      <c r="GC61" s="808"/>
      <c r="GD61" s="808"/>
      <c r="GE61" s="808"/>
      <c r="GF61" s="808"/>
      <c r="GG61" s="808"/>
      <c r="GH61" s="808"/>
      <c r="GI61" s="808"/>
      <c r="GJ61" s="808"/>
      <c r="GK61" s="808"/>
      <c r="GL61" s="808"/>
      <c r="GM61" s="808"/>
      <c r="GN61" s="808"/>
      <c r="GO61" s="808"/>
      <c r="GP61" s="808"/>
      <c r="GQ61" s="808"/>
      <c r="GR61" s="808"/>
      <c r="GS61" s="808"/>
      <c r="GT61" s="808"/>
      <c r="GU61" s="808"/>
      <c r="GV61" s="808"/>
      <c r="GW61" s="808"/>
      <c r="GX61" s="808"/>
      <c r="GY61" s="808"/>
      <c r="GZ61" s="808"/>
      <c r="HA61" s="808"/>
      <c r="HB61" s="808"/>
      <c r="HC61" s="808"/>
      <c r="HD61" s="809"/>
      <c r="HE61" s="807"/>
      <c r="HF61" s="808"/>
      <c r="HG61" s="808"/>
      <c r="HH61" s="808"/>
      <c r="HI61" s="808"/>
      <c r="HJ61" s="808"/>
      <c r="HK61" s="808"/>
      <c r="HL61" s="808"/>
      <c r="HM61" s="808"/>
      <c r="HN61" s="808"/>
      <c r="HO61" s="808"/>
      <c r="HP61" s="808"/>
      <c r="HQ61" s="808"/>
      <c r="HR61" s="808"/>
      <c r="HS61" s="808"/>
      <c r="HT61" s="808"/>
      <c r="HU61" s="808"/>
      <c r="HV61" s="808"/>
      <c r="HW61" s="808"/>
      <c r="HX61" s="808"/>
      <c r="HY61" s="808"/>
      <c r="HZ61" s="808"/>
      <c r="IA61" s="808"/>
      <c r="IB61" s="808"/>
      <c r="IC61" s="808"/>
      <c r="ID61" s="808"/>
      <c r="IE61" s="808"/>
      <c r="IF61" s="808"/>
      <c r="IG61" s="808"/>
      <c r="IH61" s="809"/>
    </row>
    <row r="62" spans="1:242" ht="46.5" customHeight="1" x14ac:dyDescent="0.25">
      <c r="A62" s="823"/>
      <c r="B62" s="824" t="s">
        <v>795</v>
      </c>
      <c r="C62" s="825"/>
      <c r="D62" s="826"/>
      <c r="E62" s="826"/>
      <c r="F62" s="826"/>
      <c r="G62" s="826"/>
      <c r="H62" s="826"/>
      <c r="I62" s="826"/>
      <c r="J62" s="826"/>
      <c r="K62" s="826"/>
      <c r="L62" s="826"/>
      <c r="M62" s="826"/>
      <c r="N62" s="826"/>
      <c r="O62" s="826"/>
      <c r="P62" s="826"/>
      <c r="Q62" s="826"/>
      <c r="R62" s="826"/>
      <c r="S62" s="826"/>
      <c r="T62" s="826"/>
      <c r="U62" s="826"/>
      <c r="V62" s="826"/>
      <c r="W62" s="826"/>
      <c r="X62" s="826"/>
      <c r="Y62" s="826"/>
      <c r="Z62" s="826"/>
      <c r="AA62" s="826"/>
      <c r="AB62" s="826"/>
      <c r="AC62" s="826"/>
      <c r="AD62" s="826"/>
      <c r="AE62" s="826"/>
      <c r="AF62" s="824"/>
      <c r="AG62" s="825"/>
      <c r="AH62" s="826"/>
      <c r="AI62" s="826"/>
      <c r="AJ62" s="826"/>
      <c r="AK62" s="826"/>
      <c r="AL62" s="826"/>
      <c r="AM62" s="826"/>
      <c r="AN62" s="826"/>
      <c r="AO62" s="826"/>
      <c r="AP62" s="826"/>
      <c r="AQ62" s="826"/>
      <c r="AR62" s="826"/>
      <c r="AS62" s="826"/>
      <c r="AT62" s="826"/>
      <c r="AU62" s="826"/>
      <c r="AV62" s="826"/>
      <c r="AW62" s="826"/>
      <c r="AX62" s="826"/>
      <c r="AY62" s="826"/>
      <c r="AZ62" s="826"/>
      <c r="BA62" s="826"/>
      <c r="BB62" s="826"/>
      <c r="BC62" s="826"/>
      <c r="BD62" s="826"/>
      <c r="BE62" s="826"/>
      <c r="BF62" s="826"/>
      <c r="BG62" s="826"/>
      <c r="BH62" s="826"/>
      <c r="BI62" s="826"/>
      <c r="BJ62" s="824"/>
      <c r="BK62" s="807"/>
      <c r="BL62" s="808"/>
      <c r="BM62" s="808"/>
      <c r="BN62" s="808"/>
      <c r="BO62" s="808"/>
      <c r="BP62" s="808"/>
      <c r="BQ62" s="808"/>
      <c r="BR62" s="808"/>
      <c r="BS62" s="808"/>
      <c r="BT62" s="808"/>
      <c r="BU62" s="808"/>
      <c r="BV62" s="808"/>
      <c r="BW62" s="808"/>
      <c r="BX62" s="808"/>
      <c r="BY62" s="808"/>
      <c r="BZ62" s="808"/>
      <c r="CA62" s="808"/>
      <c r="CB62" s="808"/>
      <c r="CC62" s="808"/>
      <c r="CD62" s="808"/>
      <c r="CE62" s="808"/>
      <c r="CF62" s="808"/>
      <c r="CG62" s="808"/>
      <c r="CH62" s="808"/>
      <c r="CI62" s="808"/>
      <c r="CJ62" s="808"/>
      <c r="CK62" s="808"/>
      <c r="CL62" s="808"/>
      <c r="CM62" s="808"/>
      <c r="CN62" s="809"/>
      <c r="CO62" s="807"/>
      <c r="CP62" s="808"/>
      <c r="CQ62" s="808"/>
      <c r="CR62" s="808"/>
      <c r="CS62" s="808"/>
      <c r="CT62" s="808"/>
      <c r="CU62" s="808"/>
      <c r="CV62" s="808"/>
      <c r="CW62" s="808"/>
      <c r="CX62" s="808"/>
      <c r="CY62" s="808"/>
      <c r="CZ62" s="808"/>
      <c r="DA62" s="808"/>
      <c r="DB62" s="808"/>
      <c r="DC62" s="808"/>
      <c r="DD62" s="808"/>
      <c r="DE62" s="808"/>
      <c r="DF62" s="808"/>
      <c r="DG62" s="808"/>
      <c r="DH62" s="808"/>
      <c r="DI62" s="808"/>
      <c r="DJ62" s="808"/>
      <c r="DK62" s="808"/>
      <c r="DL62" s="808"/>
      <c r="DM62" s="808"/>
      <c r="DN62" s="808"/>
      <c r="DO62" s="808"/>
      <c r="DP62" s="808"/>
      <c r="DQ62" s="808"/>
      <c r="DR62" s="809"/>
      <c r="DS62" s="807"/>
      <c r="DT62" s="808"/>
      <c r="DU62" s="808"/>
      <c r="DV62" s="808"/>
      <c r="DW62" s="808"/>
      <c r="DX62" s="808"/>
      <c r="DY62" s="808"/>
      <c r="DZ62" s="808"/>
      <c r="EA62" s="808"/>
      <c r="EB62" s="808"/>
      <c r="EC62" s="808"/>
      <c r="ED62" s="808"/>
      <c r="EE62" s="808"/>
      <c r="EF62" s="808"/>
      <c r="EG62" s="808"/>
      <c r="EH62" s="808"/>
      <c r="EI62" s="808"/>
      <c r="EJ62" s="808"/>
      <c r="EK62" s="808"/>
      <c r="EL62" s="808"/>
      <c r="EM62" s="808"/>
      <c r="EN62" s="808"/>
      <c r="EO62" s="808"/>
      <c r="EP62" s="808"/>
      <c r="EQ62" s="808"/>
      <c r="ER62" s="808"/>
      <c r="ES62" s="808"/>
      <c r="ET62" s="808"/>
      <c r="EU62" s="808"/>
      <c r="EV62" s="809"/>
      <c r="EW62" s="807"/>
      <c r="EX62" s="808"/>
      <c r="EY62" s="808"/>
      <c r="EZ62" s="808"/>
      <c r="FA62" s="808"/>
      <c r="FB62" s="808"/>
      <c r="FC62" s="808"/>
      <c r="FD62" s="808"/>
      <c r="FE62" s="808"/>
      <c r="FF62" s="808"/>
      <c r="FG62" s="808"/>
      <c r="FH62" s="808"/>
      <c r="FI62" s="808"/>
      <c r="FJ62" s="808"/>
      <c r="FK62" s="808"/>
      <c r="FL62" s="808"/>
      <c r="FM62" s="808"/>
      <c r="FN62" s="808"/>
      <c r="FO62" s="808"/>
      <c r="FP62" s="808"/>
      <c r="FQ62" s="808"/>
      <c r="FR62" s="808"/>
      <c r="FS62" s="808"/>
      <c r="FT62" s="808"/>
      <c r="FU62" s="808"/>
      <c r="FV62" s="808"/>
      <c r="FW62" s="808"/>
      <c r="FX62" s="808"/>
      <c r="FY62" s="808"/>
      <c r="FZ62" s="809"/>
      <c r="GA62" s="807"/>
      <c r="GB62" s="808"/>
      <c r="GC62" s="808"/>
      <c r="GD62" s="808"/>
      <c r="GE62" s="808"/>
      <c r="GF62" s="808"/>
      <c r="GG62" s="808"/>
      <c r="GH62" s="808"/>
      <c r="GI62" s="808"/>
      <c r="GJ62" s="808"/>
      <c r="GK62" s="808"/>
      <c r="GL62" s="808"/>
      <c r="GM62" s="808"/>
      <c r="GN62" s="808"/>
      <c r="GO62" s="808"/>
      <c r="GP62" s="808"/>
      <c r="GQ62" s="808"/>
      <c r="GR62" s="808"/>
      <c r="GS62" s="808"/>
      <c r="GT62" s="808"/>
      <c r="GU62" s="808"/>
      <c r="GV62" s="808"/>
      <c r="GW62" s="808"/>
      <c r="GX62" s="808"/>
      <c r="GY62" s="808"/>
      <c r="GZ62" s="808"/>
      <c r="HA62" s="808"/>
      <c r="HB62" s="808"/>
      <c r="HC62" s="808"/>
      <c r="HD62" s="809"/>
      <c r="HE62" s="807"/>
      <c r="HF62" s="808"/>
      <c r="HG62" s="808"/>
      <c r="HH62" s="808"/>
      <c r="HI62" s="808"/>
      <c r="HJ62" s="808"/>
      <c r="HK62" s="808"/>
      <c r="HL62" s="808"/>
      <c r="HM62" s="808"/>
      <c r="HN62" s="808"/>
      <c r="HO62" s="808"/>
      <c r="HP62" s="808"/>
      <c r="HQ62" s="808"/>
      <c r="HR62" s="808"/>
      <c r="HS62" s="808"/>
      <c r="HT62" s="808"/>
      <c r="HU62" s="808"/>
      <c r="HV62" s="808"/>
      <c r="HW62" s="808"/>
      <c r="HX62" s="808"/>
      <c r="HY62" s="808"/>
      <c r="HZ62" s="808"/>
      <c r="IA62" s="808"/>
      <c r="IB62" s="808"/>
      <c r="IC62" s="808"/>
      <c r="ID62" s="808"/>
      <c r="IE62" s="808"/>
      <c r="IF62" s="808"/>
      <c r="IG62" s="808"/>
      <c r="IH62" s="809"/>
    </row>
    <row r="63" spans="1:242" x14ac:dyDescent="0.25">
      <c r="A63" s="1438" t="s">
        <v>167</v>
      </c>
      <c r="B63" s="1439"/>
      <c r="C63" s="817"/>
      <c r="D63" s="818"/>
      <c r="E63" s="818"/>
      <c r="F63" s="818"/>
      <c r="G63" s="818"/>
      <c r="H63" s="818"/>
      <c r="I63" s="818"/>
      <c r="J63" s="818"/>
      <c r="K63" s="818"/>
      <c r="L63" s="818"/>
      <c r="M63" s="818"/>
      <c r="N63" s="818"/>
      <c r="O63" s="818"/>
      <c r="P63" s="818"/>
      <c r="Q63" s="818"/>
      <c r="R63" s="818"/>
      <c r="S63" s="818"/>
      <c r="T63" s="818"/>
      <c r="U63" s="818"/>
      <c r="V63" s="818"/>
      <c r="W63" s="818"/>
      <c r="X63" s="818"/>
      <c r="Y63" s="818"/>
      <c r="Z63" s="818"/>
      <c r="AA63" s="818"/>
      <c r="AB63" s="818"/>
      <c r="AC63" s="818"/>
      <c r="AD63" s="818"/>
      <c r="AE63" s="818"/>
      <c r="AF63" s="819"/>
      <c r="AG63" s="817"/>
      <c r="AH63" s="818"/>
      <c r="AI63" s="818"/>
      <c r="AJ63" s="818"/>
      <c r="AK63" s="818"/>
      <c r="AL63" s="818"/>
      <c r="AM63" s="818"/>
      <c r="AN63" s="818"/>
      <c r="AO63" s="818"/>
      <c r="AP63" s="818"/>
      <c r="AQ63" s="818"/>
      <c r="AR63" s="818"/>
      <c r="AS63" s="818"/>
      <c r="AT63" s="818"/>
      <c r="AU63" s="818"/>
      <c r="AV63" s="818"/>
      <c r="AW63" s="818"/>
      <c r="AX63" s="818"/>
      <c r="AY63" s="818"/>
      <c r="AZ63" s="818"/>
      <c r="BA63" s="818"/>
      <c r="BB63" s="818"/>
      <c r="BC63" s="818"/>
      <c r="BD63" s="818"/>
      <c r="BE63" s="818"/>
      <c r="BF63" s="818"/>
      <c r="BG63" s="818"/>
      <c r="BH63" s="818"/>
      <c r="BI63" s="818"/>
      <c r="BJ63" s="819"/>
      <c r="BK63" s="820"/>
      <c r="BL63" s="821"/>
      <c r="BM63" s="821"/>
      <c r="BN63" s="821"/>
      <c r="BO63" s="821"/>
      <c r="BP63" s="821"/>
      <c r="BQ63" s="821"/>
      <c r="BR63" s="821"/>
      <c r="BS63" s="821"/>
      <c r="BT63" s="821"/>
      <c r="BU63" s="821"/>
      <c r="BV63" s="821"/>
      <c r="BW63" s="821"/>
      <c r="BX63" s="821"/>
      <c r="BY63" s="821"/>
      <c r="BZ63" s="821"/>
      <c r="CA63" s="821"/>
      <c r="CB63" s="821"/>
      <c r="CC63" s="821"/>
      <c r="CD63" s="821"/>
      <c r="CE63" s="821"/>
      <c r="CF63" s="821"/>
      <c r="CG63" s="821"/>
      <c r="CH63" s="821"/>
      <c r="CI63" s="821"/>
      <c r="CJ63" s="821"/>
      <c r="CK63" s="821"/>
      <c r="CL63" s="821"/>
      <c r="CM63" s="821"/>
      <c r="CN63" s="822"/>
      <c r="CO63" s="820"/>
      <c r="CP63" s="821"/>
      <c r="CQ63" s="821"/>
      <c r="CR63" s="821"/>
      <c r="CS63" s="821"/>
      <c r="CT63" s="821"/>
      <c r="CU63" s="821"/>
      <c r="CV63" s="821"/>
      <c r="CW63" s="821"/>
      <c r="CX63" s="821"/>
      <c r="CY63" s="821"/>
      <c r="CZ63" s="821"/>
      <c r="DA63" s="821"/>
      <c r="DB63" s="821"/>
      <c r="DC63" s="821"/>
      <c r="DD63" s="821"/>
      <c r="DE63" s="821"/>
      <c r="DF63" s="821"/>
      <c r="DG63" s="821"/>
      <c r="DH63" s="821"/>
      <c r="DI63" s="821"/>
      <c r="DJ63" s="821"/>
      <c r="DK63" s="821"/>
      <c r="DL63" s="821"/>
      <c r="DM63" s="821"/>
      <c r="DN63" s="821"/>
      <c r="DO63" s="821"/>
      <c r="DP63" s="821"/>
      <c r="DQ63" s="821"/>
      <c r="DR63" s="822"/>
      <c r="DS63" s="820"/>
      <c r="DT63" s="821"/>
      <c r="DU63" s="821"/>
      <c r="DV63" s="821"/>
      <c r="DW63" s="821"/>
      <c r="DX63" s="821"/>
      <c r="DY63" s="821"/>
      <c r="DZ63" s="821"/>
      <c r="EA63" s="821"/>
      <c r="EB63" s="821"/>
      <c r="EC63" s="821"/>
      <c r="ED63" s="821"/>
      <c r="EE63" s="821"/>
      <c r="EF63" s="821"/>
      <c r="EG63" s="821"/>
      <c r="EH63" s="821"/>
      <c r="EI63" s="821"/>
      <c r="EJ63" s="821"/>
      <c r="EK63" s="821"/>
      <c r="EL63" s="821"/>
      <c r="EM63" s="821"/>
      <c r="EN63" s="821"/>
      <c r="EO63" s="821"/>
      <c r="EP63" s="821"/>
      <c r="EQ63" s="821"/>
      <c r="ER63" s="821"/>
      <c r="ES63" s="821"/>
      <c r="ET63" s="821"/>
      <c r="EU63" s="821"/>
      <c r="EV63" s="822"/>
      <c r="EW63" s="820"/>
      <c r="EX63" s="821"/>
      <c r="EY63" s="821"/>
      <c r="EZ63" s="821"/>
      <c r="FA63" s="821"/>
      <c r="FB63" s="821"/>
      <c r="FC63" s="821"/>
      <c r="FD63" s="821"/>
      <c r="FE63" s="821"/>
      <c r="FF63" s="821"/>
      <c r="FG63" s="821"/>
      <c r="FH63" s="821"/>
      <c r="FI63" s="821"/>
      <c r="FJ63" s="821"/>
      <c r="FK63" s="821"/>
      <c r="FL63" s="821"/>
      <c r="FM63" s="821"/>
      <c r="FN63" s="821"/>
      <c r="FO63" s="821"/>
      <c r="FP63" s="821"/>
      <c r="FQ63" s="821"/>
      <c r="FR63" s="821"/>
      <c r="FS63" s="821"/>
      <c r="FT63" s="821"/>
      <c r="FU63" s="821"/>
      <c r="FV63" s="821"/>
      <c r="FW63" s="821"/>
      <c r="FX63" s="821"/>
      <c r="FY63" s="821"/>
      <c r="FZ63" s="822"/>
      <c r="GA63" s="820"/>
      <c r="GB63" s="821"/>
      <c r="GC63" s="821"/>
      <c r="GD63" s="821"/>
      <c r="GE63" s="821"/>
      <c r="GF63" s="821"/>
      <c r="GG63" s="821"/>
      <c r="GH63" s="821"/>
      <c r="GI63" s="821"/>
      <c r="GJ63" s="821"/>
      <c r="GK63" s="821"/>
      <c r="GL63" s="821"/>
      <c r="GM63" s="821"/>
      <c r="GN63" s="821"/>
      <c r="GO63" s="821"/>
      <c r="GP63" s="821"/>
      <c r="GQ63" s="821"/>
      <c r="GR63" s="821"/>
      <c r="GS63" s="821"/>
      <c r="GT63" s="821"/>
      <c r="GU63" s="821"/>
      <c r="GV63" s="821"/>
      <c r="GW63" s="821"/>
      <c r="GX63" s="821"/>
      <c r="GY63" s="821"/>
      <c r="GZ63" s="821"/>
      <c r="HA63" s="821"/>
      <c r="HB63" s="821"/>
      <c r="HC63" s="821"/>
      <c r="HD63" s="822"/>
      <c r="HE63" s="820"/>
      <c r="HF63" s="821"/>
      <c r="HG63" s="821"/>
      <c r="HH63" s="821"/>
      <c r="HI63" s="821"/>
      <c r="HJ63" s="821"/>
      <c r="HK63" s="821"/>
      <c r="HL63" s="821"/>
      <c r="HM63" s="821"/>
      <c r="HN63" s="821"/>
      <c r="HO63" s="821"/>
      <c r="HP63" s="821"/>
      <c r="HQ63" s="821"/>
      <c r="HR63" s="821"/>
      <c r="HS63" s="821"/>
      <c r="HT63" s="821"/>
      <c r="HU63" s="821"/>
      <c r="HV63" s="821"/>
      <c r="HW63" s="821"/>
      <c r="HX63" s="821"/>
      <c r="HY63" s="821"/>
      <c r="HZ63" s="821"/>
      <c r="IA63" s="821"/>
      <c r="IB63" s="821"/>
      <c r="IC63" s="821"/>
      <c r="ID63" s="821"/>
      <c r="IE63" s="821"/>
      <c r="IF63" s="821"/>
      <c r="IG63" s="821"/>
      <c r="IH63" s="822"/>
    </row>
    <row r="64" spans="1:242" ht="76.5" customHeight="1" x14ac:dyDescent="0.25">
      <c r="A64" s="823" t="s">
        <v>67</v>
      </c>
      <c r="B64" s="824" t="s">
        <v>173</v>
      </c>
      <c r="C64" s="825"/>
      <c r="D64" s="826"/>
      <c r="E64" s="826"/>
      <c r="F64" s="826"/>
      <c r="G64" s="826"/>
      <c r="H64" s="826"/>
      <c r="I64" s="826"/>
      <c r="J64" s="826"/>
      <c r="K64" s="826"/>
      <c r="L64" s="826"/>
      <c r="M64" s="826"/>
      <c r="N64" s="826"/>
      <c r="O64" s="826"/>
      <c r="P64" s="826"/>
      <c r="Q64" s="826"/>
      <c r="R64" s="826"/>
      <c r="S64" s="826"/>
      <c r="T64" s="826"/>
      <c r="U64" s="826"/>
      <c r="V64" s="826"/>
      <c r="W64" s="826"/>
      <c r="X64" s="826"/>
      <c r="Y64" s="826"/>
      <c r="Z64" s="826"/>
      <c r="AA64" s="826"/>
      <c r="AB64" s="826"/>
      <c r="AC64" s="826"/>
      <c r="AD64" s="826"/>
      <c r="AE64" s="826"/>
      <c r="AF64" s="824"/>
      <c r="AG64" s="825"/>
      <c r="AH64" s="826"/>
      <c r="AI64" s="826"/>
      <c r="AJ64" s="826"/>
      <c r="AK64" s="826"/>
      <c r="AL64" s="826"/>
      <c r="AM64" s="826"/>
      <c r="AN64" s="826"/>
      <c r="AO64" s="826"/>
      <c r="AP64" s="826"/>
      <c r="AQ64" s="826"/>
      <c r="AR64" s="826"/>
      <c r="AS64" s="826"/>
      <c r="AT64" s="826"/>
      <c r="AU64" s="826"/>
      <c r="AV64" s="826"/>
      <c r="AW64" s="826"/>
      <c r="AX64" s="826"/>
      <c r="AY64" s="826"/>
      <c r="AZ64" s="826"/>
      <c r="BA64" s="826"/>
      <c r="BB64" s="826"/>
      <c r="BC64" s="826"/>
      <c r="BD64" s="826"/>
      <c r="BE64" s="826"/>
      <c r="BF64" s="826"/>
      <c r="BG64" s="826"/>
      <c r="BH64" s="826"/>
      <c r="BI64" s="826"/>
      <c r="BJ64" s="824"/>
      <c r="BK64" s="811"/>
      <c r="BL64" s="811"/>
      <c r="BM64" s="811"/>
      <c r="BN64" s="811"/>
      <c r="BO64" s="811"/>
      <c r="BP64" s="811"/>
      <c r="BQ64" s="811"/>
      <c r="BR64" s="811"/>
      <c r="BS64" s="811"/>
      <c r="BT64" s="811"/>
      <c r="BU64" s="811"/>
      <c r="BV64" s="811"/>
      <c r="BW64" s="811"/>
      <c r="BX64" s="811"/>
      <c r="BY64" s="811"/>
      <c r="BZ64" s="811"/>
      <c r="CA64" s="811"/>
      <c r="CB64" s="811"/>
      <c r="CC64" s="811"/>
      <c r="CD64" s="811"/>
      <c r="CE64" s="811"/>
      <c r="CF64" s="811"/>
      <c r="CG64" s="811"/>
      <c r="CH64" s="811"/>
      <c r="CI64" s="811"/>
      <c r="CJ64" s="811"/>
      <c r="CK64" s="811"/>
      <c r="CL64" s="811"/>
      <c r="CM64" s="811"/>
      <c r="CN64" s="812"/>
      <c r="CO64" s="810"/>
      <c r="CP64" s="811"/>
      <c r="CQ64" s="811"/>
      <c r="CR64" s="811"/>
      <c r="CS64" s="811"/>
      <c r="CT64" s="811"/>
      <c r="CU64" s="811"/>
      <c r="CV64" s="811"/>
      <c r="CW64" s="811"/>
      <c r="CX64" s="811"/>
      <c r="CY64" s="811"/>
      <c r="CZ64" s="811"/>
      <c r="DA64" s="811"/>
      <c r="DB64" s="811"/>
      <c r="DC64" s="811"/>
      <c r="DD64" s="811"/>
      <c r="DE64" s="811"/>
      <c r="DF64" s="811"/>
      <c r="DG64" s="811"/>
      <c r="DH64" s="811"/>
      <c r="DI64" s="811"/>
      <c r="DJ64" s="811"/>
      <c r="DK64" s="811"/>
      <c r="DL64" s="811"/>
      <c r="DM64" s="811"/>
      <c r="DN64" s="811"/>
      <c r="DO64" s="811"/>
      <c r="DP64" s="811"/>
      <c r="DQ64" s="811"/>
      <c r="DR64" s="812"/>
      <c r="DS64" s="807"/>
      <c r="DT64" s="808"/>
      <c r="DU64" s="808"/>
      <c r="DV64" s="808"/>
      <c r="DW64" s="808"/>
      <c r="DX64" s="808"/>
      <c r="DY64" s="808"/>
      <c r="DZ64" s="808"/>
      <c r="EA64" s="808"/>
      <c r="EB64" s="808"/>
      <c r="EC64" s="808"/>
      <c r="ED64" s="808"/>
      <c r="EE64" s="808"/>
      <c r="EF64" s="808"/>
      <c r="EG64" s="808"/>
      <c r="EH64" s="808"/>
      <c r="EI64" s="808"/>
      <c r="EJ64" s="808"/>
      <c r="EK64" s="808"/>
      <c r="EL64" s="808"/>
      <c r="EM64" s="808"/>
      <c r="EN64" s="808"/>
      <c r="EO64" s="808"/>
      <c r="EP64" s="808"/>
      <c r="EQ64" s="808"/>
      <c r="ER64" s="808"/>
      <c r="ES64" s="808"/>
      <c r="ET64" s="808"/>
      <c r="EU64" s="808"/>
      <c r="EV64" s="809"/>
      <c r="EW64" s="807"/>
      <c r="EX64" s="808"/>
      <c r="EY64" s="808"/>
      <c r="EZ64" s="808"/>
      <c r="FA64" s="808"/>
      <c r="FB64" s="808"/>
      <c r="FC64" s="808"/>
      <c r="FD64" s="808"/>
      <c r="FE64" s="808"/>
      <c r="FF64" s="808"/>
      <c r="FG64" s="808"/>
      <c r="FH64" s="808"/>
      <c r="FI64" s="808"/>
      <c r="FJ64" s="808"/>
      <c r="FK64" s="808"/>
      <c r="FL64" s="808"/>
      <c r="FM64" s="808"/>
      <c r="FN64" s="808"/>
      <c r="FO64" s="808"/>
      <c r="FP64" s="808"/>
      <c r="FQ64" s="808"/>
      <c r="FR64" s="808"/>
      <c r="FS64" s="808"/>
      <c r="FT64" s="808"/>
      <c r="FU64" s="808"/>
      <c r="FV64" s="808"/>
      <c r="FW64" s="808"/>
      <c r="FX64" s="808"/>
      <c r="FY64" s="808"/>
      <c r="FZ64" s="809"/>
      <c r="GA64" s="807"/>
      <c r="GB64" s="808"/>
      <c r="GC64" s="808"/>
      <c r="GD64" s="808"/>
      <c r="GE64" s="808"/>
      <c r="GF64" s="808"/>
      <c r="GG64" s="808"/>
      <c r="GH64" s="808"/>
      <c r="GI64" s="808"/>
      <c r="GJ64" s="808"/>
      <c r="GK64" s="808"/>
      <c r="GL64" s="808"/>
      <c r="GM64" s="808"/>
      <c r="GN64" s="808"/>
      <c r="GO64" s="808"/>
      <c r="GP64" s="808"/>
      <c r="GQ64" s="808"/>
      <c r="GR64" s="808"/>
      <c r="GS64" s="808"/>
      <c r="GT64" s="808"/>
      <c r="GU64" s="808"/>
      <c r="GV64" s="808"/>
      <c r="GW64" s="808"/>
      <c r="GX64" s="808"/>
      <c r="GY64" s="808"/>
      <c r="GZ64" s="808"/>
      <c r="HA64" s="808"/>
      <c r="HB64" s="808"/>
      <c r="HC64" s="808"/>
      <c r="HD64" s="809"/>
      <c r="HE64" s="807"/>
      <c r="HF64" s="808"/>
      <c r="HG64" s="808"/>
      <c r="HH64" s="808"/>
      <c r="HI64" s="808"/>
      <c r="HJ64" s="808"/>
      <c r="HK64" s="808"/>
      <c r="HL64" s="808"/>
      <c r="HM64" s="808"/>
      <c r="HN64" s="808"/>
      <c r="HO64" s="808"/>
      <c r="HP64" s="808"/>
      <c r="HQ64" s="808"/>
      <c r="HR64" s="808"/>
      <c r="HS64" s="808"/>
      <c r="HT64" s="808"/>
      <c r="HU64" s="808"/>
      <c r="HV64" s="808"/>
      <c r="HW64" s="808"/>
      <c r="HX64" s="808"/>
      <c r="HY64" s="808"/>
      <c r="HZ64" s="808"/>
      <c r="IA64" s="808"/>
      <c r="IB64" s="808"/>
      <c r="IC64" s="808"/>
      <c r="ID64" s="808"/>
      <c r="IE64" s="808"/>
      <c r="IF64" s="808"/>
      <c r="IG64" s="808"/>
      <c r="IH64" s="809"/>
    </row>
    <row r="65" spans="1:242" ht="13.5" customHeight="1" thickBot="1" x14ac:dyDescent="0.3">
      <c r="A65" s="1452" t="s">
        <v>979</v>
      </c>
      <c r="B65" s="1453"/>
      <c r="C65" s="835"/>
      <c r="D65" s="836"/>
      <c r="E65" s="836"/>
      <c r="F65" s="836"/>
      <c r="G65" s="836"/>
      <c r="H65" s="836"/>
      <c r="I65" s="836"/>
      <c r="J65" s="836"/>
      <c r="K65" s="836"/>
      <c r="L65" s="836"/>
      <c r="M65" s="836"/>
      <c r="N65" s="836"/>
      <c r="O65" s="836"/>
      <c r="P65" s="836"/>
      <c r="Q65" s="836"/>
      <c r="R65" s="836"/>
      <c r="S65" s="836"/>
      <c r="T65" s="836"/>
      <c r="U65" s="836"/>
      <c r="V65" s="836"/>
      <c r="W65" s="836"/>
      <c r="X65" s="836"/>
      <c r="Y65" s="836"/>
      <c r="Z65" s="836"/>
      <c r="AA65" s="836"/>
      <c r="AB65" s="836"/>
      <c r="AC65" s="836"/>
      <c r="AD65" s="836"/>
      <c r="AE65" s="836"/>
      <c r="AF65" s="837"/>
      <c r="AG65" s="835"/>
      <c r="AH65" s="836"/>
      <c r="AI65" s="836"/>
      <c r="AJ65" s="836"/>
      <c r="AK65" s="836"/>
      <c r="AL65" s="836"/>
      <c r="AM65" s="836"/>
      <c r="AN65" s="836"/>
      <c r="AO65" s="836"/>
      <c r="AP65" s="836"/>
      <c r="AQ65" s="836"/>
      <c r="AR65" s="836"/>
      <c r="AS65" s="836"/>
      <c r="AT65" s="836"/>
      <c r="AU65" s="836"/>
      <c r="AV65" s="836"/>
      <c r="AW65" s="836"/>
      <c r="AX65" s="836"/>
      <c r="AY65" s="836"/>
      <c r="AZ65" s="836"/>
      <c r="BA65" s="836"/>
      <c r="BB65" s="836"/>
      <c r="BC65" s="836"/>
      <c r="BD65" s="836"/>
      <c r="BE65" s="836"/>
      <c r="BF65" s="836"/>
      <c r="BG65" s="836"/>
      <c r="BH65" s="836"/>
      <c r="BI65" s="836"/>
      <c r="BJ65" s="837"/>
      <c r="BK65" s="838"/>
      <c r="BL65" s="839"/>
      <c r="BM65" s="839"/>
      <c r="BN65" s="839"/>
      <c r="BO65" s="839"/>
      <c r="BP65" s="839"/>
      <c r="BQ65" s="839"/>
      <c r="BR65" s="839"/>
      <c r="BS65" s="839"/>
      <c r="BT65" s="839"/>
      <c r="BU65" s="839"/>
      <c r="BV65" s="839"/>
      <c r="BW65" s="839"/>
      <c r="BX65" s="839"/>
      <c r="BY65" s="839"/>
      <c r="BZ65" s="839"/>
      <c r="CA65" s="839"/>
      <c r="CB65" s="839"/>
      <c r="CC65" s="839"/>
      <c r="CD65" s="839"/>
      <c r="CE65" s="839"/>
      <c r="CF65" s="839"/>
      <c r="CG65" s="839"/>
      <c r="CH65" s="839"/>
      <c r="CI65" s="839"/>
      <c r="CJ65" s="839"/>
      <c r="CK65" s="839"/>
      <c r="CL65" s="839"/>
      <c r="CM65" s="839"/>
      <c r="CN65" s="840"/>
      <c r="CO65" s="838"/>
      <c r="CP65" s="839"/>
      <c r="CQ65" s="839"/>
      <c r="CR65" s="839"/>
      <c r="CS65" s="839"/>
      <c r="CT65" s="839"/>
      <c r="CU65" s="839"/>
      <c r="CV65" s="839"/>
      <c r="CW65" s="839"/>
      <c r="CX65" s="839"/>
      <c r="CY65" s="839"/>
      <c r="CZ65" s="839"/>
      <c r="DA65" s="839"/>
      <c r="DB65" s="839"/>
      <c r="DC65" s="839"/>
      <c r="DD65" s="839"/>
      <c r="DE65" s="839"/>
      <c r="DF65" s="839"/>
      <c r="DG65" s="839"/>
      <c r="DH65" s="839"/>
      <c r="DI65" s="839"/>
      <c r="DJ65" s="839"/>
      <c r="DK65" s="839"/>
      <c r="DL65" s="839"/>
      <c r="DM65" s="839"/>
      <c r="DN65" s="839"/>
      <c r="DO65" s="839"/>
      <c r="DP65" s="839"/>
      <c r="DQ65" s="839"/>
      <c r="DR65" s="840"/>
      <c r="DS65" s="838"/>
      <c r="DT65" s="839"/>
      <c r="DU65" s="839"/>
      <c r="DV65" s="839"/>
      <c r="DW65" s="839"/>
      <c r="DX65" s="839"/>
      <c r="DY65" s="839"/>
      <c r="DZ65" s="839"/>
      <c r="EA65" s="839"/>
      <c r="EB65" s="839"/>
      <c r="EC65" s="839"/>
      <c r="ED65" s="839"/>
      <c r="EE65" s="839"/>
      <c r="EF65" s="839"/>
      <c r="EG65" s="839"/>
      <c r="EH65" s="839"/>
      <c r="EI65" s="839"/>
      <c r="EJ65" s="839"/>
      <c r="EK65" s="839"/>
      <c r="EL65" s="839"/>
      <c r="EM65" s="839"/>
      <c r="EN65" s="839"/>
      <c r="EO65" s="839"/>
      <c r="EP65" s="839"/>
      <c r="EQ65" s="839"/>
      <c r="ER65" s="839"/>
      <c r="ES65" s="839"/>
      <c r="ET65" s="839"/>
      <c r="EU65" s="839"/>
      <c r="EV65" s="840"/>
      <c r="EW65" s="838"/>
      <c r="EX65" s="839"/>
      <c r="EY65" s="839"/>
      <c r="EZ65" s="839"/>
      <c r="FA65" s="839"/>
      <c r="FB65" s="839"/>
      <c r="FC65" s="839"/>
      <c r="FD65" s="839"/>
      <c r="FE65" s="839"/>
      <c r="FF65" s="839"/>
      <c r="FG65" s="839"/>
      <c r="FH65" s="839"/>
      <c r="FI65" s="839"/>
      <c r="FJ65" s="839"/>
      <c r="FK65" s="839"/>
      <c r="FL65" s="839"/>
      <c r="FM65" s="839"/>
      <c r="FN65" s="839"/>
      <c r="FO65" s="839"/>
      <c r="FP65" s="839"/>
      <c r="FQ65" s="839"/>
      <c r="FR65" s="839"/>
      <c r="FS65" s="839"/>
      <c r="FT65" s="839"/>
      <c r="FU65" s="839"/>
      <c r="FV65" s="839"/>
      <c r="FW65" s="839"/>
      <c r="FX65" s="839"/>
      <c r="FY65" s="839"/>
      <c r="FZ65" s="840"/>
      <c r="GA65" s="841"/>
      <c r="GB65" s="842"/>
      <c r="GC65" s="842"/>
      <c r="GD65" s="842"/>
      <c r="GE65" s="842"/>
      <c r="GF65" s="842"/>
      <c r="GG65" s="842"/>
      <c r="GH65" s="842"/>
      <c r="GI65" s="842"/>
      <c r="GJ65" s="842"/>
      <c r="GK65" s="842"/>
      <c r="GL65" s="842"/>
      <c r="GM65" s="842"/>
      <c r="GN65" s="842"/>
      <c r="GO65" s="842"/>
      <c r="GP65" s="842"/>
      <c r="GQ65" s="842"/>
      <c r="GR65" s="842"/>
      <c r="GS65" s="842"/>
      <c r="GT65" s="842"/>
      <c r="GU65" s="842"/>
      <c r="GV65" s="842"/>
      <c r="GW65" s="842"/>
      <c r="GX65" s="842"/>
      <c r="GY65" s="842"/>
      <c r="GZ65" s="842"/>
      <c r="HA65" s="842"/>
      <c r="HB65" s="842"/>
      <c r="HC65" s="842"/>
      <c r="HD65" s="843"/>
      <c r="HE65" s="841"/>
      <c r="HF65" s="842"/>
      <c r="HG65" s="842"/>
      <c r="HH65" s="842"/>
      <c r="HI65" s="842"/>
      <c r="HJ65" s="842"/>
      <c r="HK65" s="842"/>
      <c r="HL65" s="842"/>
      <c r="HM65" s="842"/>
      <c r="HN65" s="842"/>
      <c r="HO65" s="842"/>
      <c r="HP65" s="842"/>
      <c r="HQ65" s="842"/>
      <c r="HR65" s="842"/>
      <c r="HS65" s="842"/>
      <c r="HT65" s="842"/>
      <c r="HU65" s="842"/>
      <c r="HV65" s="842"/>
      <c r="HW65" s="842"/>
      <c r="HX65" s="842"/>
      <c r="HY65" s="842"/>
      <c r="HZ65" s="842"/>
      <c r="IA65" s="842"/>
      <c r="IB65" s="842"/>
      <c r="IC65" s="842"/>
      <c r="ID65" s="842"/>
      <c r="IE65" s="842"/>
      <c r="IF65" s="842"/>
      <c r="IG65" s="842"/>
      <c r="IH65" s="843"/>
    </row>
    <row r="66" spans="1:242" x14ac:dyDescent="0.25">
      <c r="A66" s="844"/>
      <c r="B66" s="844"/>
      <c r="C66" s="845"/>
      <c r="D66" s="845"/>
      <c r="E66" s="845"/>
      <c r="F66" s="845"/>
      <c r="G66" s="845"/>
      <c r="H66" s="845"/>
      <c r="I66" s="845"/>
      <c r="J66" s="845"/>
      <c r="K66" s="845"/>
      <c r="L66" s="845"/>
      <c r="M66" s="845"/>
      <c r="N66" s="845"/>
      <c r="O66" s="845"/>
      <c r="P66" s="845"/>
      <c r="Q66" s="845"/>
      <c r="R66" s="845"/>
      <c r="S66" s="845"/>
      <c r="T66" s="845"/>
      <c r="U66" s="845"/>
      <c r="V66" s="845"/>
      <c r="W66" s="845"/>
      <c r="X66" s="845"/>
      <c r="Y66" s="845"/>
      <c r="Z66" s="845"/>
      <c r="AA66" s="845"/>
      <c r="AB66" s="845"/>
      <c r="AC66" s="845"/>
      <c r="AD66" s="845"/>
      <c r="AE66" s="845"/>
      <c r="AF66" s="845"/>
      <c r="AG66" s="845"/>
      <c r="AH66" s="845"/>
      <c r="AI66" s="845"/>
      <c r="AJ66" s="845"/>
      <c r="AK66" s="845"/>
      <c r="AL66" s="845"/>
      <c r="AM66" s="845"/>
      <c r="AN66" s="845"/>
      <c r="AO66" s="845"/>
      <c r="AP66" s="845"/>
      <c r="AQ66" s="845"/>
      <c r="AR66" s="845"/>
      <c r="AS66" s="845"/>
      <c r="AT66" s="845"/>
      <c r="AU66" s="845"/>
      <c r="AV66" s="845"/>
      <c r="AW66" s="845"/>
      <c r="AX66" s="845"/>
      <c r="AY66" s="845"/>
      <c r="AZ66" s="845"/>
      <c r="BA66" s="845"/>
      <c r="BB66" s="845"/>
      <c r="BC66" s="845"/>
      <c r="BD66" s="845"/>
      <c r="BE66" s="845"/>
      <c r="BF66" s="845"/>
      <c r="BG66" s="845"/>
      <c r="BH66" s="845"/>
      <c r="BI66" s="845"/>
      <c r="BJ66" s="845"/>
    </row>
    <row r="67" spans="1:242" x14ac:dyDescent="0.25">
      <c r="A67" s="844"/>
      <c r="B67" s="844"/>
      <c r="C67" s="845"/>
      <c r="D67" s="845"/>
      <c r="E67" s="845"/>
      <c r="F67" s="845"/>
      <c r="G67" s="845"/>
      <c r="H67" s="845"/>
      <c r="I67" s="845"/>
      <c r="J67" s="845"/>
      <c r="K67" s="845"/>
      <c r="L67" s="845"/>
      <c r="M67" s="845"/>
      <c r="N67" s="845"/>
      <c r="O67" s="845"/>
      <c r="P67" s="845"/>
      <c r="Q67" s="845"/>
      <c r="R67" s="845"/>
      <c r="S67" s="845"/>
      <c r="T67" s="845"/>
      <c r="U67" s="845"/>
      <c r="V67" s="845"/>
      <c r="W67" s="845"/>
      <c r="X67" s="845"/>
      <c r="Y67" s="845"/>
      <c r="Z67" s="845"/>
      <c r="AA67" s="845"/>
      <c r="AB67" s="845"/>
      <c r="AC67" s="845"/>
      <c r="AD67" s="845"/>
      <c r="AE67" s="845"/>
      <c r="AF67" s="845"/>
      <c r="AG67" s="845"/>
      <c r="AH67" s="845"/>
      <c r="AI67" s="845"/>
      <c r="AJ67" s="845"/>
      <c r="AK67" s="845"/>
      <c r="AL67" s="845"/>
      <c r="AM67" s="845"/>
      <c r="AN67" s="845"/>
      <c r="AO67" s="845"/>
      <c r="AP67" s="845"/>
      <c r="AQ67" s="845"/>
      <c r="AR67" s="845"/>
      <c r="AS67" s="845"/>
      <c r="AT67" s="845"/>
      <c r="AU67" s="845"/>
      <c r="AV67" s="845"/>
      <c r="AW67" s="845"/>
      <c r="AX67" s="845"/>
      <c r="AY67" s="845"/>
      <c r="AZ67" s="845"/>
      <c r="BA67" s="845"/>
      <c r="BB67" s="845"/>
      <c r="BC67" s="845"/>
      <c r="BD67" s="845"/>
      <c r="BE67" s="845"/>
      <c r="BF67" s="845"/>
      <c r="BG67" s="845"/>
      <c r="BH67" s="845"/>
      <c r="BI67" s="845"/>
      <c r="BJ67" s="845"/>
    </row>
    <row r="68" spans="1:242" x14ac:dyDescent="0.25">
      <c r="A68" s="844"/>
      <c r="B68" s="844"/>
      <c r="C68" s="845"/>
      <c r="D68" s="845"/>
      <c r="E68" s="845"/>
      <c r="F68" s="845"/>
      <c r="G68" s="845"/>
      <c r="H68" s="845"/>
      <c r="I68" s="845"/>
      <c r="J68" s="845"/>
      <c r="K68" s="845"/>
      <c r="L68" s="845"/>
      <c r="M68" s="845"/>
      <c r="N68" s="845"/>
      <c r="O68" s="845"/>
      <c r="P68" s="845"/>
      <c r="Q68" s="845"/>
      <c r="R68" s="845"/>
      <c r="S68" s="845"/>
      <c r="T68" s="845"/>
      <c r="U68" s="845"/>
      <c r="V68" s="845"/>
      <c r="W68" s="845"/>
      <c r="X68" s="845"/>
      <c r="Y68" s="845"/>
      <c r="Z68" s="845"/>
      <c r="AA68" s="845"/>
      <c r="AB68" s="845"/>
      <c r="AC68" s="845"/>
      <c r="AD68" s="845"/>
      <c r="AE68" s="845"/>
      <c r="AF68" s="845"/>
      <c r="AG68" s="845"/>
      <c r="AH68" s="845"/>
      <c r="AI68" s="845"/>
      <c r="AJ68" s="845"/>
      <c r="AK68" s="845"/>
      <c r="AL68" s="845"/>
      <c r="AM68" s="845"/>
      <c r="AN68" s="845"/>
      <c r="AO68" s="845"/>
      <c r="AP68" s="845"/>
      <c r="AQ68" s="845"/>
      <c r="AR68" s="845"/>
      <c r="AS68" s="845"/>
      <c r="AT68" s="845"/>
      <c r="AU68" s="845"/>
      <c r="AV68" s="845"/>
      <c r="AW68" s="845"/>
      <c r="AX68" s="845"/>
      <c r="AY68" s="845"/>
      <c r="AZ68" s="845"/>
      <c r="BA68" s="845"/>
      <c r="BB68" s="845"/>
      <c r="BC68" s="845"/>
      <c r="BD68" s="845"/>
      <c r="BE68" s="845"/>
      <c r="BF68" s="845"/>
      <c r="BG68" s="845"/>
      <c r="BH68" s="845"/>
      <c r="BI68" s="845"/>
      <c r="BJ68" s="845"/>
    </row>
    <row r="69" spans="1:242" x14ac:dyDescent="0.25">
      <c r="A69" s="844"/>
      <c r="B69" s="844"/>
      <c r="C69" s="845"/>
      <c r="D69" s="845"/>
      <c r="E69" s="845"/>
      <c r="F69" s="845"/>
      <c r="G69" s="845"/>
      <c r="H69" s="845"/>
      <c r="I69" s="845"/>
      <c r="J69" s="845"/>
      <c r="K69" s="845"/>
      <c r="L69" s="845"/>
      <c r="M69" s="845"/>
      <c r="N69" s="845"/>
      <c r="O69" s="845"/>
      <c r="P69" s="845"/>
      <c r="Q69" s="845"/>
      <c r="R69" s="845"/>
      <c r="S69" s="845"/>
      <c r="T69" s="845"/>
      <c r="U69" s="845"/>
      <c r="V69" s="845"/>
      <c r="W69" s="845"/>
      <c r="X69" s="845"/>
      <c r="Y69" s="845"/>
      <c r="Z69" s="845"/>
      <c r="AA69" s="845"/>
      <c r="AB69" s="845"/>
      <c r="AC69" s="845"/>
      <c r="AD69" s="845"/>
      <c r="AE69" s="845"/>
      <c r="AF69" s="845"/>
      <c r="AG69" s="845"/>
      <c r="AH69" s="845"/>
      <c r="AI69" s="845"/>
      <c r="AJ69" s="845"/>
      <c r="AK69" s="845"/>
      <c r="AL69" s="845"/>
      <c r="AM69" s="845"/>
      <c r="AN69" s="845"/>
      <c r="AO69" s="845"/>
      <c r="AP69" s="845"/>
      <c r="AQ69" s="845"/>
      <c r="AR69" s="845"/>
      <c r="AS69" s="845"/>
      <c r="AT69" s="845"/>
      <c r="AU69" s="845"/>
      <c r="AV69" s="845"/>
      <c r="AW69" s="845"/>
      <c r="AX69" s="845"/>
      <c r="AY69" s="845"/>
      <c r="AZ69" s="845"/>
      <c r="BA69" s="845"/>
      <c r="BB69" s="845"/>
      <c r="BC69" s="845"/>
      <c r="BD69" s="845"/>
      <c r="BE69" s="845"/>
      <c r="BF69" s="845"/>
      <c r="BG69" s="845"/>
      <c r="BH69" s="845"/>
      <c r="BI69" s="845"/>
      <c r="BJ69" s="845"/>
    </row>
    <row r="70" spans="1:242" x14ac:dyDescent="0.25">
      <c r="A70" s="844"/>
      <c r="B70" s="844"/>
      <c r="C70" s="845"/>
      <c r="D70" s="845"/>
      <c r="E70" s="845"/>
      <c r="F70" s="845"/>
      <c r="G70" s="845"/>
      <c r="H70" s="845"/>
      <c r="I70" s="845"/>
      <c r="J70" s="845"/>
      <c r="K70" s="845"/>
      <c r="L70" s="845"/>
      <c r="M70" s="845"/>
      <c r="N70" s="845"/>
      <c r="O70" s="845"/>
      <c r="P70" s="845"/>
      <c r="Q70" s="845"/>
      <c r="R70" s="845"/>
      <c r="S70" s="845"/>
      <c r="T70" s="845"/>
      <c r="U70" s="845"/>
      <c r="V70" s="845"/>
      <c r="W70" s="845"/>
      <c r="X70" s="845"/>
      <c r="Y70" s="845"/>
      <c r="Z70" s="845"/>
      <c r="AA70" s="845"/>
      <c r="AB70" s="845"/>
      <c r="AC70" s="845"/>
      <c r="AD70" s="845"/>
      <c r="AE70" s="845"/>
      <c r="AF70" s="845"/>
      <c r="AG70" s="845"/>
      <c r="AH70" s="845"/>
      <c r="AI70" s="845"/>
      <c r="AJ70" s="845"/>
      <c r="AK70" s="845"/>
      <c r="AL70" s="845"/>
      <c r="AM70" s="845"/>
      <c r="AN70" s="845"/>
      <c r="AO70" s="845"/>
      <c r="AP70" s="845"/>
      <c r="AQ70" s="845"/>
      <c r="AR70" s="845"/>
      <c r="AS70" s="845"/>
      <c r="AT70" s="845"/>
      <c r="AU70" s="845"/>
      <c r="AV70" s="845"/>
      <c r="AW70" s="845"/>
      <c r="AX70" s="845"/>
      <c r="AY70" s="845"/>
      <c r="AZ70" s="845"/>
      <c r="BA70" s="845"/>
      <c r="BB70" s="845"/>
      <c r="BC70" s="845"/>
      <c r="BD70" s="845"/>
      <c r="BE70" s="845"/>
      <c r="BF70" s="845"/>
      <c r="BG70" s="845"/>
      <c r="BH70" s="845"/>
      <c r="BI70" s="845"/>
      <c r="BJ70" s="845"/>
    </row>
    <row r="71" spans="1:242" ht="15" hidden="1" x14ac:dyDescent="0.25">
      <c r="A71" s="1451"/>
      <c r="B71" s="1451"/>
      <c r="C71" s="1451"/>
      <c r="D71" s="1451"/>
      <c r="E71" s="1451"/>
      <c r="F71" s="1451"/>
      <c r="G71" s="1451"/>
      <c r="H71" s="1451"/>
      <c r="I71" s="1451"/>
      <c r="J71" s="1451"/>
      <c r="K71" s="1451"/>
      <c r="L71" s="845"/>
      <c r="M71" s="845"/>
      <c r="N71" s="845"/>
      <c r="O71" s="845"/>
      <c r="P71" s="845"/>
      <c r="Q71" s="845"/>
      <c r="R71" s="845"/>
      <c r="S71" s="845"/>
      <c r="T71" s="845"/>
      <c r="U71" s="845"/>
      <c r="V71" s="845"/>
      <c r="W71" s="845"/>
      <c r="X71" s="845"/>
      <c r="Y71" s="845"/>
      <c r="Z71" s="845"/>
      <c r="AA71" s="845"/>
      <c r="AB71" s="845"/>
      <c r="AC71" s="845"/>
      <c r="AD71" s="845"/>
      <c r="AE71" s="845"/>
      <c r="AF71" s="845"/>
      <c r="AG71" s="845"/>
      <c r="AH71" s="845"/>
      <c r="AI71" s="845"/>
      <c r="AJ71" s="845"/>
      <c r="AK71" s="845"/>
      <c r="AL71" s="845"/>
      <c r="AM71" s="845"/>
      <c r="AN71" s="845"/>
      <c r="AO71" s="845"/>
      <c r="AP71" s="845"/>
      <c r="AQ71" s="845"/>
      <c r="AR71" s="845"/>
      <c r="AS71" s="845"/>
      <c r="AT71" s="845"/>
      <c r="AU71" s="845"/>
      <c r="AV71" s="845"/>
      <c r="AW71" s="845"/>
      <c r="AX71" s="845"/>
      <c r="AY71" s="845"/>
      <c r="AZ71" s="845"/>
      <c r="BA71" s="845"/>
      <c r="BB71" s="845"/>
      <c r="BC71" s="845"/>
      <c r="BD71" s="845"/>
      <c r="BE71" s="845"/>
      <c r="BF71" s="845"/>
      <c r="BG71" s="845"/>
      <c r="BH71" s="845"/>
      <c r="BI71" s="845"/>
      <c r="BJ71" s="845"/>
    </row>
    <row r="72" spans="1:242" ht="15" hidden="1" x14ac:dyDescent="0.25">
      <c r="A72" s="1450" t="s">
        <v>872</v>
      </c>
      <c r="B72" s="1450"/>
      <c r="C72" s="1450"/>
      <c r="D72" s="1450"/>
      <c r="E72" s="1450"/>
      <c r="F72" s="1450"/>
      <c r="G72" s="1450"/>
      <c r="H72" s="1450"/>
      <c r="I72" s="1450"/>
      <c r="J72" s="1450"/>
      <c r="K72" s="1450"/>
      <c r="L72" s="845"/>
      <c r="M72" s="845"/>
      <c r="N72" s="845"/>
      <c r="O72" s="845"/>
      <c r="P72" s="845"/>
      <c r="Q72" s="845"/>
      <c r="R72" s="845"/>
      <c r="S72" s="845"/>
      <c r="T72" s="845"/>
      <c r="U72" s="845"/>
      <c r="V72" s="845"/>
      <c r="W72" s="845"/>
      <c r="X72" s="845"/>
      <c r="Y72" s="845"/>
      <c r="Z72" s="845"/>
      <c r="AA72" s="845"/>
      <c r="AB72" s="845"/>
      <c r="AC72" s="845"/>
      <c r="AD72" s="845"/>
      <c r="AE72" s="845"/>
      <c r="AF72" s="845"/>
      <c r="AG72" s="845"/>
      <c r="AH72" s="845"/>
      <c r="AI72" s="845"/>
      <c r="AJ72" s="845"/>
      <c r="AK72" s="845"/>
      <c r="AL72" s="845"/>
      <c r="AM72" s="845"/>
      <c r="AN72" s="845"/>
      <c r="AO72" s="845"/>
      <c r="AP72" s="845"/>
      <c r="AQ72" s="845"/>
      <c r="AR72" s="845"/>
      <c r="AS72" s="845"/>
      <c r="AT72" s="845"/>
      <c r="AU72" s="845"/>
      <c r="AV72" s="845"/>
      <c r="AW72" s="845"/>
      <c r="AX72" s="845"/>
      <c r="AY72" s="845"/>
      <c r="AZ72" s="845"/>
      <c r="BA72" s="845"/>
      <c r="BB72" s="845"/>
      <c r="BC72" s="845"/>
      <c r="BD72" s="845"/>
      <c r="BE72" s="845"/>
      <c r="BF72" s="845"/>
      <c r="BG72" s="845"/>
      <c r="BH72" s="845"/>
      <c r="BI72" s="845"/>
      <c r="BJ72" s="845"/>
    </row>
    <row r="73" spans="1:242" ht="15" hidden="1" x14ac:dyDescent="0.25">
      <c r="A73" s="1450" t="s">
        <v>873</v>
      </c>
      <c r="B73" s="1450"/>
      <c r="C73" s="1450"/>
      <c r="D73" s="1450"/>
      <c r="E73" s="1450"/>
      <c r="F73" s="1450"/>
      <c r="G73" s="1450"/>
      <c r="H73" s="1450"/>
      <c r="I73" s="1450"/>
      <c r="J73" s="1450"/>
      <c r="K73" s="1450"/>
      <c r="L73" s="845"/>
      <c r="M73" s="845"/>
      <c r="N73" s="845"/>
      <c r="O73" s="845"/>
      <c r="P73" s="845"/>
      <c r="Q73" s="845"/>
      <c r="R73" s="845"/>
      <c r="S73" s="845"/>
      <c r="T73" s="845"/>
      <c r="U73" s="845"/>
      <c r="V73" s="845"/>
      <c r="W73" s="845"/>
      <c r="X73" s="845"/>
      <c r="Y73" s="845"/>
      <c r="Z73" s="845"/>
      <c r="AA73" s="845"/>
      <c r="AB73" s="845"/>
      <c r="AC73" s="845"/>
      <c r="AD73" s="845"/>
      <c r="AE73" s="845"/>
      <c r="AF73" s="845"/>
      <c r="AG73" s="845"/>
      <c r="AH73" s="845"/>
      <c r="AI73" s="845"/>
      <c r="AJ73" s="845"/>
      <c r="AK73" s="845"/>
      <c r="AL73" s="845"/>
      <c r="AM73" s="845"/>
      <c r="AN73" s="845"/>
      <c r="AO73" s="845"/>
      <c r="AP73" s="845"/>
      <c r="AQ73" s="845"/>
      <c r="AR73" s="845"/>
      <c r="AS73" s="845"/>
      <c r="AT73" s="845"/>
      <c r="AU73" s="845"/>
      <c r="AV73" s="845"/>
      <c r="AW73" s="845"/>
      <c r="AX73" s="845"/>
      <c r="AY73" s="845"/>
      <c r="AZ73" s="845"/>
      <c r="BA73" s="845"/>
      <c r="BB73" s="845"/>
      <c r="BC73" s="845"/>
      <c r="BD73" s="845"/>
      <c r="BE73" s="845"/>
      <c r="BF73" s="845"/>
      <c r="BG73" s="845"/>
      <c r="BH73" s="845"/>
      <c r="BI73" s="845"/>
      <c r="BJ73" s="845"/>
    </row>
    <row r="74" spans="1:242" hidden="1" x14ac:dyDescent="0.25">
      <c r="A74" s="844"/>
      <c r="B74" s="844"/>
      <c r="C74" s="845"/>
      <c r="D74" s="845"/>
      <c r="E74" s="845"/>
      <c r="F74" s="845"/>
      <c r="G74" s="845"/>
      <c r="H74" s="845"/>
      <c r="I74" s="845"/>
      <c r="J74" s="845"/>
      <c r="K74" s="845"/>
      <c r="L74" s="845"/>
      <c r="M74" s="845"/>
      <c r="N74" s="845"/>
      <c r="O74" s="845"/>
      <c r="P74" s="845"/>
      <c r="Q74" s="845"/>
      <c r="R74" s="845"/>
      <c r="S74" s="845"/>
      <c r="T74" s="845"/>
      <c r="U74" s="845"/>
      <c r="V74" s="845"/>
      <c r="W74" s="845"/>
      <c r="X74" s="845"/>
      <c r="Y74" s="845"/>
      <c r="Z74" s="845"/>
      <c r="AA74" s="845"/>
      <c r="AB74" s="845"/>
      <c r="AC74" s="845"/>
      <c r="AD74" s="845"/>
      <c r="AE74" s="845"/>
      <c r="AF74" s="845"/>
      <c r="AG74" s="845"/>
      <c r="AH74" s="845"/>
      <c r="AI74" s="845"/>
      <c r="AJ74" s="845"/>
      <c r="AK74" s="845"/>
      <c r="AL74" s="845"/>
      <c r="AM74" s="845"/>
      <c r="AN74" s="845"/>
      <c r="AO74" s="845"/>
      <c r="AP74" s="845"/>
      <c r="AQ74" s="845"/>
      <c r="AR74" s="845"/>
      <c r="AS74" s="845"/>
      <c r="AT74" s="845"/>
      <c r="AU74" s="845"/>
      <c r="AV74" s="845"/>
      <c r="AW74" s="845"/>
      <c r="AX74" s="845"/>
      <c r="AY74" s="845"/>
      <c r="AZ74" s="845"/>
      <c r="BA74" s="845"/>
      <c r="BB74" s="845"/>
      <c r="BC74" s="845"/>
      <c r="BD74" s="845"/>
      <c r="BE74" s="845"/>
      <c r="BF74" s="845"/>
      <c r="BG74" s="845"/>
      <c r="BH74" s="845"/>
      <c r="BI74" s="845"/>
      <c r="BJ74" s="845"/>
    </row>
    <row r="75" spans="1:242" x14ac:dyDescent="0.25">
      <c r="A75" s="844"/>
      <c r="B75" s="844"/>
      <c r="C75" s="845"/>
      <c r="D75" s="845"/>
      <c r="E75" s="845"/>
      <c r="F75" s="845"/>
      <c r="G75" s="845"/>
      <c r="H75" s="845"/>
      <c r="I75" s="845"/>
      <c r="J75" s="845"/>
      <c r="K75" s="845"/>
      <c r="L75" s="845"/>
      <c r="M75" s="845"/>
      <c r="N75" s="845"/>
      <c r="O75" s="845"/>
      <c r="P75" s="845"/>
      <c r="Q75" s="845"/>
      <c r="R75" s="845"/>
      <c r="S75" s="845"/>
      <c r="T75" s="845"/>
      <c r="U75" s="845"/>
      <c r="V75" s="845"/>
      <c r="W75" s="845"/>
      <c r="X75" s="845"/>
      <c r="Y75" s="845"/>
      <c r="Z75" s="845"/>
      <c r="AA75" s="845"/>
      <c r="AB75" s="845"/>
      <c r="AC75" s="845"/>
      <c r="AD75" s="845"/>
      <c r="AE75" s="845"/>
      <c r="AF75" s="845"/>
      <c r="AG75" s="845"/>
      <c r="AH75" s="845"/>
      <c r="AI75" s="845"/>
      <c r="AJ75" s="845"/>
      <c r="AK75" s="845"/>
      <c r="AL75" s="845"/>
      <c r="AM75" s="845"/>
      <c r="AN75" s="845"/>
      <c r="AO75" s="845"/>
      <c r="AP75" s="845"/>
      <c r="AQ75" s="845"/>
      <c r="AR75" s="845"/>
      <c r="AS75" s="845"/>
      <c r="AT75" s="845"/>
      <c r="AU75" s="845"/>
      <c r="AV75" s="845"/>
      <c r="AW75" s="845"/>
      <c r="AX75" s="845"/>
      <c r="AY75" s="845"/>
      <c r="AZ75" s="845"/>
      <c r="BA75" s="845"/>
      <c r="BB75" s="845"/>
      <c r="BC75" s="845"/>
      <c r="BD75" s="845"/>
      <c r="BE75" s="845"/>
      <c r="BF75" s="845"/>
      <c r="BG75" s="845"/>
      <c r="BH75" s="845"/>
      <c r="BI75" s="845"/>
      <c r="BJ75" s="845"/>
    </row>
    <row r="76" spans="1:242" x14ac:dyDescent="0.25">
      <c r="A76" s="844"/>
      <c r="B76" s="844"/>
      <c r="C76" s="845"/>
      <c r="D76" s="845"/>
      <c r="E76" s="845"/>
      <c r="F76" s="845"/>
      <c r="G76" s="845"/>
      <c r="H76" s="845"/>
      <c r="I76" s="845"/>
      <c r="J76" s="845"/>
      <c r="K76" s="845"/>
      <c r="L76" s="845"/>
      <c r="M76" s="845"/>
      <c r="N76" s="845"/>
      <c r="O76" s="845"/>
      <c r="P76" s="845"/>
      <c r="Q76" s="845"/>
      <c r="R76" s="845"/>
      <c r="S76" s="845"/>
      <c r="T76" s="845"/>
      <c r="U76" s="845"/>
      <c r="V76" s="845"/>
      <c r="W76" s="845"/>
      <c r="X76" s="845"/>
      <c r="Y76" s="845"/>
      <c r="Z76" s="845"/>
      <c r="AA76" s="845"/>
      <c r="AB76" s="845"/>
      <c r="AC76" s="845"/>
      <c r="AD76" s="845"/>
      <c r="AE76" s="845"/>
      <c r="AF76" s="845"/>
      <c r="AG76" s="845"/>
      <c r="AH76" s="845"/>
      <c r="AI76" s="845"/>
      <c r="AJ76" s="845"/>
      <c r="AK76" s="845"/>
      <c r="AL76" s="845"/>
      <c r="AM76" s="845"/>
      <c r="AN76" s="845"/>
      <c r="AO76" s="845"/>
      <c r="AP76" s="845"/>
      <c r="AQ76" s="845"/>
      <c r="AR76" s="845"/>
      <c r="AS76" s="845"/>
      <c r="AT76" s="845"/>
      <c r="AU76" s="845"/>
      <c r="AV76" s="845"/>
      <c r="AW76" s="845"/>
      <c r="AX76" s="845"/>
      <c r="AY76" s="845"/>
      <c r="AZ76" s="845"/>
      <c r="BA76" s="845"/>
      <c r="BB76" s="845"/>
      <c r="BC76" s="845"/>
      <c r="BD76" s="845"/>
      <c r="BE76" s="845"/>
      <c r="BF76" s="845"/>
      <c r="BG76" s="845"/>
      <c r="BH76" s="845"/>
      <c r="BI76" s="845"/>
      <c r="BJ76" s="845"/>
    </row>
    <row r="77" spans="1:242" x14ac:dyDescent="0.25">
      <c r="A77" s="844"/>
      <c r="B77" s="844"/>
      <c r="C77" s="845"/>
      <c r="D77" s="845"/>
      <c r="E77" s="845"/>
      <c r="F77" s="845"/>
      <c r="G77" s="845"/>
      <c r="H77" s="845"/>
      <c r="I77" s="845"/>
      <c r="J77" s="845"/>
      <c r="K77" s="845"/>
      <c r="L77" s="845"/>
      <c r="M77" s="845"/>
      <c r="N77" s="845"/>
      <c r="O77" s="845"/>
      <c r="P77" s="845"/>
      <c r="Q77" s="845"/>
      <c r="R77" s="845"/>
      <c r="S77" s="845"/>
      <c r="T77" s="845"/>
      <c r="U77" s="845"/>
      <c r="V77" s="845"/>
      <c r="W77" s="845"/>
      <c r="X77" s="845"/>
      <c r="Y77" s="845"/>
      <c r="Z77" s="845"/>
      <c r="AA77" s="845"/>
      <c r="AB77" s="845"/>
      <c r="AC77" s="845"/>
      <c r="AD77" s="845"/>
      <c r="AE77" s="845"/>
      <c r="AF77" s="845"/>
      <c r="AG77" s="845"/>
      <c r="AH77" s="845"/>
      <c r="AI77" s="845"/>
      <c r="AJ77" s="845"/>
      <c r="AK77" s="845"/>
      <c r="AL77" s="845"/>
      <c r="AM77" s="845"/>
      <c r="AN77" s="845"/>
      <c r="AO77" s="845"/>
      <c r="AP77" s="845"/>
      <c r="AQ77" s="845"/>
      <c r="AR77" s="845"/>
      <c r="AS77" s="845"/>
      <c r="AT77" s="845"/>
      <c r="AU77" s="845"/>
      <c r="AV77" s="845"/>
      <c r="AW77" s="845"/>
      <c r="AX77" s="845"/>
      <c r="AY77" s="845"/>
      <c r="AZ77" s="845"/>
      <c r="BA77" s="845"/>
      <c r="BB77" s="845"/>
      <c r="BC77" s="845"/>
      <c r="BD77" s="845"/>
      <c r="BE77" s="845"/>
      <c r="BF77" s="845"/>
      <c r="BG77" s="845"/>
      <c r="BH77" s="845"/>
      <c r="BI77" s="845"/>
      <c r="BJ77" s="845"/>
    </row>
    <row r="78" spans="1:242" x14ac:dyDescent="0.25">
      <c r="A78" s="844"/>
      <c r="B78" s="844"/>
      <c r="C78" s="845"/>
      <c r="D78" s="845"/>
      <c r="E78" s="845"/>
      <c r="F78" s="845"/>
      <c r="G78" s="845"/>
      <c r="H78" s="845"/>
      <c r="I78" s="845"/>
      <c r="J78" s="845"/>
      <c r="K78" s="845"/>
      <c r="L78" s="845"/>
      <c r="M78" s="845"/>
      <c r="N78" s="845"/>
      <c r="O78" s="845"/>
      <c r="P78" s="845"/>
      <c r="Q78" s="845"/>
      <c r="R78" s="845"/>
      <c r="S78" s="845"/>
      <c r="T78" s="845"/>
      <c r="U78" s="845"/>
      <c r="V78" s="845"/>
      <c r="W78" s="845"/>
      <c r="X78" s="845"/>
      <c r="Y78" s="845"/>
      <c r="Z78" s="845"/>
      <c r="AA78" s="845"/>
      <c r="AB78" s="845"/>
      <c r="AC78" s="845"/>
      <c r="AD78" s="845"/>
      <c r="AE78" s="845"/>
      <c r="AF78" s="845"/>
      <c r="AG78" s="845"/>
      <c r="AH78" s="845"/>
      <c r="AI78" s="845"/>
      <c r="AJ78" s="845"/>
      <c r="AK78" s="845"/>
      <c r="AL78" s="845"/>
      <c r="AM78" s="845"/>
      <c r="AN78" s="845"/>
      <c r="AO78" s="845"/>
      <c r="AP78" s="845"/>
      <c r="AQ78" s="845"/>
      <c r="AR78" s="845"/>
      <c r="AS78" s="845"/>
      <c r="AT78" s="845"/>
      <c r="AU78" s="845"/>
      <c r="AV78" s="845"/>
      <c r="AW78" s="845"/>
      <c r="AX78" s="845"/>
      <c r="AY78" s="845"/>
      <c r="AZ78" s="845"/>
      <c r="BA78" s="845"/>
      <c r="BB78" s="845"/>
      <c r="BC78" s="845"/>
      <c r="BD78" s="845"/>
      <c r="BE78" s="845"/>
      <c r="BF78" s="845"/>
      <c r="BG78" s="845"/>
      <c r="BH78" s="845"/>
      <c r="BI78" s="845"/>
      <c r="BJ78" s="845"/>
    </row>
    <row r="79" spans="1:242" x14ac:dyDescent="0.25">
      <c r="A79" s="844"/>
      <c r="B79" s="844"/>
      <c r="C79" s="845"/>
      <c r="D79" s="845"/>
      <c r="E79" s="845"/>
      <c r="F79" s="845"/>
      <c r="G79" s="845"/>
      <c r="H79" s="845"/>
      <c r="I79" s="845"/>
      <c r="J79" s="845"/>
      <c r="K79" s="845"/>
      <c r="L79" s="845"/>
      <c r="M79" s="845"/>
      <c r="N79" s="845"/>
      <c r="O79" s="845"/>
      <c r="P79" s="845"/>
      <c r="Q79" s="845"/>
      <c r="R79" s="845"/>
      <c r="S79" s="845"/>
      <c r="T79" s="845"/>
      <c r="U79" s="845"/>
      <c r="V79" s="845"/>
      <c r="W79" s="845"/>
      <c r="X79" s="845"/>
      <c r="Y79" s="845"/>
      <c r="Z79" s="845"/>
      <c r="AA79" s="845"/>
      <c r="AB79" s="845"/>
      <c r="AC79" s="845"/>
      <c r="AD79" s="845"/>
      <c r="AE79" s="845"/>
      <c r="AF79" s="845"/>
      <c r="AG79" s="845"/>
      <c r="AH79" s="845"/>
      <c r="AI79" s="845"/>
      <c r="AJ79" s="845"/>
      <c r="AK79" s="845"/>
      <c r="AL79" s="845"/>
      <c r="AM79" s="845"/>
      <c r="AN79" s="845"/>
      <c r="AO79" s="845"/>
      <c r="AP79" s="845"/>
      <c r="AQ79" s="845"/>
      <c r="AR79" s="845"/>
      <c r="AS79" s="845"/>
      <c r="AT79" s="845"/>
      <c r="AU79" s="845"/>
      <c r="AV79" s="845"/>
      <c r="AW79" s="845"/>
      <c r="AX79" s="845"/>
      <c r="AY79" s="845"/>
      <c r="AZ79" s="845"/>
      <c r="BA79" s="845"/>
      <c r="BB79" s="845"/>
      <c r="BC79" s="845"/>
      <c r="BD79" s="845"/>
      <c r="BE79" s="845"/>
      <c r="BF79" s="845"/>
      <c r="BG79" s="845"/>
      <c r="BH79" s="845"/>
      <c r="BI79" s="845"/>
      <c r="BJ79" s="845"/>
    </row>
    <row r="80" spans="1:242" x14ac:dyDescent="0.25">
      <c r="A80" s="844"/>
      <c r="B80" s="844"/>
      <c r="C80" s="845"/>
      <c r="D80" s="845"/>
      <c r="E80" s="845"/>
      <c r="F80" s="845"/>
      <c r="G80" s="845"/>
      <c r="H80" s="845"/>
      <c r="I80" s="845"/>
      <c r="J80" s="845"/>
      <c r="K80" s="845"/>
      <c r="L80" s="845"/>
      <c r="M80" s="845"/>
      <c r="N80" s="845"/>
      <c r="O80" s="845"/>
      <c r="P80" s="845"/>
      <c r="Q80" s="845"/>
      <c r="R80" s="845"/>
      <c r="S80" s="845"/>
      <c r="T80" s="845"/>
      <c r="U80" s="845"/>
      <c r="V80" s="845"/>
      <c r="W80" s="845"/>
      <c r="X80" s="845"/>
      <c r="Y80" s="845"/>
      <c r="Z80" s="845"/>
      <c r="AA80" s="845"/>
      <c r="AB80" s="845"/>
      <c r="AC80" s="845"/>
      <c r="AD80" s="845"/>
      <c r="AE80" s="845"/>
      <c r="AF80" s="845"/>
      <c r="AG80" s="845"/>
      <c r="AH80" s="845"/>
      <c r="AI80" s="845"/>
      <c r="AJ80" s="845"/>
      <c r="AK80" s="845"/>
      <c r="AL80" s="845"/>
      <c r="AM80" s="845"/>
      <c r="AN80" s="845"/>
      <c r="AO80" s="845"/>
      <c r="AP80" s="845"/>
      <c r="AQ80" s="845"/>
      <c r="AR80" s="845"/>
      <c r="AS80" s="845"/>
      <c r="AT80" s="845"/>
      <c r="AU80" s="845"/>
      <c r="AV80" s="845"/>
      <c r="AW80" s="845"/>
      <c r="AX80" s="845"/>
      <c r="AY80" s="845"/>
      <c r="AZ80" s="845"/>
      <c r="BA80" s="845"/>
      <c r="BB80" s="845"/>
      <c r="BC80" s="845"/>
      <c r="BD80" s="845"/>
      <c r="BE80" s="845"/>
      <c r="BF80" s="845"/>
      <c r="BG80" s="845"/>
      <c r="BH80" s="845"/>
      <c r="BI80" s="845"/>
      <c r="BJ80" s="845"/>
    </row>
    <row r="81" spans="1:62" x14ac:dyDescent="0.25">
      <c r="A81" s="844"/>
      <c r="B81" s="844"/>
      <c r="C81" s="845"/>
      <c r="D81" s="845"/>
      <c r="E81" s="845"/>
      <c r="F81" s="845"/>
      <c r="G81" s="845"/>
      <c r="H81" s="845"/>
      <c r="I81" s="845"/>
      <c r="J81" s="845"/>
      <c r="K81" s="845"/>
      <c r="L81" s="845"/>
      <c r="M81" s="845"/>
      <c r="N81" s="845"/>
      <c r="O81" s="845"/>
      <c r="P81" s="845"/>
      <c r="Q81" s="845"/>
      <c r="R81" s="845"/>
      <c r="S81" s="845"/>
      <c r="T81" s="845"/>
      <c r="U81" s="845"/>
      <c r="V81" s="845"/>
      <c r="W81" s="845"/>
      <c r="X81" s="845"/>
      <c r="Y81" s="845"/>
      <c r="Z81" s="845"/>
      <c r="AA81" s="845"/>
      <c r="AB81" s="845"/>
      <c r="AC81" s="845"/>
      <c r="AD81" s="845"/>
      <c r="AE81" s="845"/>
      <c r="AF81" s="845"/>
      <c r="AG81" s="845"/>
      <c r="AH81" s="845"/>
      <c r="AI81" s="845"/>
      <c r="AJ81" s="845"/>
      <c r="AK81" s="845"/>
      <c r="AL81" s="845"/>
      <c r="AM81" s="845"/>
      <c r="AN81" s="845"/>
      <c r="AO81" s="845"/>
      <c r="AP81" s="845"/>
      <c r="AQ81" s="845"/>
      <c r="AR81" s="845"/>
      <c r="AS81" s="845"/>
      <c r="AT81" s="845"/>
      <c r="AU81" s="845"/>
      <c r="AV81" s="845"/>
      <c r="AW81" s="845"/>
      <c r="AX81" s="845"/>
      <c r="AY81" s="845"/>
      <c r="AZ81" s="845"/>
      <c r="BA81" s="845"/>
      <c r="BB81" s="845"/>
      <c r="BC81" s="845"/>
      <c r="BD81" s="845"/>
      <c r="BE81" s="845"/>
      <c r="BF81" s="845"/>
      <c r="BG81" s="845"/>
      <c r="BH81" s="845"/>
      <c r="BI81" s="845"/>
      <c r="BJ81" s="845"/>
    </row>
    <row r="82" spans="1:62" x14ac:dyDescent="0.25">
      <c r="A82" s="844"/>
      <c r="B82" s="844"/>
      <c r="C82" s="845"/>
      <c r="D82" s="845"/>
      <c r="E82" s="845"/>
      <c r="F82" s="845"/>
      <c r="G82" s="845"/>
      <c r="H82" s="845"/>
      <c r="I82" s="845"/>
      <c r="J82" s="845"/>
      <c r="K82" s="845"/>
      <c r="L82" s="845"/>
      <c r="M82" s="845"/>
      <c r="N82" s="845"/>
      <c r="O82" s="845"/>
      <c r="P82" s="845"/>
      <c r="Q82" s="845"/>
      <c r="R82" s="845"/>
      <c r="S82" s="845"/>
      <c r="T82" s="845"/>
      <c r="U82" s="845"/>
      <c r="V82" s="845"/>
      <c r="W82" s="845"/>
      <c r="X82" s="845"/>
      <c r="Y82" s="845"/>
      <c r="Z82" s="845"/>
      <c r="AA82" s="845"/>
      <c r="AB82" s="845"/>
      <c r="AC82" s="845"/>
      <c r="AD82" s="845"/>
      <c r="AE82" s="845"/>
      <c r="AF82" s="845"/>
      <c r="AG82" s="845"/>
      <c r="AH82" s="845"/>
      <c r="AI82" s="845"/>
      <c r="AJ82" s="845"/>
      <c r="AK82" s="845"/>
      <c r="AL82" s="845"/>
      <c r="AM82" s="845"/>
      <c r="AN82" s="845"/>
      <c r="AO82" s="845"/>
      <c r="AP82" s="845"/>
      <c r="AQ82" s="845"/>
      <c r="AR82" s="845"/>
      <c r="AS82" s="845"/>
      <c r="AT82" s="845"/>
      <c r="AU82" s="845"/>
      <c r="AV82" s="845"/>
      <c r="AW82" s="845"/>
      <c r="AX82" s="845"/>
      <c r="AY82" s="845"/>
      <c r="AZ82" s="845"/>
      <c r="BA82" s="845"/>
      <c r="BB82" s="845"/>
      <c r="BC82" s="845"/>
      <c r="BD82" s="845"/>
      <c r="BE82" s="845"/>
      <c r="BF82" s="845"/>
      <c r="BG82" s="845"/>
      <c r="BH82" s="845"/>
      <c r="BI82" s="845"/>
      <c r="BJ82" s="845"/>
    </row>
    <row r="83" spans="1:62" x14ac:dyDescent="0.25">
      <c r="A83" s="844"/>
      <c r="B83" s="844"/>
      <c r="C83" s="845"/>
      <c r="D83" s="845"/>
      <c r="E83" s="845"/>
      <c r="F83" s="845"/>
      <c r="G83" s="845"/>
      <c r="H83" s="845"/>
      <c r="I83" s="845"/>
      <c r="J83" s="845"/>
      <c r="K83" s="845"/>
      <c r="L83" s="845"/>
      <c r="M83" s="845"/>
      <c r="N83" s="845"/>
      <c r="O83" s="845"/>
      <c r="P83" s="845"/>
      <c r="Q83" s="845"/>
      <c r="R83" s="845"/>
      <c r="S83" s="845"/>
      <c r="T83" s="845"/>
      <c r="U83" s="845"/>
      <c r="V83" s="845"/>
      <c r="W83" s="845"/>
      <c r="X83" s="845"/>
      <c r="Y83" s="845"/>
      <c r="Z83" s="845"/>
      <c r="AA83" s="845"/>
      <c r="AB83" s="845"/>
      <c r="AC83" s="845"/>
      <c r="AD83" s="845"/>
      <c r="AE83" s="845"/>
      <c r="AF83" s="845"/>
      <c r="AG83" s="845"/>
      <c r="AH83" s="845"/>
      <c r="AI83" s="845"/>
      <c r="AJ83" s="845"/>
      <c r="AK83" s="845"/>
      <c r="AL83" s="845"/>
      <c r="AM83" s="845"/>
      <c r="AN83" s="845"/>
      <c r="AO83" s="845"/>
      <c r="AP83" s="845"/>
      <c r="AQ83" s="845"/>
      <c r="AR83" s="845"/>
      <c r="AS83" s="845"/>
      <c r="AT83" s="845"/>
      <c r="AU83" s="845"/>
      <c r="AV83" s="845"/>
      <c r="AW83" s="845"/>
      <c r="AX83" s="845"/>
      <c r="AY83" s="845"/>
      <c r="AZ83" s="845"/>
      <c r="BA83" s="845"/>
      <c r="BB83" s="845"/>
      <c r="BC83" s="845"/>
      <c r="BD83" s="845"/>
      <c r="BE83" s="845"/>
      <c r="BF83" s="845"/>
      <c r="BG83" s="845"/>
      <c r="BH83" s="845"/>
      <c r="BI83" s="845"/>
      <c r="BJ83" s="845"/>
    </row>
    <row r="84" spans="1:62" x14ac:dyDescent="0.25">
      <c r="A84" s="844"/>
      <c r="B84" s="844"/>
      <c r="C84" s="845"/>
      <c r="D84" s="845"/>
      <c r="E84" s="845"/>
      <c r="F84" s="845"/>
      <c r="G84" s="845"/>
      <c r="H84" s="845"/>
      <c r="I84" s="845"/>
      <c r="J84" s="845"/>
      <c r="K84" s="845"/>
      <c r="L84" s="845"/>
      <c r="M84" s="845"/>
      <c r="N84" s="845"/>
      <c r="O84" s="845"/>
      <c r="P84" s="845"/>
      <c r="Q84" s="845"/>
      <c r="R84" s="845"/>
      <c r="S84" s="845"/>
      <c r="T84" s="845"/>
      <c r="U84" s="845"/>
      <c r="V84" s="845"/>
      <c r="W84" s="845"/>
      <c r="X84" s="845"/>
      <c r="Y84" s="845"/>
      <c r="Z84" s="845"/>
      <c r="AA84" s="845"/>
      <c r="AB84" s="845"/>
      <c r="AC84" s="845"/>
      <c r="AD84" s="845"/>
      <c r="AE84" s="845"/>
      <c r="AF84" s="845"/>
      <c r="AG84" s="845"/>
      <c r="AH84" s="845"/>
      <c r="AI84" s="845"/>
      <c r="AJ84" s="845"/>
      <c r="AK84" s="845"/>
      <c r="AL84" s="845"/>
      <c r="AM84" s="845"/>
      <c r="AN84" s="845"/>
      <c r="AO84" s="845"/>
      <c r="AP84" s="845"/>
      <c r="AQ84" s="845"/>
      <c r="AR84" s="845"/>
      <c r="AS84" s="845"/>
      <c r="AT84" s="845"/>
      <c r="AU84" s="845"/>
      <c r="AV84" s="845"/>
      <c r="AW84" s="845"/>
      <c r="AX84" s="845"/>
      <c r="AY84" s="845"/>
      <c r="AZ84" s="845"/>
      <c r="BA84" s="845"/>
      <c r="BB84" s="845"/>
      <c r="BC84" s="845"/>
      <c r="BD84" s="845"/>
      <c r="BE84" s="845"/>
      <c r="BF84" s="845"/>
      <c r="BG84" s="845"/>
      <c r="BH84" s="845"/>
      <c r="BI84" s="845"/>
      <c r="BJ84" s="845"/>
    </row>
    <row r="85" spans="1:62" x14ac:dyDescent="0.25">
      <c r="A85" s="844"/>
      <c r="B85" s="844"/>
      <c r="C85" s="845"/>
      <c r="D85" s="845"/>
      <c r="E85" s="845"/>
      <c r="F85" s="845"/>
      <c r="G85" s="845"/>
      <c r="H85" s="845"/>
      <c r="I85" s="845"/>
      <c r="J85" s="845"/>
      <c r="K85" s="845"/>
      <c r="L85" s="845"/>
      <c r="M85" s="845"/>
      <c r="N85" s="845"/>
      <c r="O85" s="845"/>
      <c r="P85" s="845"/>
      <c r="Q85" s="845"/>
      <c r="R85" s="845"/>
      <c r="S85" s="845"/>
      <c r="T85" s="845"/>
      <c r="U85" s="845"/>
      <c r="V85" s="845"/>
      <c r="W85" s="845"/>
      <c r="X85" s="845"/>
      <c r="Y85" s="845"/>
      <c r="Z85" s="845"/>
      <c r="AA85" s="845"/>
      <c r="AB85" s="845"/>
      <c r="AC85" s="845"/>
      <c r="AD85" s="845"/>
      <c r="AE85" s="845"/>
      <c r="AF85" s="845"/>
      <c r="AG85" s="845"/>
      <c r="AH85" s="845"/>
      <c r="AI85" s="845"/>
      <c r="AJ85" s="845"/>
      <c r="AK85" s="845"/>
      <c r="AL85" s="845"/>
      <c r="AM85" s="845"/>
      <c r="AN85" s="845"/>
      <c r="AO85" s="845"/>
      <c r="AP85" s="845"/>
      <c r="AQ85" s="845"/>
      <c r="AR85" s="845"/>
      <c r="AS85" s="845"/>
      <c r="AT85" s="845"/>
      <c r="AU85" s="845"/>
      <c r="AV85" s="845"/>
      <c r="AW85" s="845"/>
      <c r="AX85" s="845"/>
      <c r="AY85" s="845"/>
      <c r="AZ85" s="845"/>
      <c r="BA85" s="845"/>
      <c r="BB85" s="845"/>
      <c r="BC85" s="845"/>
      <c r="BD85" s="845"/>
      <c r="BE85" s="845"/>
      <c r="BF85" s="845"/>
      <c r="BG85" s="845"/>
      <c r="BH85" s="845"/>
      <c r="BI85" s="845"/>
      <c r="BJ85" s="845"/>
    </row>
    <row r="86" spans="1:62" x14ac:dyDescent="0.25">
      <c r="A86" s="844"/>
      <c r="B86" s="844"/>
      <c r="C86" s="845"/>
      <c r="D86" s="845"/>
      <c r="E86" s="845"/>
      <c r="F86" s="845"/>
      <c r="G86" s="845"/>
      <c r="H86" s="845"/>
      <c r="I86" s="845"/>
      <c r="J86" s="845"/>
      <c r="K86" s="845"/>
      <c r="L86" s="845"/>
      <c r="M86" s="845"/>
      <c r="N86" s="845"/>
      <c r="O86" s="845"/>
      <c r="P86" s="845"/>
      <c r="Q86" s="845"/>
      <c r="R86" s="845"/>
      <c r="S86" s="845"/>
      <c r="T86" s="845"/>
      <c r="U86" s="845"/>
      <c r="V86" s="845"/>
      <c r="W86" s="845"/>
      <c r="X86" s="845"/>
      <c r="Y86" s="845"/>
      <c r="Z86" s="845"/>
      <c r="AA86" s="845"/>
      <c r="AB86" s="845"/>
      <c r="AC86" s="845"/>
      <c r="AD86" s="845"/>
      <c r="AE86" s="845"/>
      <c r="AF86" s="845"/>
      <c r="AG86" s="845"/>
      <c r="AH86" s="845"/>
      <c r="AI86" s="845"/>
      <c r="AJ86" s="845"/>
      <c r="AK86" s="845"/>
      <c r="AL86" s="845"/>
      <c r="AM86" s="845"/>
      <c r="AN86" s="845"/>
      <c r="AO86" s="845"/>
      <c r="AP86" s="845"/>
      <c r="AQ86" s="845"/>
      <c r="AR86" s="845"/>
      <c r="AS86" s="845"/>
      <c r="AT86" s="845"/>
      <c r="AU86" s="845"/>
      <c r="AV86" s="845"/>
      <c r="AW86" s="845"/>
      <c r="AX86" s="845"/>
      <c r="AY86" s="845"/>
      <c r="AZ86" s="845"/>
      <c r="BA86" s="845"/>
      <c r="BB86" s="845"/>
      <c r="BC86" s="845"/>
      <c r="BD86" s="845"/>
      <c r="BE86" s="845"/>
      <c r="BF86" s="845"/>
      <c r="BG86" s="845"/>
      <c r="BH86" s="845"/>
      <c r="BI86" s="845"/>
      <c r="BJ86" s="845"/>
    </row>
    <row r="87" spans="1:62" x14ac:dyDescent="0.25">
      <c r="A87" s="844"/>
      <c r="B87" s="844"/>
      <c r="C87" s="845"/>
      <c r="D87" s="845"/>
      <c r="E87" s="845"/>
      <c r="F87" s="845"/>
      <c r="G87" s="845"/>
      <c r="H87" s="845"/>
      <c r="I87" s="845"/>
      <c r="J87" s="845"/>
      <c r="K87" s="845"/>
      <c r="L87" s="845"/>
      <c r="M87" s="845"/>
      <c r="N87" s="845"/>
      <c r="O87" s="845"/>
      <c r="P87" s="845"/>
      <c r="Q87" s="845"/>
      <c r="R87" s="845"/>
      <c r="S87" s="845"/>
      <c r="T87" s="845"/>
      <c r="U87" s="845"/>
      <c r="V87" s="845"/>
      <c r="W87" s="845"/>
      <c r="X87" s="845"/>
      <c r="Y87" s="845"/>
      <c r="Z87" s="845"/>
      <c r="AA87" s="845"/>
      <c r="AB87" s="845"/>
      <c r="AC87" s="845"/>
      <c r="AD87" s="845"/>
      <c r="AE87" s="845"/>
      <c r="AF87" s="845"/>
      <c r="AG87" s="845"/>
      <c r="AH87" s="845"/>
      <c r="AI87" s="845"/>
      <c r="AJ87" s="845"/>
      <c r="AK87" s="845"/>
      <c r="AL87" s="845"/>
      <c r="AM87" s="845"/>
      <c r="AN87" s="845"/>
      <c r="AO87" s="845"/>
      <c r="AP87" s="845"/>
      <c r="AQ87" s="845"/>
      <c r="AR87" s="845"/>
      <c r="AS87" s="845"/>
      <c r="AT87" s="845"/>
      <c r="AU87" s="845"/>
      <c r="AV87" s="845"/>
      <c r="AW87" s="845"/>
      <c r="AX87" s="845"/>
      <c r="AY87" s="845"/>
      <c r="AZ87" s="845"/>
      <c r="BA87" s="845"/>
      <c r="BB87" s="845"/>
      <c r="BC87" s="845"/>
      <c r="BD87" s="845"/>
      <c r="BE87" s="845"/>
      <c r="BF87" s="845"/>
      <c r="BG87" s="845"/>
      <c r="BH87" s="845"/>
      <c r="BI87" s="845"/>
      <c r="BJ87" s="845"/>
    </row>
    <row r="88" spans="1:62" x14ac:dyDescent="0.25">
      <c r="A88" s="844"/>
      <c r="B88" s="844"/>
      <c r="C88" s="845"/>
      <c r="D88" s="845"/>
      <c r="E88" s="845"/>
      <c r="F88" s="845"/>
      <c r="G88" s="845"/>
      <c r="H88" s="845"/>
      <c r="I88" s="845"/>
      <c r="J88" s="845"/>
      <c r="K88" s="845"/>
      <c r="L88" s="845"/>
      <c r="M88" s="845"/>
      <c r="N88" s="845"/>
      <c r="O88" s="845"/>
      <c r="P88" s="845"/>
      <c r="Q88" s="845"/>
      <c r="R88" s="845"/>
      <c r="S88" s="845"/>
      <c r="T88" s="845"/>
      <c r="U88" s="845"/>
      <c r="V88" s="845"/>
      <c r="W88" s="845"/>
      <c r="X88" s="845"/>
      <c r="Y88" s="845"/>
      <c r="Z88" s="845"/>
      <c r="AA88" s="845"/>
      <c r="AB88" s="845"/>
      <c r="AC88" s="845"/>
      <c r="AD88" s="845"/>
      <c r="AE88" s="845"/>
      <c r="AF88" s="845"/>
      <c r="AG88" s="845"/>
      <c r="AH88" s="845"/>
      <c r="AI88" s="845"/>
      <c r="AJ88" s="845"/>
      <c r="AK88" s="845"/>
      <c r="AL88" s="845"/>
      <c r="AM88" s="845"/>
      <c r="AN88" s="845"/>
      <c r="AO88" s="845"/>
      <c r="AP88" s="845"/>
      <c r="AQ88" s="845"/>
      <c r="AR88" s="845"/>
      <c r="AS88" s="845"/>
      <c r="AT88" s="845"/>
      <c r="AU88" s="845"/>
      <c r="AV88" s="845"/>
      <c r="AW88" s="845"/>
      <c r="AX88" s="845"/>
      <c r="AY88" s="845"/>
      <c r="AZ88" s="845"/>
      <c r="BA88" s="845"/>
      <c r="BB88" s="845"/>
      <c r="BC88" s="845"/>
      <c r="BD88" s="845"/>
      <c r="BE88" s="845"/>
      <c r="BF88" s="845"/>
      <c r="BG88" s="845"/>
      <c r="BH88" s="845"/>
      <c r="BI88" s="845"/>
      <c r="BJ88" s="845"/>
    </row>
    <row r="89" spans="1:62" x14ac:dyDescent="0.25">
      <c r="A89" s="844"/>
      <c r="B89" s="844"/>
      <c r="C89" s="845"/>
      <c r="D89" s="845"/>
      <c r="E89" s="845"/>
      <c r="F89" s="845"/>
      <c r="G89" s="845"/>
      <c r="H89" s="845"/>
      <c r="I89" s="845"/>
      <c r="J89" s="845"/>
      <c r="K89" s="845"/>
      <c r="L89" s="845"/>
      <c r="M89" s="845"/>
      <c r="N89" s="845"/>
      <c r="O89" s="845"/>
      <c r="P89" s="845"/>
      <c r="Q89" s="845"/>
      <c r="R89" s="845"/>
      <c r="S89" s="845"/>
      <c r="T89" s="845"/>
      <c r="U89" s="845"/>
      <c r="V89" s="845"/>
      <c r="W89" s="845"/>
      <c r="X89" s="845"/>
      <c r="Y89" s="845"/>
      <c r="Z89" s="845"/>
      <c r="AA89" s="845"/>
      <c r="AB89" s="845"/>
      <c r="AC89" s="845"/>
      <c r="AD89" s="845"/>
      <c r="AE89" s="845"/>
      <c r="AF89" s="845"/>
      <c r="AG89" s="845"/>
      <c r="AH89" s="845"/>
      <c r="AI89" s="845"/>
      <c r="AJ89" s="845"/>
      <c r="AK89" s="845"/>
      <c r="AL89" s="845"/>
      <c r="AM89" s="845"/>
      <c r="AN89" s="845"/>
      <c r="AO89" s="845"/>
      <c r="AP89" s="845"/>
      <c r="AQ89" s="845"/>
      <c r="AR89" s="845"/>
      <c r="AS89" s="845"/>
      <c r="AT89" s="845"/>
      <c r="AU89" s="845"/>
      <c r="AV89" s="845"/>
      <c r="AW89" s="845"/>
      <c r="AX89" s="845"/>
      <c r="AY89" s="845"/>
      <c r="AZ89" s="845"/>
      <c r="BA89" s="845"/>
      <c r="BB89" s="845"/>
      <c r="BC89" s="845"/>
      <c r="BD89" s="845"/>
      <c r="BE89" s="845"/>
      <c r="BF89" s="845"/>
      <c r="BG89" s="845"/>
      <c r="BH89" s="845"/>
      <c r="BI89" s="845"/>
      <c r="BJ89" s="845"/>
    </row>
    <row r="90" spans="1:62" x14ac:dyDescent="0.25">
      <c r="A90" s="844"/>
      <c r="B90" s="844"/>
      <c r="C90" s="845"/>
      <c r="D90" s="845"/>
      <c r="E90" s="845"/>
      <c r="F90" s="845"/>
      <c r="G90" s="845"/>
      <c r="H90" s="845"/>
      <c r="I90" s="845"/>
      <c r="J90" s="845"/>
      <c r="K90" s="845"/>
      <c r="L90" s="845"/>
      <c r="M90" s="845"/>
      <c r="N90" s="845"/>
      <c r="O90" s="845"/>
      <c r="P90" s="845"/>
      <c r="Q90" s="845"/>
      <c r="R90" s="845"/>
      <c r="S90" s="845"/>
      <c r="T90" s="845"/>
      <c r="U90" s="845"/>
      <c r="V90" s="845"/>
      <c r="W90" s="845"/>
      <c r="X90" s="845"/>
      <c r="Y90" s="845"/>
      <c r="Z90" s="845"/>
      <c r="AA90" s="845"/>
      <c r="AB90" s="845"/>
      <c r="AC90" s="845"/>
      <c r="AD90" s="845"/>
      <c r="AE90" s="845"/>
      <c r="AF90" s="845"/>
      <c r="AG90" s="845"/>
      <c r="AH90" s="845"/>
      <c r="AI90" s="845"/>
      <c r="AJ90" s="845"/>
      <c r="AK90" s="845"/>
      <c r="AL90" s="845"/>
      <c r="AM90" s="845"/>
      <c r="AN90" s="845"/>
      <c r="AO90" s="845"/>
      <c r="AP90" s="845"/>
      <c r="AQ90" s="845"/>
      <c r="AR90" s="845"/>
      <c r="AS90" s="845"/>
      <c r="AT90" s="845"/>
      <c r="AU90" s="845"/>
      <c r="AV90" s="845"/>
      <c r="AW90" s="845"/>
      <c r="AX90" s="845"/>
      <c r="AY90" s="845"/>
      <c r="AZ90" s="845"/>
      <c r="BA90" s="845"/>
      <c r="BB90" s="845"/>
      <c r="BC90" s="845"/>
      <c r="BD90" s="845"/>
      <c r="BE90" s="845"/>
      <c r="BF90" s="845"/>
      <c r="BG90" s="845"/>
      <c r="BH90" s="845"/>
      <c r="BI90" s="845"/>
      <c r="BJ90" s="845"/>
    </row>
    <row r="91" spans="1:62" x14ac:dyDescent="0.25">
      <c r="A91" s="844"/>
      <c r="B91" s="844"/>
      <c r="C91" s="845"/>
      <c r="D91" s="845"/>
      <c r="E91" s="845"/>
      <c r="F91" s="845"/>
      <c r="G91" s="845"/>
      <c r="H91" s="845"/>
      <c r="I91" s="845"/>
      <c r="J91" s="845"/>
      <c r="K91" s="845"/>
      <c r="L91" s="845"/>
      <c r="M91" s="845"/>
      <c r="N91" s="845"/>
      <c r="O91" s="845"/>
      <c r="P91" s="845"/>
      <c r="Q91" s="845"/>
      <c r="R91" s="845"/>
      <c r="S91" s="845"/>
      <c r="T91" s="845"/>
      <c r="U91" s="845"/>
      <c r="V91" s="845"/>
      <c r="W91" s="845"/>
      <c r="X91" s="845"/>
      <c r="Y91" s="845"/>
      <c r="Z91" s="845"/>
      <c r="AA91" s="845"/>
      <c r="AB91" s="845"/>
      <c r="AC91" s="845"/>
      <c r="AD91" s="845"/>
      <c r="AE91" s="845"/>
      <c r="AF91" s="845"/>
      <c r="AG91" s="845"/>
      <c r="AH91" s="845"/>
      <c r="AI91" s="845"/>
      <c r="AJ91" s="845"/>
      <c r="AK91" s="845"/>
      <c r="AL91" s="845"/>
      <c r="AM91" s="845"/>
      <c r="AN91" s="845"/>
      <c r="AO91" s="845"/>
      <c r="AP91" s="845"/>
      <c r="AQ91" s="845"/>
      <c r="AR91" s="845"/>
      <c r="AS91" s="845"/>
      <c r="AT91" s="845"/>
      <c r="AU91" s="845"/>
      <c r="AV91" s="845"/>
      <c r="AW91" s="845"/>
      <c r="AX91" s="845"/>
      <c r="AY91" s="845"/>
      <c r="AZ91" s="845"/>
      <c r="BA91" s="845"/>
      <c r="BB91" s="845"/>
      <c r="BC91" s="845"/>
      <c r="BD91" s="845"/>
      <c r="BE91" s="845"/>
      <c r="BF91" s="845"/>
      <c r="BG91" s="845"/>
      <c r="BH91" s="845"/>
      <c r="BI91" s="845"/>
      <c r="BJ91" s="845"/>
    </row>
    <row r="92" spans="1:62" x14ac:dyDescent="0.25">
      <c r="A92" s="844"/>
      <c r="B92" s="844"/>
      <c r="C92" s="845"/>
      <c r="D92" s="845"/>
      <c r="E92" s="845"/>
      <c r="F92" s="845"/>
      <c r="G92" s="845"/>
      <c r="H92" s="845"/>
      <c r="I92" s="845"/>
      <c r="J92" s="845"/>
      <c r="K92" s="845"/>
      <c r="L92" s="845"/>
      <c r="M92" s="845"/>
      <c r="N92" s="845"/>
      <c r="O92" s="845"/>
      <c r="P92" s="845"/>
      <c r="Q92" s="845"/>
      <c r="R92" s="845"/>
      <c r="S92" s="845"/>
      <c r="T92" s="845"/>
      <c r="U92" s="845"/>
      <c r="V92" s="845"/>
      <c r="W92" s="845"/>
      <c r="X92" s="845"/>
      <c r="Y92" s="845"/>
      <c r="Z92" s="845"/>
      <c r="AA92" s="845"/>
      <c r="AB92" s="845"/>
      <c r="AC92" s="845"/>
      <c r="AD92" s="845"/>
      <c r="AE92" s="845"/>
      <c r="AF92" s="845"/>
      <c r="AG92" s="845"/>
      <c r="AH92" s="845"/>
      <c r="AI92" s="845"/>
      <c r="AJ92" s="845"/>
      <c r="AK92" s="845"/>
      <c r="AL92" s="845"/>
      <c r="AM92" s="845"/>
      <c r="AN92" s="845"/>
      <c r="AO92" s="845"/>
      <c r="AP92" s="845"/>
      <c r="AQ92" s="845"/>
      <c r="AR92" s="845"/>
      <c r="AS92" s="845"/>
      <c r="AT92" s="845"/>
      <c r="AU92" s="845"/>
      <c r="AV92" s="845"/>
      <c r="AW92" s="845"/>
      <c r="AX92" s="845"/>
      <c r="AY92" s="845"/>
      <c r="AZ92" s="845"/>
      <c r="BA92" s="845"/>
      <c r="BB92" s="845"/>
      <c r="BC92" s="845"/>
      <c r="BD92" s="845"/>
      <c r="BE92" s="845"/>
      <c r="BF92" s="845"/>
      <c r="BG92" s="845"/>
      <c r="BH92" s="845"/>
      <c r="BI92" s="845"/>
      <c r="BJ92" s="845"/>
    </row>
    <row r="93" spans="1:62" x14ac:dyDescent="0.25">
      <c r="A93" s="844"/>
      <c r="B93" s="844"/>
      <c r="C93" s="845"/>
      <c r="D93" s="845"/>
      <c r="E93" s="845"/>
      <c r="F93" s="845"/>
      <c r="G93" s="845"/>
      <c r="H93" s="845"/>
      <c r="I93" s="845"/>
      <c r="J93" s="845"/>
      <c r="K93" s="845"/>
      <c r="L93" s="845"/>
      <c r="M93" s="845"/>
      <c r="N93" s="845"/>
      <c r="O93" s="845"/>
      <c r="P93" s="845"/>
      <c r="Q93" s="845"/>
      <c r="R93" s="845"/>
      <c r="S93" s="845"/>
      <c r="T93" s="845"/>
      <c r="U93" s="845"/>
      <c r="V93" s="845"/>
      <c r="W93" s="845"/>
      <c r="X93" s="845"/>
      <c r="Y93" s="845"/>
      <c r="Z93" s="845"/>
      <c r="AA93" s="845"/>
      <c r="AB93" s="845"/>
      <c r="AC93" s="845"/>
      <c r="AD93" s="845"/>
      <c r="AE93" s="845"/>
      <c r="AF93" s="845"/>
      <c r="AG93" s="845"/>
      <c r="AH93" s="845"/>
      <c r="AI93" s="845"/>
      <c r="AJ93" s="845"/>
      <c r="AK93" s="845"/>
      <c r="AL93" s="845"/>
      <c r="AM93" s="845"/>
      <c r="AN93" s="845"/>
      <c r="AO93" s="845"/>
      <c r="AP93" s="845"/>
      <c r="AQ93" s="845"/>
      <c r="AR93" s="845"/>
      <c r="AS93" s="845"/>
      <c r="AT93" s="845"/>
      <c r="AU93" s="845"/>
      <c r="AV93" s="845"/>
      <c r="AW93" s="845"/>
      <c r="AX93" s="845"/>
      <c r="AY93" s="845"/>
      <c r="AZ93" s="845"/>
      <c r="BA93" s="845"/>
      <c r="BB93" s="845"/>
      <c r="BC93" s="845"/>
      <c r="BD93" s="845"/>
      <c r="BE93" s="845"/>
      <c r="BF93" s="845"/>
      <c r="BG93" s="845"/>
      <c r="BH93" s="845"/>
      <c r="BI93" s="845"/>
      <c r="BJ93" s="845"/>
    </row>
    <row r="94" spans="1:62" x14ac:dyDescent="0.25">
      <c r="A94" s="844"/>
      <c r="B94" s="844"/>
      <c r="C94" s="845"/>
      <c r="D94" s="845"/>
      <c r="E94" s="845"/>
      <c r="F94" s="845"/>
      <c r="G94" s="845"/>
      <c r="H94" s="845"/>
      <c r="I94" s="845"/>
      <c r="J94" s="845"/>
      <c r="K94" s="845"/>
      <c r="L94" s="845"/>
      <c r="M94" s="845"/>
      <c r="N94" s="845"/>
      <c r="O94" s="845"/>
      <c r="P94" s="845"/>
      <c r="Q94" s="845"/>
      <c r="R94" s="845"/>
      <c r="S94" s="845"/>
      <c r="T94" s="845"/>
      <c r="U94" s="845"/>
      <c r="V94" s="845"/>
      <c r="W94" s="845"/>
      <c r="X94" s="845"/>
      <c r="Y94" s="845"/>
      <c r="Z94" s="845"/>
      <c r="AA94" s="845"/>
      <c r="AB94" s="845"/>
      <c r="AC94" s="845"/>
      <c r="AD94" s="845"/>
      <c r="AE94" s="845"/>
      <c r="AF94" s="845"/>
      <c r="AG94" s="845"/>
      <c r="AH94" s="845"/>
      <c r="AI94" s="845"/>
      <c r="AJ94" s="845"/>
      <c r="AK94" s="845"/>
      <c r="AL94" s="845"/>
      <c r="AM94" s="845"/>
      <c r="AN94" s="845"/>
      <c r="AO94" s="845"/>
      <c r="AP94" s="845"/>
      <c r="AQ94" s="845"/>
      <c r="AR94" s="845"/>
      <c r="AS94" s="845"/>
      <c r="AT94" s="845"/>
      <c r="AU94" s="845"/>
      <c r="AV94" s="845"/>
      <c r="AW94" s="845"/>
      <c r="AX94" s="845"/>
      <c r="AY94" s="845"/>
      <c r="AZ94" s="845"/>
      <c r="BA94" s="845"/>
      <c r="BB94" s="845"/>
      <c r="BC94" s="845"/>
      <c r="BD94" s="845"/>
      <c r="BE94" s="845"/>
      <c r="BF94" s="845"/>
      <c r="BG94" s="845"/>
      <c r="BH94" s="845"/>
      <c r="BI94" s="845"/>
      <c r="BJ94" s="845"/>
    </row>
    <row r="95" spans="1:62" x14ac:dyDescent="0.25">
      <c r="A95" s="844"/>
      <c r="B95" s="844"/>
      <c r="C95" s="845"/>
      <c r="D95" s="845"/>
      <c r="E95" s="845"/>
      <c r="F95" s="845"/>
      <c r="G95" s="845"/>
      <c r="H95" s="845"/>
      <c r="I95" s="845"/>
      <c r="J95" s="845"/>
      <c r="K95" s="845"/>
      <c r="L95" s="845"/>
      <c r="M95" s="845"/>
      <c r="N95" s="845"/>
      <c r="O95" s="845"/>
      <c r="P95" s="845"/>
      <c r="Q95" s="845"/>
      <c r="R95" s="845"/>
      <c r="S95" s="845"/>
      <c r="T95" s="845"/>
      <c r="U95" s="845"/>
      <c r="V95" s="845"/>
      <c r="W95" s="845"/>
      <c r="X95" s="845"/>
      <c r="Y95" s="845"/>
      <c r="Z95" s="845"/>
      <c r="AA95" s="845"/>
      <c r="AB95" s="845"/>
      <c r="AC95" s="845"/>
      <c r="AD95" s="845"/>
      <c r="AE95" s="845"/>
      <c r="AF95" s="845"/>
      <c r="AG95" s="845"/>
      <c r="AH95" s="845"/>
      <c r="AI95" s="845"/>
      <c r="AJ95" s="845"/>
      <c r="AK95" s="845"/>
      <c r="AL95" s="845"/>
      <c r="AM95" s="845"/>
      <c r="AN95" s="845"/>
      <c r="AO95" s="845"/>
      <c r="AP95" s="845"/>
      <c r="AQ95" s="845"/>
      <c r="AR95" s="845"/>
      <c r="AS95" s="845"/>
      <c r="AT95" s="845"/>
      <c r="AU95" s="845"/>
      <c r="AV95" s="845"/>
      <c r="AW95" s="845"/>
      <c r="AX95" s="845"/>
      <c r="AY95" s="845"/>
      <c r="AZ95" s="845"/>
      <c r="BA95" s="845"/>
      <c r="BB95" s="845"/>
      <c r="BC95" s="845"/>
      <c r="BD95" s="845"/>
      <c r="BE95" s="845"/>
      <c r="BF95" s="845"/>
      <c r="BG95" s="845"/>
      <c r="BH95" s="845"/>
      <c r="BI95" s="845"/>
      <c r="BJ95" s="845"/>
    </row>
    <row r="96" spans="1:62" x14ac:dyDescent="0.25">
      <c r="A96" s="844"/>
      <c r="B96" s="844"/>
      <c r="C96" s="845"/>
      <c r="D96" s="845"/>
      <c r="E96" s="845"/>
      <c r="F96" s="845"/>
      <c r="G96" s="845"/>
      <c r="H96" s="845"/>
      <c r="I96" s="845"/>
      <c r="J96" s="845"/>
      <c r="K96" s="845"/>
      <c r="L96" s="845"/>
      <c r="M96" s="845"/>
      <c r="N96" s="845"/>
      <c r="O96" s="845"/>
      <c r="P96" s="845"/>
      <c r="Q96" s="845"/>
      <c r="R96" s="845"/>
      <c r="S96" s="845"/>
      <c r="T96" s="845"/>
      <c r="U96" s="845"/>
      <c r="V96" s="845"/>
      <c r="W96" s="845"/>
      <c r="X96" s="845"/>
      <c r="Y96" s="845"/>
      <c r="Z96" s="845"/>
      <c r="AA96" s="845"/>
      <c r="AB96" s="845"/>
      <c r="AC96" s="845"/>
      <c r="AD96" s="845"/>
      <c r="AE96" s="845"/>
      <c r="AF96" s="845"/>
      <c r="AG96" s="845"/>
      <c r="AH96" s="845"/>
      <c r="AI96" s="845"/>
      <c r="AJ96" s="845"/>
      <c r="AK96" s="845"/>
      <c r="AL96" s="845"/>
      <c r="AM96" s="845"/>
      <c r="AN96" s="845"/>
      <c r="AO96" s="845"/>
      <c r="AP96" s="845"/>
      <c r="AQ96" s="845"/>
      <c r="AR96" s="845"/>
      <c r="AS96" s="845"/>
      <c r="AT96" s="845"/>
      <c r="AU96" s="845"/>
      <c r="AV96" s="845"/>
      <c r="AW96" s="845"/>
      <c r="AX96" s="845"/>
      <c r="AY96" s="845"/>
      <c r="AZ96" s="845"/>
      <c r="BA96" s="845"/>
      <c r="BB96" s="845"/>
      <c r="BC96" s="845"/>
      <c r="BD96" s="845"/>
      <c r="BE96" s="845"/>
      <c r="BF96" s="845"/>
      <c r="BG96" s="845"/>
      <c r="BH96" s="845"/>
      <c r="BI96" s="845"/>
      <c r="BJ96" s="845"/>
    </row>
    <row r="97" spans="1:62" x14ac:dyDescent="0.25">
      <c r="A97" s="844"/>
      <c r="B97" s="844"/>
      <c r="C97" s="845"/>
      <c r="D97" s="845"/>
      <c r="E97" s="845"/>
      <c r="F97" s="845"/>
      <c r="G97" s="845"/>
      <c r="H97" s="845"/>
      <c r="I97" s="845"/>
      <c r="J97" s="845"/>
      <c r="K97" s="845"/>
      <c r="L97" s="845"/>
      <c r="M97" s="845"/>
      <c r="N97" s="845"/>
      <c r="O97" s="845"/>
      <c r="P97" s="845"/>
      <c r="Q97" s="845"/>
      <c r="R97" s="845"/>
      <c r="S97" s="845"/>
      <c r="T97" s="845"/>
      <c r="U97" s="845"/>
      <c r="V97" s="845"/>
      <c r="W97" s="845"/>
      <c r="X97" s="845"/>
      <c r="Y97" s="845"/>
      <c r="Z97" s="845"/>
      <c r="AA97" s="845"/>
      <c r="AB97" s="845"/>
      <c r="AC97" s="845"/>
      <c r="AD97" s="845"/>
      <c r="AE97" s="845"/>
      <c r="AF97" s="845"/>
      <c r="AG97" s="845"/>
      <c r="AH97" s="845"/>
      <c r="AI97" s="845"/>
      <c r="AJ97" s="845"/>
      <c r="AK97" s="845"/>
      <c r="AL97" s="845"/>
      <c r="AM97" s="845"/>
      <c r="AN97" s="845"/>
      <c r="AO97" s="845"/>
      <c r="AP97" s="845"/>
      <c r="AQ97" s="845"/>
      <c r="AR97" s="845"/>
      <c r="AS97" s="845"/>
      <c r="AT97" s="845"/>
      <c r="AU97" s="845"/>
      <c r="AV97" s="845"/>
      <c r="AW97" s="845"/>
      <c r="AX97" s="845"/>
      <c r="AY97" s="845"/>
      <c r="AZ97" s="845"/>
      <c r="BA97" s="845"/>
      <c r="BB97" s="845"/>
      <c r="BC97" s="845"/>
      <c r="BD97" s="845"/>
      <c r="BE97" s="845"/>
      <c r="BF97" s="845"/>
      <c r="BG97" s="845"/>
      <c r="BH97" s="845"/>
      <c r="BI97" s="845"/>
      <c r="BJ97" s="845"/>
    </row>
    <row r="98" spans="1:62" x14ac:dyDescent="0.25">
      <c r="A98" s="844"/>
      <c r="B98" s="844"/>
      <c r="C98" s="845"/>
      <c r="D98" s="845"/>
      <c r="E98" s="845"/>
      <c r="F98" s="845"/>
      <c r="G98" s="845"/>
      <c r="H98" s="845"/>
      <c r="I98" s="845"/>
      <c r="J98" s="845"/>
      <c r="K98" s="845"/>
      <c r="L98" s="845"/>
      <c r="M98" s="845"/>
      <c r="N98" s="845"/>
      <c r="O98" s="845"/>
      <c r="P98" s="845"/>
      <c r="Q98" s="845"/>
      <c r="R98" s="845"/>
      <c r="S98" s="845"/>
      <c r="T98" s="845"/>
      <c r="U98" s="845"/>
      <c r="V98" s="845"/>
      <c r="W98" s="845"/>
      <c r="X98" s="845"/>
      <c r="Y98" s="845"/>
      <c r="Z98" s="845"/>
      <c r="AA98" s="845"/>
      <c r="AB98" s="845"/>
      <c r="AC98" s="845"/>
      <c r="AD98" s="845"/>
      <c r="AE98" s="845"/>
      <c r="AF98" s="845"/>
      <c r="AG98" s="845"/>
      <c r="AH98" s="845"/>
      <c r="AI98" s="845"/>
      <c r="AJ98" s="845"/>
      <c r="AK98" s="845"/>
      <c r="AL98" s="845"/>
      <c r="AM98" s="845"/>
      <c r="AN98" s="845"/>
      <c r="AO98" s="845"/>
      <c r="AP98" s="845"/>
      <c r="AQ98" s="845"/>
      <c r="AR98" s="845"/>
      <c r="AS98" s="845"/>
      <c r="AT98" s="845"/>
      <c r="AU98" s="845"/>
      <c r="AV98" s="845"/>
      <c r="AW98" s="845"/>
      <c r="AX98" s="845"/>
      <c r="AY98" s="845"/>
      <c r="AZ98" s="845"/>
      <c r="BA98" s="845"/>
      <c r="BB98" s="845"/>
      <c r="BC98" s="845"/>
      <c r="BD98" s="845"/>
      <c r="BE98" s="845"/>
      <c r="BF98" s="845"/>
      <c r="BG98" s="845"/>
      <c r="BH98" s="845"/>
      <c r="BI98" s="845"/>
      <c r="BJ98" s="845"/>
    </row>
    <row r="99" spans="1:62" x14ac:dyDescent="0.25">
      <c r="A99" s="844"/>
      <c r="B99" s="844"/>
      <c r="C99" s="845"/>
      <c r="D99" s="845"/>
      <c r="E99" s="845"/>
      <c r="F99" s="845"/>
      <c r="G99" s="845"/>
      <c r="H99" s="845"/>
      <c r="I99" s="845"/>
      <c r="J99" s="845"/>
      <c r="K99" s="845"/>
      <c r="L99" s="845"/>
      <c r="M99" s="845"/>
      <c r="N99" s="845"/>
      <c r="O99" s="845"/>
      <c r="P99" s="845"/>
      <c r="Q99" s="845"/>
      <c r="R99" s="845"/>
      <c r="S99" s="845"/>
      <c r="T99" s="845"/>
      <c r="U99" s="845"/>
      <c r="V99" s="845"/>
      <c r="W99" s="845"/>
      <c r="X99" s="845"/>
      <c r="Y99" s="845"/>
      <c r="Z99" s="845"/>
      <c r="AA99" s="845"/>
      <c r="AB99" s="845"/>
      <c r="AC99" s="845"/>
      <c r="AD99" s="845"/>
      <c r="AE99" s="845"/>
      <c r="AF99" s="845"/>
      <c r="AG99" s="845"/>
      <c r="AH99" s="845"/>
      <c r="AI99" s="845"/>
      <c r="AJ99" s="845"/>
      <c r="AK99" s="845"/>
      <c r="AL99" s="845"/>
      <c r="AM99" s="845"/>
      <c r="AN99" s="845"/>
      <c r="AO99" s="845"/>
      <c r="AP99" s="845"/>
      <c r="AQ99" s="845"/>
      <c r="AR99" s="845"/>
      <c r="AS99" s="845"/>
      <c r="AT99" s="845"/>
      <c r="AU99" s="845"/>
      <c r="AV99" s="845"/>
      <c r="AW99" s="845"/>
      <c r="AX99" s="845"/>
      <c r="AY99" s="845"/>
      <c r="AZ99" s="845"/>
      <c r="BA99" s="845"/>
      <c r="BB99" s="845"/>
      <c r="BC99" s="845"/>
      <c r="BD99" s="845"/>
      <c r="BE99" s="845"/>
      <c r="BF99" s="845"/>
      <c r="BG99" s="845"/>
      <c r="BH99" s="845"/>
      <c r="BI99" s="845"/>
      <c r="BJ99" s="845"/>
    </row>
    <row r="100" spans="1:62" x14ac:dyDescent="0.25">
      <c r="A100" s="844"/>
      <c r="B100" s="844"/>
      <c r="C100" s="845"/>
      <c r="D100" s="845"/>
      <c r="E100" s="845"/>
      <c r="F100" s="845"/>
      <c r="G100" s="845"/>
      <c r="H100" s="845"/>
      <c r="I100" s="845"/>
      <c r="J100" s="845"/>
      <c r="K100" s="845"/>
      <c r="L100" s="845"/>
      <c r="M100" s="845"/>
      <c r="N100" s="845"/>
      <c r="O100" s="845"/>
      <c r="P100" s="845"/>
      <c r="Q100" s="845"/>
      <c r="R100" s="845"/>
      <c r="S100" s="845"/>
      <c r="T100" s="845"/>
      <c r="U100" s="845"/>
      <c r="V100" s="845"/>
      <c r="W100" s="845"/>
      <c r="X100" s="845"/>
      <c r="Y100" s="845"/>
      <c r="Z100" s="845"/>
      <c r="AA100" s="845"/>
      <c r="AB100" s="845"/>
      <c r="AC100" s="845"/>
      <c r="AD100" s="845"/>
      <c r="AE100" s="845"/>
      <c r="AF100" s="845"/>
      <c r="AG100" s="845"/>
      <c r="AH100" s="845"/>
      <c r="AI100" s="845"/>
      <c r="AJ100" s="845"/>
      <c r="AK100" s="845"/>
      <c r="AL100" s="845"/>
      <c r="AM100" s="845"/>
      <c r="AN100" s="845"/>
      <c r="AO100" s="845"/>
      <c r="AP100" s="845"/>
      <c r="AQ100" s="845"/>
      <c r="AR100" s="845"/>
      <c r="AS100" s="845"/>
      <c r="AT100" s="845"/>
      <c r="AU100" s="845"/>
      <c r="AV100" s="845"/>
      <c r="AW100" s="845"/>
      <c r="AX100" s="845"/>
      <c r="AY100" s="845"/>
      <c r="AZ100" s="845"/>
      <c r="BA100" s="845"/>
      <c r="BB100" s="845"/>
      <c r="BC100" s="845"/>
      <c r="BD100" s="845"/>
      <c r="BE100" s="845"/>
      <c r="BF100" s="845"/>
      <c r="BG100" s="845"/>
      <c r="BH100" s="845"/>
      <c r="BI100" s="845"/>
      <c r="BJ100" s="845"/>
    </row>
    <row r="101" spans="1:62" x14ac:dyDescent="0.25">
      <c r="A101" s="844"/>
      <c r="B101" s="844"/>
      <c r="C101" s="845"/>
      <c r="D101" s="845"/>
      <c r="E101" s="845"/>
      <c r="F101" s="845"/>
      <c r="G101" s="845"/>
      <c r="H101" s="845"/>
      <c r="I101" s="845"/>
      <c r="J101" s="845"/>
      <c r="K101" s="845"/>
      <c r="L101" s="845"/>
      <c r="M101" s="845"/>
      <c r="N101" s="845"/>
      <c r="O101" s="845"/>
      <c r="P101" s="845"/>
      <c r="Q101" s="845"/>
      <c r="R101" s="845"/>
      <c r="S101" s="845"/>
      <c r="T101" s="845"/>
      <c r="U101" s="845"/>
      <c r="V101" s="845"/>
      <c r="W101" s="845"/>
      <c r="X101" s="845"/>
      <c r="Y101" s="845"/>
      <c r="Z101" s="845"/>
      <c r="AA101" s="845"/>
      <c r="AB101" s="845"/>
      <c r="AC101" s="845"/>
      <c r="AD101" s="845"/>
      <c r="AE101" s="845"/>
      <c r="AF101" s="845"/>
      <c r="AG101" s="845"/>
      <c r="AH101" s="845"/>
      <c r="AI101" s="845"/>
      <c r="AJ101" s="845"/>
      <c r="AK101" s="845"/>
      <c r="AL101" s="845"/>
      <c r="AM101" s="845"/>
      <c r="AN101" s="845"/>
      <c r="AO101" s="845"/>
      <c r="AP101" s="845"/>
      <c r="AQ101" s="845"/>
      <c r="AR101" s="845"/>
      <c r="AS101" s="845"/>
      <c r="AT101" s="845"/>
      <c r="AU101" s="845"/>
      <c r="AV101" s="845"/>
      <c r="AW101" s="845"/>
      <c r="AX101" s="845"/>
      <c r="AY101" s="845"/>
      <c r="AZ101" s="845"/>
      <c r="BA101" s="845"/>
      <c r="BB101" s="845"/>
      <c r="BC101" s="845"/>
      <c r="BD101" s="845"/>
      <c r="BE101" s="845"/>
      <c r="BF101" s="845"/>
      <c r="BG101" s="845"/>
      <c r="BH101" s="845"/>
      <c r="BI101" s="845"/>
      <c r="BJ101" s="845"/>
    </row>
    <row r="102" spans="1:62" x14ac:dyDescent="0.25">
      <c r="A102" s="844"/>
      <c r="B102" s="844"/>
      <c r="C102" s="845"/>
      <c r="D102" s="845"/>
      <c r="E102" s="845"/>
      <c r="F102" s="845"/>
      <c r="G102" s="845"/>
      <c r="H102" s="845"/>
      <c r="I102" s="845"/>
      <c r="J102" s="845"/>
      <c r="K102" s="845"/>
      <c r="L102" s="845"/>
      <c r="M102" s="845"/>
      <c r="N102" s="845"/>
      <c r="O102" s="845"/>
      <c r="P102" s="845"/>
      <c r="Q102" s="845"/>
      <c r="R102" s="845"/>
      <c r="S102" s="845"/>
      <c r="T102" s="845"/>
      <c r="U102" s="845"/>
      <c r="V102" s="845"/>
      <c r="W102" s="845"/>
      <c r="X102" s="845"/>
      <c r="Y102" s="845"/>
      <c r="Z102" s="845"/>
      <c r="AA102" s="845"/>
      <c r="AB102" s="845"/>
      <c r="AC102" s="845"/>
      <c r="AD102" s="845"/>
      <c r="AE102" s="845"/>
      <c r="AF102" s="845"/>
      <c r="AG102" s="845"/>
      <c r="AH102" s="845"/>
      <c r="AI102" s="845"/>
      <c r="AJ102" s="845"/>
      <c r="AK102" s="845"/>
      <c r="AL102" s="845"/>
      <c r="AM102" s="845"/>
      <c r="AN102" s="845"/>
      <c r="AO102" s="845"/>
      <c r="AP102" s="845"/>
      <c r="AQ102" s="845"/>
      <c r="AR102" s="845"/>
      <c r="AS102" s="845"/>
      <c r="AT102" s="845"/>
      <c r="AU102" s="845"/>
      <c r="AV102" s="845"/>
      <c r="AW102" s="845"/>
      <c r="AX102" s="845"/>
      <c r="AY102" s="845"/>
      <c r="AZ102" s="845"/>
      <c r="BA102" s="845"/>
      <c r="BB102" s="845"/>
      <c r="BC102" s="845"/>
      <c r="BD102" s="845"/>
      <c r="BE102" s="845"/>
      <c r="BF102" s="845"/>
      <c r="BG102" s="845"/>
      <c r="BH102" s="845"/>
      <c r="BI102" s="845"/>
      <c r="BJ102" s="845"/>
    </row>
    <row r="103" spans="1:62" x14ac:dyDescent="0.25">
      <c r="A103" s="844"/>
      <c r="B103" s="844"/>
      <c r="C103" s="845"/>
      <c r="D103" s="845"/>
      <c r="E103" s="845"/>
      <c r="F103" s="845"/>
      <c r="G103" s="845"/>
      <c r="H103" s="845"/>
      <c r="I103" s="845"/>
      <c r="J103" s="845"/>
      <c r="K103" s="845"/>
      <c r="L103" s="845"/>
      <c r="M103" s="845"/>
      <c r="N103" s="845"/>
      <c r="O103" s="845"/>
      <c r="P103" s="845"/>
      <c r="Q103" s="845"/>
      <c r="R103" s="845"/>
      <c r="S103" s="845"/>
      <c r="T103" s="845"/>
      <c r="U103" s="845"/>
      <c r="V103" s="845"/>
      <c r="W103" s="845"/>
      <c r="X103" s="845"/>
      <c r="Y103" s="845"/>
      <c r="Z103" s="845"/>
      <c r="AA103" s="845"/>
      <c r="AB103" s="845"/>
      <c r="AC103" s="845"/>
      <c r="AD103" s="845"/>
      <c r="AE103" s="845"/>
      <c r="AF103" s="845"/>
      <c r="AG103" s="845"/>
      <c r="AH103" s="845"/>
      <c r="AI103" s="845"/>
      <c r="AJ103" s="845"/>
      <c r="AK103" s="845"/>
      <c r="AL103" s="845"/>
      <c r="AM103" s="845"/>
      <c r="AN103" s="845"/>
      <c r="AO103" s="845"/>
      <c r="AP103" s="845"/>
      <c r="AQ103" s="845"/>
      <c r="AR103" s="845"/>
      <c r="AS103" s="845"/>
      <c r="AT103" s="845"/>
      <c r="AU103" s="845"/>
      <c r="AV103" s="845"/>
      <c r="AW103" s="845"/>
      <c r="AX103" s="845"/>
      <c r="AY103" s="845"/>
      <c r="AZ103" s="845"/>
      <c r="BA103" s="845"/>
      <c r="BB103" s="845"/>
      <c r="BC103" s="845"/>
      <c r="BD103" s="845"/>
      <c r="BE103" s="845"/>
      <c r="BF103" s="845"/>
      <c r="BG103" s="845"/>
      <c r="BH103" s="845"/>
      <c r="BI103" s="845"/>
      <c r="BJ103" s="845"/>
    </row>
    <row r="104" spans="1:62" x14ac:dyDescent="0.25">
      <c r="A104" s="844"/>
      <c r="B104" s="844"/>
      <c r="C104" s="845"/>
      <c r="D104" s="845"/>
      <c r="E104" s="845"/>
      <c r="F104" s="845"/>
      <c r="G104" s="845"/>
      <c r="H104" s="845"/>
      <c r="I104" s="845"/>
      <c r="J104" s="845"/>
      <c r="K104" s="845"/>
      <c r="L104" s="845"/>
      <c r="M104" s="845"/>
      <c r="N104" s="845"/>
      <c r="O104" s="845"/>
      <c r="P104" s="845"/>
      <c r="Q104" s="845"/>
      <c r="R104" s="845"/>
      <c r="S104" s="845"/>
      <c r="T104" s="845"/>
      <c r="U104" s="845"/>
      <c r="V104" s="845"/>
      <c r="W104" s="845"/>
      <c r="X104" s="845"/>
      <c r="Y104" s="845"/>
      <c r="Z104" s="845"/>
      <c r="AA104" s="845"/>
      <c r="AB104" s="845"/>
      <c r="AC104" s="845"/>
      <c r="AD104" s="845"/>
      <c r="AE104" s="845"/>
      <c r="AF104" s="845"/>
      <c r="AG104" s="845"/>
      <c r="AH104" s="845"/>
      <c r="AI104" s="845"/>
      <c r="AJ104" s="845"/>
      <c r="AK104" s="845"/>
      <c r="AL104" s="845"/>
      <c r="AM104" s="845"/>
      <c r="AN104" s="845"/>
      <c r="AO104" s="845"/>
      <c r="AP104" s="845"/>
      <c r="AQ104" s="845"/>
      <c r="AR104" s="845"/>
      <c r="AS104" s="845"/>
      <c r="AT104" s="845"/>
      <c r="AU104" s="845"/>
      <c r="AV104" s="845"/>
      <c r="AW104" s="845"/>
      <c r="AX104" s="845"/>
      <c r="AY104" s="845"/>
      <c r="AZ104" s="845"/>
      <c r="BA104" s="845"/>
      <c r="BB104" s="845"/>
      <c r="BC104" s="845"/>
      <c r="BD104" s="845"/>
      <c r="BE104" s="845"/>
      <c r="BF104" s="845"/>
      <c r="BG104" s="845"/>
      <c r="BH104" s="845"/>
      <c r="BI104" s="845"/>
      <c r="BJ104" s="845"/>
    </row>
    <row r="105" spans="1:62" x14ac:dyDescent="0.25">
      <c r="A105" s="844"/>
      <c r="B105" s="844"/>
      <c r="C105" s="845"/>
      <c r="D105" s="845"/>
      <c r="E105" s="845"/>
      <c r="F105" s="845"/>
      <c r="G105" s="845"/>
      <c r="H105" s="845"/>
      <c r="I105" s="845"/>
      <c r="J105" s="845"/>
      <c r="K105" s="845"/>
      <c r="L105" s="845"/>
      <c r="M105" s="845"/>
      <c r="N105" s="845"/>
      <c r="O105" s="845"/>
      <c r="P105" s="845"/>
      <c r="Q105" s="845"/>
      <c r="R105" s="845"/>
      <c r="S105" s="845"/>
      <c r="T105" s="845"/>
      <c r="U105" s="845"/>
      <c r="V105" s="845"/>
      <c r="W105" s="845"/>
      <c r="X105" s="845"/>
      <c r="Y105" s="845"/>
      <c r="Z105" s="845"/>
      <c r="AA105" s="845"/>
      <c r="AB105" s="845"/>
      <c r="AC105" s="845"/>
      <c r="AD105" s="845"/>
      <c r="AE105" s="845"/>
      <c r="AF105" s="845"/>
      <c r="AG105" s="845"/>
      <c r="AH105" s="845"/>
      <c r="AI105" s="845"/>
      <c r="AJ105" s="845"/>
      <c r="AK105" s="845"/>
      <c r="AL105" s="845"/>
      <c r="AM105" s="845"/>
      <c r="AN105" s="845"/>
      <c r="AO105" s="845"/>
      <c r="AP105" s="845"/>
      <c r="AQ105" s="845"/>
      <c r="AR105" s="845"/>
      <c r="AS105" s="845"/>
      <c r="AT105" s="845"/>
      <c r="AU105" s="845"/>
      <c r="AV105" s="845"/>
      <c r="AW105" s="845"/>
      <c r="AX105" s="845"/>
      <c r="AY105" s="845"/>
      <c r="AZ105" s="845"/>
      <c r="BA105" s="845"/>
      <c r="BB105" s="845"/>
      <c r="BC105" s="845"/>
      <c r="BD105" s="845"/>
      <c r="BE105" s="845"/>
      <c r="BF105" s="845"/>
      <c r="BG105" s="845"/>
      <c r="BH105" s="845"/>
      <c r="BI105" s="845"/>
      <c r="BJ105" s="845"/>
    </row>
    <row r="106" spans="1:62" x14ac:dyDescent="0.25">
      <c r="A106" s="844"/>
      <c r="B106" s="844"/>
      <c r="C106" s="845"/>
      <c r="D106" s="845"/>
      <c r="E106" s="845"/>
      <c r="F106" s="845"/>
      <c r="G106" s="845"/>
      <c r="H106" s="845"/>
      <c r="I106" s="845"/>
      <c r="J106" s="845"/>
      <c r="K106" s="845"/>
      <c r="L106" s="845"/>
      <c r="M106" s="845"/>
      <c r="N106" s="845"/>
      <c r="O106" s="845"/>
      <c r="P106" s="845"/>
      <c r="Q106" s="845"/>
      <c r="R106" s="845"/>
      <c r="S106" s="845"/>
      <c r="T106" s="845"/>
      <c r="U106" s="845"/>
      <c r="V106" s="845"/>
      <c r="W106" s="845"/>
      <c r="X106" s="845"/>
      <c r="Y106" s="845"/>
      <c r="Z106" s="845"/>
      <c r="AA106" s="845"/>
      <c r="AB106" s="845"/>
      <c r="AC106" s="845"/>
      <c r="AD106" s="845"/>
      <c r="AE106" s="845"/>
      <c r="AF106" s="845"/>
      <c r="AG106" s="845"/>
      <c r="AH106" s="845"/>
      <c r="AI106" s="845"/>
      <c r="AJ106" s="845"/>
      <c r="AK106" s="845"/>
      <c r="AL106" s="845"/>
      <c r="AM106" s="845"/>
      <c r="AN106" s="845"/>
      <c r="AO106" s="845"/>
      <c r="AP106" s="845"/>
      <c r="AQ106" s="845"/>
      <c r="AR106" s="845"/>
      <c r="AS106" s="845"/>
      <c r="AT106" s="845"/>
      <c r="AU106" s="845"/>
      <c r="AV106" s="845"/>
      <c r="AW106" s="845"/>
      <c r="AX106" s="845"/>
      <c r="AY106" s="845"/>
      <c r="AZ106" s="845"/>
      <c r="BA106" s="845"/>
      <c r="BB106" s="845"/>
      <c r="BC106" s="845"/>
      <c r="BD106" s="845"/>
      <c r="BE106" s="845"/>
      <c r="BF106" s="845"/>
      <c r="BG106" s="845"/>
      <c r="BH106" s="845"/>
      <c r="BI106" s="845"/>
      <c r="BJ106" s="845"/>
    </row>
    <row r="107" spans="1:62" x14ac:dyDescent="0.25">
      <c r="A107" s="844"/>
      <c r="B107" s="844"/>
      <c r="C107" s="845"/>
      <c r="D107" s="845"/>
      <c r="E107" s="845"/>
      <c r="F107" s="845"/>
      <c r="G107" s="845"/>
      <c r="H107" s="845"/>
      <c r="I107" s="845"/>
      <c r="J107" s="845"/>
      <c r="K107" s="845"/>
      <c r="L107" s="845"/>
      <c r="M107" s="845"/>
      <c r="N107" s="845"/>
      <c r="O107" s="845"/>
      <c r="P107" s="845"/>
      <c r="Q107" s="845"/>
      <c r="R107" s="845"/>
      <c r="S107" s="845"/>
      <c r="T107" s="845"/>
      <c r="U107" s="845"/>
      <c r="V107" s="845"/>
      <c r="W107" s="845"/>
      <c r="X107" s="845"/>
      <c r="Y107" s="845"/>
      <c r="Z107" s="845"/>
      <c r="AA107" s="845"/>
      <c r="AB107" s="845"/>
      <c r="AC107" s="845"/>
      <c r="AD107" s="845"/>
      <c r="AE107" s="845"/>
      <c r="AF107" s="845"/>
      <c r="AG107" s="845"/>
      <c r="AH107" s="845"/>
      <c r="AI107" s="845"/>
      <c r="AJ107" s="845"/>
      <c r="AK107" s="845"/>
      <c r="AL107" s="845"/>
      <c r="AM107" s="845"/>
      <c r="AN107" s="845"/>
      <c r="AO107" s="845"/>
      <c r="AP107" s="845"/>
      <c r="AQ107" s="845"/>
      <c r="AR107" s="845"/>
      <c r="AS107" s="845"/>
      <c r="AT107" s="845"/>
      <c r="AU107" s="845"/>
      <c r="AV107" s="845"/>
      <c r="AW107" s="845"/>
      <c r="AX107" s="845"/>
      <c r="AY107" s="845"/>
      <c r="AZ107" s="845"/>
      <c r="BA107" s="845"/>
      <c r="BB107" s="845"/>
      <c r="BC107" s="845"/>
      <c r="BD107" s="845"/>
      <c r="BE107" s="845"/>
      <c r="BF107" s="845"/>
      <c r="BG107" s="845"/>
      <c r="BH107" s="845"/>
      <c r="BI107" s="845"/>
      <c r="BJ107" s="845"/>
    </row>
    <row r="108" spans="1:62" x14ac:dyDescent="0.25">
      <c r="A108" s="844"/>
      <c r="B108" s="844"/>
      <c r="C108" s="845"/>
      <c r="D108" s="845"/>
      <c r="E108" s="845"/>
      <c r="F108" s="845"/>
      <c r="G108" s="845"/>
      <c r="H108" s="845"/>
      <c r="I108" s="845"/>
      <c r="J108" s="845"/>
      <c r="K108" s="845"/>
      <c r="L108" s="845"/>
      <c r="M108" s="845"/>
      <c r="N108" s="845"/>
      <c r="O108" s="845"/>
      <c r="P108" s="845"/>
      <c r="Q108" s="845"/>
      <c r="R108" s="845"/>
      <c r="S108" s="845"/>
      <c r="T108" s="845"/>
      <c r="U108" s="845"/>
      <c r="V108" s="845"/>
      <c r="W108" s="845"/>
      <c r="X108" s="845"/>
      <c r="Y108" s="845"/>
      <c r="Z108" s="845"/>
      <c r="AA108" s="845"/>
      <c r="AB108" s="845"/>
      <c r="AC108" s="845"/>
      <c r="AD108" s="845"/>
      <c r="AE108" s="845"/>
      <c r="AF108" s="845"/>
      <c r="AG108" s="845"/>
      <c r="AH108" s="845"/>
      <c r="AI108" s="845"/>
      <c r="AJ108" s="845"/>
      <c r="AK108" s="845"/>
      <c r="AL108" s="845"/>
      <c r="AM108" s="845"/>
      <c r="AN108" s="845"/>
      <c r="AO108" s="845"/>
      <c r="AP108" s="845"/>
      <c r="AQ108" s="845"/>
      <c r="AR108" s="845"/>
      <c r="AS108" s="845"/>
      <c r="AT108" s="845"/>
      <c r="AU108" s="845"/>
      <c r="AV108" s="845"/>
      <c r="AW108" s="845"/>
      <c r="AX108" s="845"/>
      <c r="AY108" s="845"/>
      <c r="AZ108" s="845"/>
      <c r="BA108" s="845"/>
      <c r="BB108" s="845"/>
      <c r="BC108" s="845"/>
      <c r="BD108" s="845"/>
      <c r="BE108" s="845"/>
      <c r="BF108" s="845"/>
      <c r="BG108" s="845"/>
      <c r="BH108" s="845"/>
      <c r="BI108" s="845"/>
      <c r="BJ108" s="845"/>
    </row>
    <row r="109" spans="1:62" x14ac:dyDescent="0.25">
      <c r="A109" s="844"/>
      <c r="B109" s="844"/>
      <c r="C109" s="845"/>
      <c r="D109" s="845"/>
      <c r="E109" s="845"/>
      <c r="F109" s="845"/>
      <c r="G109" s="845"/>
      <c r="H109" s="845"/>
      <c r="I109" s="845"/>
      <c r="J109" s="845"/>
      <c r="K109" s="845"/>
      <c r="L109" s="845"/>
      <c r="M109" s="845"/>
      <c r="N109" s="845"/>
      <c r="O109" s="845"/>
      <c r="P109" s="845"/>
      <c r="Q109" s="845"/>
      <c r="R109" s="845"/>
      <c r="S109" s="845"/>
      <c r="T109" s="845"/>
      <c r="U109" s="845"/>
      <c r="V109" s="845"/>
      <c r="W109" s="845"/>
      <c r="X109" s="845"/>
      <c r="Y109" s="845"/>
      <c r="Z109" s="845"/>
      <c r="AA109" s="845"/>
      <c r="AB109" s="845"/>
      <c r="AC109" s="845"/>
      <c r="AD109" s="845"/>
      <c r="AE109" s="845"/>
      <c r="AF109" s="845"/>
      <c r="AG109" s="845"/>
      <c r="AH109" s="845"/>
      <c r="AI109" s="845"/>
      <c r="AJ109" s="845"/>
      <c r="AK109" s="845"/>
      <c r="AL109" s="845"/>
      <c r="AM109" s="845"/>
      <c r="AN109" s="845"/>
      <c r="AO109" s="845"/>
      <c r="AP109" s="845"/>
      <c r="AQ109" s="845"/>
      <c r="AR109" s="845"/>
      <c r="AS109" s="845"/>
      <c r="AT109" s="845"/>
      <c r="AU109" s="845"/>
      <c r="AV109" s="845"/>
      <c r="AW109" s="845"/>
      <c r="AX109" s="845"/>
      <c r="AY109" s="845"/>
      <c r="AZ109" s="845"/>
      <c r="BA109" s="845"/>
      <c r="BB109" s="845"/>
      <c r="BC109" s="845"/>
      <c r="BD109" s="845"/>
      <c r="BE109" s="845"/>
      <c r="BF109" s="845"/>
      <c r="BG109" s="845"/>
      <c r="BH109" s="845"/>
      <c r="BI109" s="845"/>
      <c r="BJ109" s="845"/>
    </row>
    <row r="110" spans="1:62" x14ac:dyDescent="0.25">
      <c r="A110" s="844"/>
      <c r="B110" s="844"/>
      <c r="C110" s="845"/>
      <c r="D110" s="845"/>
      <c r="E110" s="845"/>
      <c r="F110" s="845"/>
      <c r="G110" s="845"/>
      <c r="H110" s="845"/>
      <c r="I110" s="845"/>
      <c r="J110" s="845"/>
      <c r="K110" s="845"/>
      <c r="L110" s="845"/>
      <c r="M110" s="845"/>
      <c r="N110" s="845"/>
      <c r="O110" s="845"/>
      <c r="P110" s="845"/>
      <c r="Q110" s="845"/>
      <c r="R110" s="845"/>
      <c r="S110" s="845"/>
      <c r="T110" s="845"/>
      <c r="U110" s="845"/>
      <c r="V110" s="845"/>
      <c r="W110" s="845"/>
      <c r="X110" s="845"/>
      <c r="Y110" s="845"/>
      <c r="Z110" s="845"/>
      <c r="AA110" s="845"/>
      <c r="AB110" s="845"/>
      <c r="AC110" s="845"/>
      <c r="AD110" s="845"/>
      <c r="AE110" s="845"/>
      <c r="AF110" s="845"/>
      <c r="AG110" s="845"/>
      <c r="AH110" s="845"/>
      <c r="AI110" s="845"/>
      <c r="AJ110" s="845"/>
      <c r="AK110" s="845"/>
      <c r="AL110" s="845"/>
      <c r="AM110" s="845"/>
      <c r="AN110" s="845"/>
      <c r="AO110" s="845"/>
      <c r="AP110" s="845"/>
      <c r="AQ110" s="845"/>
      <c r="AR110" s="845"/>
      <c r="AS110" s="845"/>
      <c r="AT110" s="845"/>
      <c r="AU110" s="845"/>
      <c r="AV110" s="845"/>
      <c r="AW110" s="845"/>
      <c r="AX110" s="845"/>
      <c r="AY110" s="845"/>
      <c r="AZ110" s="845"/>
      <c r="BA110" s="845"/>
      <c r="BB110" s="845"/>
      <c r="BC110" s="845"/>
      <c r="BD110" s="845"/>
      <c r="BE110" s="845"/>
      <c r="BF110" s="845"/>
      <c r="BG110" s="845"/>
      <c r="BH110" s="845"/>
      <c r="BI110" s="845"/>
      <c r="BJ110" s="845"/>
    </row>
  </sheetData>
  <mergeCells count="31">
    <mergeCell ref="A72:K72"/>
    <mergeCell ref="A73:K73"/>
    <mergeCell ref="A71:K71"/>
    <mergeCell ref="A65:B65"/>
    <mergeCell ref="A24:B24"/>
    <mergeCell ref="A25:B25"/>
    <mergeCell ref="A30:B30"/>
    <mergeCell ref="A35:B35"/>
    <mergeCell ref="A39:B39"/>
    <mergeCell ref="A42:B42"/>
    <mergeCell ref="A46:B46"/>
    <mergeCell ref="A48:B48"/>
    <mergeCell ref="A57:B57"/>
    <mergeCell ref="A60:B60"/>
    <mergeCell ref="A63:B63"/>
    <mergeCell ref="A22:B22"/>
    <mergeCell ref="A1:IH1"/>
    <mergeCell ref="A2:IH2"/>
    <mergeCell ref="A3:IH3"/>
    <mergeCell ref="A5:B5"/>
    <mergeCell ref="C5:AF5"/>
    <mergeCell ref="AG5:BJ5"/>
    <mergeCell ref="BK5:CN5"/>
    <mergeCell ref="CO5:DR5"/>
    <mergeCell ref="DS5:EV5"/>
    <mergeCell ref="EW5:FZ5"/>
    <mergeCell ref="GA5:HD5"/>
    <mergeCell ref="HE5:IH5"/>
    <mergeCell ref="A7:B7"/>
    <mergeCell ref="A8:B8"/>
    <mergeCell ref="A19:B19"/>
  </mergeCells>
  <printOptions horizontalCentered="1" verticalCentered="1"/>
  <pageMargins left="0.25" right="0.25" top="0.36" bottom="0.32" header="0.3" footer="0.3"/>
  <pageSetup scale="18" orientation="landscape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J45"/>
  <sheetViews>
    <sheetView view="pageBreakPreview" topLeftCell="A28" zoomScale="90" zoomScaleNormal="100" zoomScaleSheetLayoutView="90" workbookViewId="0">
      <selection activeCell="A37" sqref="A37"/>
    </sheetView>
  </sheetViews>
  <sheetFormatPr baseColWidth="10" defaultRowHeight="15" x14ac:dyDescent="0.25"/>
  <cols>
    <col min="1" max="1" width="34.28515625" style="847" customWidth="1"/>
    <col min="2" max="4" width="19" style="847" customWidth="1"/>
    <col min="5" max="5" width="22.140625" style="847" customWidth="1"/>
    <col min="6" max="6" width="22.5703125" style="847" customWidth="1"/>
    <col min="7" max="7" width="23" style="847" customWidth="1"/>
    <col min="8" max="9" width="17.28515625" style="847" customWidth="1"/>
    <col min="10" max="10" width="22.28515625" style="847" customWidth="1"/>
    <col min="11" max="16384" width="11.42578125" style="847"/>
  </cols>
  <sheetData>
    <row r="1" spans="1:10" ht="26.25" customHeight="1" x14ac:dyDescent="0.25">
      <c r="A1" s="1476" t="str">
        <f>+'Presup '!B5</f>
        <v>MEJORAMIENTO VÍA LA LAGUNA, SALINAS, LOS OLIVOS</v>
      </c>
      <c r="B1" s="1476"/>
      <c r="C1" s="1476"/>
      <c r="D1" s="1476"/>
      <c r="E1" s="1476"/>
      <c r="F1" s="1476"/>
      <c r="G1" s="1476"/>
      <c r="H1" s="1476"/>
    </row>
    <row r="2" spans="1:10" ht="15.75" customHeight="1" x14ac:dyDescent="0.25">
      <c r="A2" s="1476"/>
      <c r="B2" s="1476"/>
      <c r="C2" s="1476"/>
      <c r="D2" s="1476"/>
      <c r="E2" s="1476"/>
      <c r="F2" s="1476"/>
      <c r="G2" s="1476"/>
      <c r="H2" s="1476"/>
    </row>
    <row r="3" spans="1:10" ht="15" customHeight="1" x14ac:dyDescent="0.25">
      <c r="A3" s="1477"/>
      <c r="B3" s="1477"/>
      <c r="C3" s="1477"/>
      <c r="D3" s="1477"/>
      <c r="E3" s="1477"/>
      <c r="F3" s="1477"/>
      <c r="G3" s="1477"/>
      <c r="H3" s="1477"/>
    </row>
    <row r="4" spans="1:10" x14ac:dyDescent="0.25">
      <c r="A4" s="1463" t="s">
        <v>980</v>
      </c>
      <c r="B4" s="1463"/>
      <c r="C4" s="1463"/>
      <c r="D4" s="1463"/>
      <c r="E4" s="1463"/>
      <c r="F4" s="1463"/>
      <c r="G4" s="1463"/>
      <c r="H4" s="1463"/>
    </row>
    <row r="5" spans="1:10" x14ac:dyDescent="0.25">
      <c r="A5" s="1463"/>
      <c r="B5" s="1463"/>
      <c r="C5" s="1463"/>
      <c r="D5" s="1463"/>
      <c r="E5" s="1463"/>
      <c r="F5" s="1463"/>
      <c r="G5" s="1463"/>
      <c r="H5" s="1463"/>
    </row>
    <row r="6" spans="1:10" x14ac:dyDescent="0.25">
      <c r="A6" s="1463"/>
      <c r="B6" s="1463"/>
      <c r="C6" s="1463"/>
      <c r="D6" s="1463"/>
      <c r="E6" s="1463"/>
      <c r="F6" s="1463"/>
      <c r="G6" s="1463"/>
      <c r="H6" s="1463"/>
    </row>
    <row r="7" spans="1:10" x14ac:dyDescent="0.25">
      <c r="A7" s="1464"/>
      <c r="B7" s="1464"/>
      <c r="C7" s="1464"/>
      <c r="D7" s="1464"/>
      <c r="E7" s="1464"/>
      <c r="F7" s="1464"/>
      <c r="G7" s="1464"/>
      <c r="H7" s="1464"/>
    </row>
    <row r="8" spans="1:10" ht="15.75" thickBot="1" x14ac:dyDescent="0.3">
      <c r="A8" s="1464"/>
      <c r="B8" s="1464"/>
      <c r="C8" s="1464"/>
      <c r="D8" s="1464"/>
      <c r="E8" s="1464"/>
      <c r="F8" s="1464"/>
      <c r="G8" s="1464"/>
      <c r="H8" s="1464"/>
    </row>
    <row r="9" spans="1:10" ht="15.75" x14ac:dyDescent="0.25">
      <c r="A9" s="1478" t="s">
        <v>1001</v>
      </c>
      <c r="B9" s="1478"/>
      <c r="C9" s="1478"/>
      <c r="D9" s="1478"/>
      <c r="E9" s="1478"/>
      <c r="F9" s="1478"/>
      <c r="G9" s="1478"/>
      <c r="H9" s="866">
        <v>1</v>
      </c>
      <c r="I9" s="922" t="s">
        <v>1055</v>
      </c>
      <c r="J9" s="929">
        <f>Interv!J53</f>
        <v>2.35</v>
      </c>
    </row>
    <row r="10" spans="1:10" ht="16.5" thickBot="1" x14ac:dyDescent="0.3">
      <c r="A10" s="1479"/>
      <c r="B10" s="1479"/>
      <c r="C10" s="1479"/>
      <c r="D10" s="1479"/>
      <c r="E10" s="1479"/>
      <c r="F10" s="1479"/>
      <c r="G10" s="1479"/>
      <c r="H10" s="848"/>
      <c r="I10" s="924" t="s">
        <v>1056</v>
      </c>
      <c r="J10" s="930">
        <f>Interv!L53</f>
        <v>2.23</v>
      </c>
    </row>
    <row r="11" spans="1:10" ht="16.5" thickBot="1" x14ac:dyDescent="0.3">
      <c r="A11" s="1465" t="s">
        <v>519</v>
      </c>
      <c r="B11" s="1466"/>
      <c r="C11" s="1466"/>
      <c r="D11" s="1466"/>
      <c r="E11" s="1466"/>
      <c r="F11" s="1466"/>
      <c r="G11" s="1466"/>
      <c r="H11" s="1467"/>
      <c r="I11" s="924" t="s">
        <v>1054</v>
      </c>
      <c r="J11" s="926">
        <f>828116*2</f>
        <v>1656232</v>
      </c>
    </row>
    <row r="12" spans="1:10" s="854" customFormat="1" ht="49.5" customHeight="1" x14ac:dyDescent="0.25">
      <c r="A12" s="853" t="s">
        <v>981</v>
      </c>
      <c r="B12" s="1468" t="s">
        <v>982</v>
      </c>
      <c r="C12" s="1469"/>
      <c r="D12" s="853" t="s">
        <v>983</v>
      </c>
      <c r="E12" s="853" t="s">
        <v>984</v>
      </c>
      <c r="F12" s="853" t="s">
        <v>990</v>
      </c>
      <c r="G12" s="853" t="s">
        <v>985</v>
      </c>
      <c r="H12" s="853" t="s">
        <v>986</v>
      </c>
    </row>
    <row r="13" spans="1:10" x14ac:dyDescent="0.25">
      <c r="A13" s="851" t="s">
        <v>691</v>
      </c>
      <c r="B13" s="1480"/>
      <c r="C13" s="1480"/>
      <c r="D13" s="849"/>
      <c r="E13" s="849"/>
      <c r="F13" s="849"/>
      <c r="G13" s="849"/>
      <c r="H13" s="849"/>
    </row>
    <row r="14" spans="1:10" x14ac:dyDescent="0.25">
      <c r="A14" s="850" t="s">
        <v>987</v>
      </c>
      <c r="B14" s="1480">
        <v>1</v>
      </c>
      <c r="C14" s="1480"/>
      <c r="D14" s="860">
        <f>MdeObra!C31</f>
        <v>5094999</v>
      </c>
      <c r="E14" s="852">
        <f>IF(D14&lt;$J$11,D14*$J$9,D14*$J$10)</f>
        <v>11361847.77</v>
      </c>
      <c r="F14" s="861">
        <v>1.3481914504932408E-2</v>
      </c>
      <c r="G14" s="852">
        <f>E14*F14</f>
        <v>153179.46025319691</v>
      </c>
      <c r="H14" s="852">
        <f>G14</f>
        <v>153179.46025319691</v>
      </c>
    </row>
    <row r="15" spans="1:10" x14ac:dyDescent="0.25">
      <c r="A15" s="850" t="s">
        <v>988</v>
      </c>
      <c r="B15" s="1480">
        <v>1</v>
      </c>
      <c r="C15" s="1480"/>
      <c r="D15" s="852">
        <f>MdeObra!C39</f>
        <v>2797950</v>
      </c>
      <c r="E15" s="852">
        <f t="shared" ref="E15:E16" si="0">IF(D15&lt;$J$11,D15*$J$9,D15*$J$10)</f>
        <v>6239428.5</v>
      </c>
      <c r="F15" s="861">
        <v>2.3768115942028989E-2</v>
      </c>
      <c r="G15" s="852">
        <f t="shared" ref="G15:G16" si="1">E15*F15</f>
        <v>148299.46000000002</v>
      </c>
      <c r="H15" s="852">
        <f t="shared" ref="H15:H16" si="2">G15</f>
        <v>148299.46000000002</v>
      </c>
    </row>
    <row r="16" spans="1:10" x14ac:dyDescent="0.25">
      <c r="A16" s="850" t="s">
        <v>989</v>
      </c>
      <c r="B16" s="1480">
        <v>1</v>
      </c>
      <c r="C16" s="1480"/>
      <c r="D16" s="852">
        <f>MdeObra!C45</f>
        <v>1264350</v>
      </c>
      <c r="E16" s="852">
        <f t="shared" si="0"/>
        <v>2971222.5</v>
      </c>
      <c r="F16" s="861">
        <v>1.3581780538302276E-2</v>
      </c>
      <c r="G16" s="852">
        <f t="shared" si="1"/>
        <v>40354.491925465831</v>
      </c>
      <c r="H16" s="852">
        <f t="shared" si="2"/>
        <v>40354.491925465831</v>
      </c>
    </row>
    <row r="18" spans="1:8" s="854" customFormat="1" ht="42.75" x14ac:dyDescent="0.25">
      <c r="A18" s="853" t="s">
        <v>991</v>
      </c>
      <c r="B18" s="853" t="s">
        <v>6</v>
      </c>
      <c r="C18" s="853" t="s">
        <v>252</v>
      </c>
      <c r="D18" s="853" t="s">
        <v>992</v>
      </c>
      <c r="E18" s="853" t="s">
        <v>993</v>
      </c>
      <c r="F18" s="853" t="s">
        <v>995</v>
      </c>
      <c r="G18" s="1481" t="s">
        <v>994</v>
      </c>
      <c r="H18" s="1481"/>
    </row>
    <row r="19" spans="1:8" s="858" customFormat="1" ht="22.5" customHeight="1" x14ac:dyDescent="0.25">
      <c r="A19" s="859" t="str">
        <f>Equipo!A19</f>
        <v>CAMIONETA D-300</v>
      </c>
      <c r="B19" s="856">
        <v>1</v>
      </c>
      <c r="C19" s="848" t="str">
        <f>Equipo!B19</f>
        <v>$/HORA</v>
      </c>
      <c r="D19" s="852">
        <f>Equipo!D19</f>
        <v>32492</v>
      </c>
      <c r="E19" s="862">
        <v>0.40194666497014359</v>
      </c>
      <c r="F19" s="857">
        <f>D19/E19</f>
        <v>80836.595577708023</v>
      </c>
      <c r="G19" s="1470">
        <f>F19</f>
        <v>80836.595577708023</v>
      </c>
      <c r="H19" s="1472"/>
    </row>
    <row r="20" spans="1:8" x14ac:dyDescent="0.25">
      <c r="A20" s="849" t="str">
        <f>Equipo!A47</f>
        <v>EQUIPO DE TOPOGRAFÍA</v>
      </c>
      <c r="B20" s="848">
        <v>1</v>
      </c>
      <c r="C20" s="848" t="str">
        <f>Equipo!B47</f>
        <v>$/HORA</v>
      </c>
      <c r="D20" s="852">
        <f>Equipo!D47</f>
        <v>10000</v>
      </c>
      <c r="E20" s="861">
        <v>1.1129999920940274</v>
      </c>
      <c r="F20" s="852">
        <f>D20/E20</f>
        <v>8984.7260296792429</v>
      </c>
      <c r="G20" s="1470">
        <f>F20</f>
        <v>8984.7260296792429</v>
      </c>
      <c r="H20" s="1472"/>
    </row>
    <row r="21" spans="1:8" x14ac:dyDescent="0.25">
      <c r="A21" s="1482"/>
      <c r="B21" s="1483"/>
      <c r="C21" s="1483"/>
      <c r="D21" s="1483"/>
      <c r="E21" s="1483"/>
      <c r="F21" s="1483"/>
      <c r="G21" s="1483"/>
      <c r="H21" s="1484"/>
    </row>
    <row r="22" spans="1:8" x14ac:dyDescent="0.25">
      <c r="A22" s="851" t="s">
        <v>996</v>
      </c>
      <c r="B22" s="853" t="s">
        <v>6</v>
      </c>
      <c r="C22" s="853" t="s">
        <v>252</v>
      </c>
      <c r="D22" s="1458" t="s">
        <v>997</v>
      </c>
      <c r="E22" s="1458"/>
      <c r="F22" s="1458"/>
      <c r="G22" s="1458"/>
      <c r="H22" s="1458"/>
    </row>
    <row r="23" spans="1:8" ht="55.5" customHeight="1" x14ac:dyDescent="0.25">
      <c r="A23" s="855" t="s">
        <v>998</v>
      </c>
      <c r="B23" s="863">
        <v>1</v>
      </c>
      <c r="C23" s="863" t="s">
        <v>84</v>
      </c>
      <c r="D23" s="1470">
        <v>150000</v>
      </c>
      <c r="E23" s="1471"/>
      <c r="F23" s="1471"/>
      <c r="G23" s="1471"/>
      <c r="H23" s="1472"/>
    </row>
    <row r="24" spans="1:8" x14ac:dyDescent="0.25">
      <c r="A24" s="849" t="s">
        <v>999</v>
      </c>
      <c r="B24" s="863">
        <v>1</v>
      </c>
      <c r="C24" s="863" t="s">
        <v>84</v>
      </c>
      <c r="D24" s="1470">
        <v>96950</v>
      </c>
      <c r="E24" s="1471"/>
      <c r="F24" s="1471"/>
      <c r="G24" s="1471"/>
      <c r="H24" s="1472"/>
    </row>
    <row r="25" spans="1:8" x14ac:dyDescent="0.25">
      <c r="A25" s="1464"/>
      <c r="B25" s="1464"/>
      <c r="C25" s="1464"/>
      <c r="D25" s="1464"/>
      <c r="E25" s="1464"/>
      <c r="F25" s="1464"/>
      <c r="G25" s="1464"/>
      <c r="H25" s="1464"/>
    </row>
    <row r="26" spans="1:8" x14ac:dyDescent="0.25">
      <c r="A26" s="1473" t="s">
        <v>1000</v>
      </c>
      <c r="B26" s="1474"/>
      <c r="C26" s="1474"/>
      <c r="D26" s="1474"/>
      <c r="E26" s="1474"/>
      <c r="F26" s="1474"/>
      <c r="G26" s="1475"/>
      <c r="H26" s="864">
        <f>H14+H15+H16+G19+G20+D23+D24</f>
        <v>678604.73378605</v>
      </c>
    </row>
    <row r="27" spans="1:8" x14ac:dyDescent="0.25">
      <c r="A27" s="1464"/>
      <c r="B27" s="1464"/>
      <c r="C27" s="1464"/>
      <c r="D27" s="1464"/>
      <c r="E27" s="1464"/>
      <c r="F27" s="1464"/>
      <c r="G27" s="1464"/>
      <c r="H27" s="849"/>
    </row>
    <row r="28" spans="1:8" x14ac:dyDescent="0.25">
      <c r="A28" s="1459" t="s">
        <v>1004</v>
      </c>
      <c r="B28" s="1460"/>
      <c r="C28" s="1460"/>
      <c r="D28" s="1460"/>
      <c r="E28" s="1460"/>
      <c r="F28" s="1460"/>
      <c r="G28" s="1461"/>
      <c r="H28" s="865">
        <f>H26*H9</f>
        <v>678604.73378605</v>
      </c>
    </row>
    <row r="30" spans="1:8" x14ac:dyDescent="0.25">
      <c r="A30" s="1462" t="s">
        <v>1005</v>
      </c>
      <c r="B30" s="1462"/>
      <c r="C30" s="1462"/>
      <c r="D30" s="1462"/>
      <c r="E30" s="1462"/>
      <c r="F30" s="1462"/>
      <c r="G30" s="1048" t="s">
        <v>1248</v>
      </c>
      <c r="H30" s="1043">
        <f>+cant!E15/1000</f>
        <v>20.2</v>
      </c>
    </row>
    <row r="31" spans="1:8" x14ac:dyDescent="0.25">
      <c r="A31" s="1462"/>
      <c r="B31" s="1462"/>
      <c r="C31" s="1462"/>
      <c r="D31" s="1462"/>
      <c r="E31" s="1462"/>
      <c r="F31" s="1462"/>
      <c r="G31" s="1048" t="s">
        <v>1106</v>
      </c>
      <c r="H31" s="849">
        <v>0</v>
      </c>
    </row>
    <row r="32" spans="1:8" x14ac:dyDescent="0.25">
      <c r="A32" s="1462"/>
      <c r="B32" s="1462"/>
      <c r="C32" s="1462"/>
      <c r="D32" s="1462"/>
      <c r="E32" s="1462"/>
      <c r="F32" s="1462"/>
      <c r="G32" s="1048" t="s">
        <v>1107</v>
      </c>
      <c r="H32" s="849">
        <v>0</v>
      </c>
    </row>
    <row r="33" spans="1:10" x14ac:dyDescent="0.25">
      <c r="G33" s="867" t="s">
        <v>1006</v>
      </c>
      <c r="H33" s="868">
        <f>H30+H31+H32</f>
        <v>20.2</v>
      </c>
      <c r="J33" s="869"/>
    </row>
    <row r="34" spans="1:10" x14ac:dyDescent="0.25">
      <c r="A34" s="1459" t="s">
        <v>1007</v>
      </c>
      <c r="B34" s="1460"/>
      <c r="C34" s="1460"/>
      <c r="D34" s="1460"/>
      <c r="E34" s="1460"/>
      <c r="F34" s="1460"/>
      <c r="G34" s="1461"/>
      <c r="H34" s="865">
        <f>ROUND(H33*H28,0)</f>
        <v>13707816</v>
      </c>
    </row>
    <row r="38" spans="1:10" hidden="1" x14ac:dyDescent="0.25">
      <c r="F38" s="1451"/>
      <c r="G38" s="1451"/>
      <c r="H38" s="1451"/>
    </row>
    <row r="39" spans="1:10" hidden="1" x14ac:dyDescent="0.25">
      <c r="F39" s="1450" t="s">
        <v>872</v>
      </c>
      <c r="G39" s="1450"/>
      <c r="H39" s="1450"/>
    </row>
    <row r="40" spans="1:10" hidden="1" x14ac:dyDescent="0.25">
      <c r="F40" s="1450" t="s">
        <v>873</v>
      </c>
      <c r="G40" s="1450"/>
      <c r="H40" s="1450"/>
    </row>
    <row r="41" spans="1:10" hidden="1" x14ac:dyDescent="0.25"/>
    <row r="42" spans="1:10" hidden="1" x14ac:dyDescent="0.25"/>
    <row r="43" spans="1:10" x14ac:dyDescent="0.25">
      <c r="A43" s="1109"/>
      <c r="B43" s="1109"/>
    </row>
    <row r="44" spans="1:10" x14ac:dyDescent="0.25">
      <c r="A44" s="1108" t="str">
        <f>+'Presup '!F123</f>
        <v>ING. JHONATAN STIVEN PANTOJA MORILLO</v>
      </c>
    </row>
    <row r="45" spans="1:10" x14ac:dyDescent="0.25">
      <c r="A45" s="1108" t="str">
        <f>+'Presup '!F124</f>
        <v xml:space="preserve">M.P. 111037-0520109 NRÑ </v>
      </c>
    </row>
  </sheetData>
  <mergeCells count="28">
    <mergeCell ref="F39:H39"/>
    <mergeCell ref="F40:H40"/>
    <mergeCell ref="F38:H38"/>
    <mergeCell ref="A1:H2"/>
    <mergeCell ref="A3:H3"/>
    <mergeCell ref="A9:G9"/>
    <mergeCell ref="A10:G10"/>
    <mergeCell ref="D23:H23"/>
    <mergeCell ref="B13:C13"/>
    <mergeCell ref="B14:C14"/>
    <mergeCell ref="B15:C15"/>
    <mergeCell ref="B16:C16"/>
    <mergeCell ref="G18:H18"/>
    <mergeCell ref="G19:H19"/>
    <mergeCell ref="G20:H20"/>
    <mergeCell ref="A21:H21"/>
    <mergeCell ref="D22:H22"/>
    <mergeCell ref="A34:G34"/>
    <mergeCell ref="A30:F32"/>
    <mergeCell ref="A4:H6"/>
    <mergeCell ref="A7:H8"/>
    <mergeCell ref="A11:H11"/>
    <mergeCell ref="B12:C12"/>
    <mergeCell ref="D24:H24"/>
    <mergeCell ref="A25:H25"/>
    <mergeCell ref="A26:G26"/>
    <mergeCell ref="A27:G27"/>
    <mergeCell ref="A28:G28"/>
  </mergeCells>
  <printOptions horizontalCentered="1"/>
  <pageMargins left="0.51181102362204722" right="0.51181102362204722" top="1.299212598425197" bottom="0.74803149606299213" header="0.31496062992125984" footer="0.31496062992125984"/>
  <pageSetup paperSize="125" scale="52" orientation="portrait" horizontalDpi="4294967292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80"/>
  <sheetViews>
    <sheetView tabSelected="1" view="pageBreakPreview" zoomScale="60" zoomScaleNormal="100" workbookViewId="0">
      <selection activeCell="C1" sqref="C1"/>
    </sheetView>
  </sheetViews>
  <sheetFormatPr baseColWidth="10" defaultRowHeight="15" x14ac:dyDescent="0.25"/>
  <cols>
    <col min="2" max="2" width="43.85546875" style="884" customWidth="1"/>
  </cols>
  <sheetData>
    <row r="1" spans="2:4" ht="15.75" thickBot="1" x14ac:dyDescent="0.3"/>
    <row r="2" spans="2:4" x14ac:dyDescent="0.25">
      <c r="B2" s="1486" t="str">
        <f>+P.Detall!B5</f>
        <v>MEJORAMIENTO VÍA LA LAGUNA, SALINAS, LOS OLIVOS</v>
      </c>
      <c r="C2" s="1487"/>
      <c r="D2" s="1488"/>
    </row>
    <row r="3" spans="2:4" x14ac:dyDescent="0.25">
      <c r="B3" s="1489"/>
      <c r="C3" s="1490"/>
      <c r="D3" s="1491"/>
    </row>
    <row r="4" spans="2:4" ht="15.75" thickBot="1" x14ac:dyDescent="0.3">
      <c r="B4" s="1492"/>
      <c r="C4" s="1493"/>
      <c r="D4" s="1494"/>
    </row>
    <row r="5" spans="2:4" x14ac:dyDescent="0.25">
      <c r="B5" s="1495" t="s">
        <v>1008</v>
      </c>
      <c r="C5" s="1495"/>
      <c r="D5" s="1495"/>
    </row>
    <row r="6" spans="2:4" x14ac:dyDescent="0.25">
      <c r="B6" s="885"/>
      <c r="C6" s="876"/>
      <c r="D6" s="875"/>
    </row>
    <row r="7" spans="2:4" x14ac:dyDescent="0.25">
      <c r="B7" s="878"/>
      <c r="C7" s="876"/>
      <c r="D7" s="875"/>
    </row>
    <row r="8" spans="2:4" x14ac:dyDescent="0.25">
      <c r="B8" s="1485" t="s">
        <v>1011</v>
      </c>
      <c r="C8" s="1485"/>
      <c r="D8" s="1485"/>
    </row>
    <row r="9" spans="2:4" ht="15.75" thickBot="1" x14ac:dyDescent="0.3">
      <c r="B9" s="885"/>
      <c r="C9" s="876"/>
      <c r="D9" s="875"/>
    </row>
    <row r="10" spans="2:4" x14ac:dyDescent="0.25">
      <c r="B10" s="889" t="s">
        <v>1012</v>
      </c>
      <c r="C10" s="890" t="s">
        <v>556</v>
      </c>
      <c r="D10" s="891" t="s">
        <v>558</v>
      </c>
    </row>
    <row r="11" spans="2:4" x14ac:dyDescent="0.25">
      <c r="B11" s="881" t="s">
        <v>1013</v>
      </c>
      <c r="C11" s="877" t="s">
        <v>1014</v>
      </c>
      <c r="D11" s="892">
        <v>454</v>
      </c>
    </row>
    <row r="12" spans="2:4" x14ac:dyDescent="0.25">
      <c r="B12" s="881" t="s">
        <v>1015</v>
      </c>
      <c r="C12" s="877" t="s">
        <v>1009</v>
      </c>
      <c r="D12" s="892">
        <v>1.0900000000000001</v>
      </c>
    </row>
    <row r="13" spans="2:4" x14ac:dyDescent="0.25">
      <c r="B13" s="881" t="s">
        <v>1016</v>
      </c>
      <c r="C13" s="877" t="s">
        <v>1017</v>
      </c>
      <c r="D13" s="892">
        <v>240</v>
      </c>
    </row>
    <row r="14" spans="2:4" ht="15.75" thickBot="1" x14ac:dyDescent="0.3">
      <c r="B14" s="1496" t="s">
        <v>586</v>
      </c>
      <c r="C14" s="1497"/>
      <c r="D14" s="1498"/>
    </row>
    <row r="16" spans="2:4" x14ac:dyDescent="0.25">
      <c r="B16" s="1485" t="s">
        <v>1018</v>
      </c>
      <c r="C16" s="1485"/>
      <c r="D16" s="1485"/>
    </row>
    <row r="17" spans="2:4" ht="15.75" thickBot="1" x14ac:dyDescent="0.3">
      <c r="B17" s="885"/>
      <c r="C17" s="876"/>
      <c r="D17" s="875"/>
    </row>
    <row r="18" spans="2:4" x14ac:dyDescent="0.25">
      <c r="B18" s="889" t="s">
        <v>1012</v>
      </c>
      <c r="C18" s="890" t="s">
        <v>556</v>
      </c>
      <c r="D18" s="891" t="s">
        <v>558</v>
      </c>
    </row>
    <row r="19" spans="2:4" x14ac:dyDescent="0.25">
      <c r="B19" s="881" t="s">
        <v>1013</v>
      </c>
      <c r="C19" s="877" t="s">
        <v>1014</v>
      </c>
      <c r="D19" s="892">
        <v>364</v>
      </c>
    </row>
    <row r="20" spans="2:4" x14ac:dyDescent="0.25">
      <c r="B20" s="881" t="s">
        <v>1015</v>
      </c>
      <c r="C20" s="877" t="s">
        <v>1009</v>
      </c>
      <c r="D20" s="892">
        <v>1.1599999999999999</v>
      </c>
    </row>
    <row r="21" spans="2:4" x14ac:dyDescent="0.25">
      <c r="B21" s="881" t="s">
        <v>1016</v>
      </c>
      <c r="C21" s="877" t="s">
        <v>1017</v>
      </c>
      <c r="D21" s="892">
        <v>220</v>
      </c>
    </row>
    <row r="22" spans="2:4" ht="15.75" thickBot="1" x14ac:dyDescent="0.3">
      <c r="B22" s="1496" t="s">
        <v>586</v>
      </c>
      <c r="C22" s="1497"/>
      <c r="D22" s="1498"/>
    </row>
    <row r="24" spans="2:4" x14ac:dyDescent="0.25">
      <c r="B24" s="1485" t="s">
        <v>1019</v>
      </c>
      <c r="C24" s="1485"/>
      <c r="D24" s="1485"/>
    </row>
    <row r="25" spans="2:4" ht="15.75" thickBot="1" x14ac:dyDescent="0.3">
      <c r="B25" s="885"/>
      <c r="C25" s="876"/>
      <c r="D25" s="875"/>
    </row>
    <row r="26" spans="2:4" x14ac:dyDescent="0.25">
      <c r="B26" s="889" t="s">
        <v>1012</v>
      </c>
      <c r="C26" s="890" t="s">
        <v>556</v>
      </c>
      <c r="D26" s="891" t="s">
        <v>558</v>
      </c>
    </row>
    <row r="27" spans="2:4" x14ac:dyDescent="0.25">
      <c r="B27" s="881" t="s">
        <v>1013</v>
      </c>
      <c r="C27" s="877" t="s">
        <v>1014</v>
      </c>
      <c r="D27" s="892">
        <v>302</v>
      </c>
    </row>
    <row r="28" spans="2:4" x14ac:dyDescent="0.25">
      <c r="B28" s="881" t="s">
        <v>1015</v>
      </c>
      <c r="C28" s="877" t="s">
        <v>1009</v>
      </c>
      <c r="D28" s="892">
        <v>1.2</v>
      </c>
    </row>
    <row r="29" spans="2:4" x14ac:dyDescent="0.25">
      <c r="B29" s="881" t="s">
        <v>1016</v>
      </c>
      <c r="C29" s="877" t="s">
        <v>1017</v>
      </c>
      <c r="D29" s="892">
        <v>182</v>
      </c>
    </row>
    <row r="30" spans="2:4" ht="15.75" thickBot="1" x14ac:dyDescent="0.3">
      <c r="B30" s="1496" t="s">
        <v>586</v>
      </c>
      <c r="C30" s="1497"/>
      <c r="D30" s="1498"/>
    </row>
    <row r="32" spans="2:4" x14ac:dyDescent="0.25">
      <c r="B32" s="886"/>
      <c r="C32" s="879"/>
      <c r="D32" s="879"/>
    </row>
    <row r="33" spans="2:4" x14ac:dyDescent="0.25">
      <c r="B33" s="1499" t="s">
        <v>1020</v>
      </c>
      <c r="C33" s="1499"/>
      <c r="D33" s="1499"/>
    </row>
    <row r="34" spans="2:4" ht="15.75" thickBot="1" x14ac:dyDescent="0.3">
      <c r="B34" s="885"/>
      <c r="C34" s="876"/>
      <c r="D34" s="875"/>
    </row>
    <row r="35" spans="2:4" x14ac:dyDescent="0.25">
      <c r="B35" s="889" t="s">
        <v>1012</v>
      </c>
      <c r="C35" s="890" t="s">
        <v>556</v>
      </c>
      <c r="D35" s="891" t="s">
        <v>558</v>
      </c>
    </row>
    <row r="36" spans="2:4" x14ac:dyDescent="0.25">
      <c r="B36" s="881" t="s">
        <v>1013</v>
      </c>
      <c r="C36" s="877" t="s">
        <v>121</v>
      </c>
      <c r="D36" s="892">
        <v>380</v>
      </c>
    </row>
    <row r="37" spans="2:4" x14ac:dyDescent="0.25">
      <c r="B37" s="1500" t="s">
        <v>1010</v>
      </c>
      <c r="C37" s="1502" t="s">
        <v>874</v>
      </c>
      <c r="D37" s="1504">
        <v>0.89319999999999988</v>
      </c>
    </row>
    <row r="38" spans="2:4" x14ac:dyDescent="0.25">
      <c r="B38" s="1501"/>
      <c r="C38" s="1503"/>
      <c r="D38" s="1505"/>
    </row>
    <row r="39" spans="2:4" x14ac:dyDescent="0.25">
      <c r="B39" s="887" t="s">
        <v>1021</v>
      </c>
      <c r="C39" s="880" t="s">
        <v>874</v>
      </c>
      <c r="D39" s="893">
        <v>0.6</v>
      </c>
    </row>
    <row r="40" spans="2:4" ht="29.25" x14ac:dyDescent="0.25">
      <c r="B40" s="881" t="s">
        <v>1022</v>
      </c>
      <c r="C40" s="882" t="s">
        <v>1023</v>
      </c>
      <c r="D40" s="894">
        <v>0.23</v>
      </c>
    </row>
    <row r="41" spans="2:4" x14ac:dyDescent="0.25">
      <c r="B41" s="881" t="s">
        <v>1016</v>
      </c>
      <c r="C41" s="877" t="s">
        <v>1017</v>
      </c>
      <c r="D41" s="892">
        <v>189.62</v>
      </c>
    </row>
    <row r="42" spans="2:4" x14ac:dyDescent="0.25">
      <c r="B42" s="888" t="s">
        <v>1024</v>
      </c>
      <c r="C42" s="883" t="s">
        <v>1025</v>
      </c>
      <c r="D42" s="895">
        <v>1</v>
      </c>
    </row>
    <row r="43" spans="2:4" ht="15.75" thickBot="1" x14ac:dyDescent="0.3">
      <c r="B43" s="1506" t="s">
        <v>586</v>
      </c>
      <c r="C43" s="1507"/>
      <c r="D43" s="1508"/>
    </row>
    <row r="44" spans="2:4" x14ac:dyDescent="0.25">
      <c r="B44" s="885"/>
      <c r="C44" s="876"/>
      <c r="D44" s="875"/>
    </row>
    <row r="46" spans="2:4" x14ac:dyDescent="0.25">
      <c r="B46" s="1499" t="s">
        <v>1026</v>
      </c>
      <c r="C46" s="1499"/>
      <c r="D46" s="1499"/>
    </row>
    <row r="47" spans="2:4" ht="15.75" thickBot="1" x14ac:dyDescent="0.3">
      <c r="B47" s="885"/>
      <c r="C47" s="876"/>
      <c r="D47" s="875"/>
    </row>
    <row r="48" spans="2:4" x14ac:dyDescent="0.25">
      <c r="B48" s="889" t="s">
        <v>1012</v>
      </c>
      <c r="C48" s="890" t="s">
        <v>556</v>
      </c>
      <c r="D48" s="891" t="s">
        <v>558</v>
      </c>
    </row>
    <row r="49" spans="2:4" x14ac:dyDescent="0.25">
      <c r="B49" s="881" t="s">
        <v>1013</v>
      </c>
      <c r="C49" s="877" t="s">
        <v>121</v>
      </c>
      <c r="D49" s="892">
        <v>400</v>
      </c>
    </row>
    <row r="50" spans="2:4" x14ac:dyDescent="0.25">
      <c r="B50" s="881" t="s">
        <v>1015</v>
      </c>
      <c r="C50" s="877" t="s">
        <v>1009</v>
      </c>
      <c r="D50" s="892">
        <v>0.65</v>
      </c>
    </row>
    <row r="51" spans="2:4" ht="29.25" x14ac:dyDescent="0.25">
      <c r="B51" s="881" t="s">
        <v>1027</v>
      </c>
      <c r="C51" s="882" t="s">
        <v>874</v>
      </c>
      <c r="D51" s="894">
        <v>0.8</v>
      </c>
    </row>
    <row r="52" spans="2:4" ht="29.25" x14ac:dyDescent="0.25">
      <c r="B52" s="881" t="s">
        <v>1022</v>
      </c>
      <c r="C52" s="882" t="s">
        <v>1028</v>
      </c>
      <c r="D52" s="894">
        <v>0.23</v>
      </c>
    </row>
    <row r="53" spans="2:4" x14ac:dyDescent="0.25">
      <c r="B53" s="881" t="s">
        <v>1016</v>
      </c>
      <c r="C53" s="877" t="s">
        <v>1017</v>
      </c>
      <c r="D53" s="892">
        <v>195</v>
      </c>
    </row>
    <row r="54" spans="2:4" x14ac:dyDescent="0.25">
      <c r="B54" s="888" t="s">
        <v>1029</v>
      </c>
      <c r="C54" s="883"/>
      <c r="D54" s="895">
        <v>0.5</v>
      </c>
    </row>
    <row r="55" spans="2:4" ht="15.75" thickBot="1" x14ac:dyDescent="0.3">
      <c r="B55" s="1506" t="s">
        <v>586</v>
      </c>
      <c r="C55" s="1507"/>
      <c r="D55" s="1508"/>
    </row>
    <row r="56" spans="2:4" x14ac:dyDescent="0.25">
      <c r="B56" s="885"/>
      <c r="C56" s="876"/>
      <c r="D56" s="875"/>
    </row>
    <row r="58" spans="2:4" x14ac:dyDescent="0.25">
      <c r="B58" s="1499" t="s">
        <v>1030</v>
      </c>
      <c r="C58" s="1499"/>
      <c r="D58" s="1499"/>
    </row>
    <row r="59" spans="2:4" ht="15.75" thickBot="1" x14ac:dyDescent="0.3">
      <c r="B59" s="885"/>
      <c r="C59" s="876"/>
      <c r="D59" s="875"/>
    </row>
    <row r="60" spans="2:4" x14ac:dyDescent="0.25">
      <c r="B60" s="889" t="s">
        <v>1012</v>
      </c>
      <c r="C60" s="890" t="s">
        <v>556</v>
      </c>
      <c r="D60" s="891" t="s">
        <v>558</v>
      </c>
    </row>
    <row r="61" spans="2:4" x14ac:dyDescent="0.25">
      <c r="B61" s="881" t="s">
        <v>1013</v>
      </c>
      <c r="C61" s="877" t="s">
        <v>121</v>
      </c>
      <c r="D61" s="892">
        <v>230</v>
      </c>
    </row>
    <row r="62" spans="2:4" x14ac:dyDescent="0.25">
      <c r="B62" s="881" t="s">
        <v>1015</v>
      </c>
      <c r="C62" s="877" t="s">
        <v>1009</v>
      </c>
      <c r="D62" s="892">
        <v>0.55000000000000004</v>
      </c>
    </row>
    <row r="63" spans="2:4" ht="29.25" x14ac:dyDescent="0.25">
      <c r="B63" s="881" t="s">
        <v>1027</v>
      </c>
      <c r="C63" s="882" t="s">
        <v>874</v>
      </c>
      <c r="D63" s="894">
        <v>0.92</v>
      </c>
    </row>
    <row r="64" spans="2:4" ht="29.25" x14ac:dyDescent="0.25">
      <c r="B64" s="881" t="s">
        <v>1022</v>
      </c>
      <c r="C64" s="882" t="s">
        <v>1028</v>
      </c>
      <c r="D64" s="894">
        <v>0.13</v>
      </c>
    </row>
    <row r="65" spans="2:4" x14ac:dyDescent="0.25">
      <c r="B65" s="881" t="s">
        <v>1016</v>
      </c>
      <c r="C65" s="877" t="s">
        <v>1017</v>
      </c>
      <c r="D65" s="892">
        <v>170</v>
      </c>
    </row>
    <row r="66" spans="2:4" x14ac:dyDescent="0.25">
      <c r="B66" s="888" t="s">
        <v>1029</v>
      </c>
      <c r="C66" s="883"/>
      <c r="D66" s="895">
        <v>0.5</v>
      </c>
    </row>
    <row r="67" spans="2:4" ht="15.75" thickBot="1" x14ac:dyDescent="0.3">
      <c r="B67" s="1506" t="s">
        <v>586</v>
      </c>
      <c r="C67" s="1507"/>
      <c r="D67" s="1508"/>
    </row>
    <row r="68" spans="2:4" x14ac:dyDescent="0.25">
      <c r="B68" s="885"/>
      <c r="C68" s="876"/>
      <c r="D68" s="875"/>
    </row>
    <row r="70" spans="2:4" x14ac:dyDescent="0.25">
      <c r="B70" s="1499" t="s">
        <v>1031</v>
      </c>
      <c r="C70" s="1499"/>
      <c r="D70" s="1499"/>
    </row>
    <row r="71" spans="2:4" ht="15.75" thickBot="1" x14ac:dyDescent="0.3">
      <c r="B71" s="885"/>
      <c r="C71" s="876"/>
      <c r="D71" s="875"/>
    </row>
    <row r="72" spans="2:4" x14ac:dyDescent="0.25">
      <c r="B72" s="889" t="s">
        <v>1012</v>
      </c>
      <c r="C72" s="890" t="s">
        <v>556</v>
      </c>
      <c r="D72" s="891" t="s">
        <v>558</v>
      </c>
    </row>
    <row r="73" spans="2:4" x14ac:dyDescent="0.25">
      <c r="B73" s="881" t="s">
        <v>1013</v>
      </c>
      <c r="C73" s="877" t="s">
        <v>121</v>
      </c>
      <c r="D73" s="892">
        <v>175</v>
      </c>
    </row>
    <row r="74" spans="2:4" x14ac:dyDescent="0.25">
      <c r="B74" s="881" t="s">
        <v>1015</v>
      </c>
      <c r="C74" s="877" t="s">
        <v>1009</v>
      </c>
      <c r="D74" s="892">
        <v>0.55000000000000004</v>
      </c>
    </row>
    <row r="75" spans="2:4" ht="29.25" x14ac:dyDescent="0.25">
      <c r="B75" s="881" t="s">
        <v>1027</v>
      </c>
      <c r="C75" s="882" t="s">
        <v>874</v>
      </c>
      <c r="D75" s="894">
        <v>0.98</v>
      </c>
    </row>
    <row r="76" spans="2:4" ht="29.25" x14ac:dyDescent="0.25">
      <c r="B76" s="881" t="s">
        <v>1022</v>
      </c>
      <c r="C76" s="882" t="s">
        <v>1028</v>
      </c>
      <c r="D76" s="894">
        <v>0.13</v>
      </c>
    </row>
    <row r="77" spans="2:4" x14ac:dyDescent="0.25">
      <c r="B77" s="881" t="s">
        <v>1016</v>
      </c>
      <c r="C77" s="877" t="s">
        <v>1017</v>
      </c>
      <c r="D77" s="892">
        <v>160</v>
      </c>
    </row>
    <row r="78" spans="2:4" x14ac:dyDescent="0.25">
      <c r="B78" s="888" t="s">
        <v>1029</v>
      </c>
      <c r="C78" s="883"/>
      <c r="D78" s="895">
        <v>0.5</v>
      </c>
    </row>
    <row r="79" spans="2:4" ht="15.75" thickBot="1" x14ac:dyDescent="0.3">
      <c r="B79" s="1506" t="s">
        <v>586</v>
      </c>
      <c r="C79" s="1507"/>
      <c r="D79" s="1508"/>
    </row>
    <row r="80" spans="2:4" x14ac:dyDescent="0.25">
      <c r="B80" s="885"/>
      <c r="C80" s="876"/>
      <c r="D80" s="875"/>
    </row>
  </sheetData>
  <mergeCells count="19">
    <mergeCell ref="B79:D79"/>
    <mergeCell ref="B70:D70"/>
    <mergeCell ref="B43:D43"/>
    <mergeCell ref="B46:D46"/>
    <mergeCell ref="B67:D67"/>
    <mergeCell ref="B55:D55"/>
    <mergeCell ref="B58:D58"/>
    <mergeCell ref="B30:D30"/>
    <mergeCell ref="B33:D33"/>
    <mergeCell ref="B37:B38"/>
    <mergeCell ref="C37:C38"/>
    <mergeCell ref="D37:D38"/>
    <mergeCell ref="B24:D24"/>
    <mergeCell ref="B16:D16"/>
    <mergeCell ref="B2:D4"/>
    <mergeCell ref="B5:D5"/>
    <mergeCell ref="B14:D14"/>
    <mergeCell ref="B22:D22"/>
    <mergeCell ref="B8:D8"/>
  </mergeCells>
  <pageMargins left="0.7" right="0.7" top="0.75" bottom="0.75" header="0.3" footer="0.3"/>
  <pageSetup orientation="portrait" horizontalDpi="4294967292" r:id="rId1"/>
  <rowBreaks count="1" manualBreakCount="1">
    <brk id="44" max="4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155"/>
  <sheetViews>
    <sheetView showGridLines="0" view="pageBreakPreview" topLeftCell="A19" zoomScaleNormal="100" zoomScaleSheetLayoutView="100" workbookViewId="0">
      <selection activeCell="E12" sqref="E12"/>
    </sheetView>
  </sheetViews>
  <sheetFormatPr baseColWidth="10" defaultRowHeight="12.75" x14ac:dyDescent="0.2"/>
  <cols>
    <col min="1" max="1" width="7.28515625" style="139" customWidth="1"/>
    <col min="2" max="2" width="11.42578125" style="139"/>
    <col min="3" max="3" width="10.42578125" style="139" customWidth="1"/>
    <col min="4" max="4" width="13" style="139" customWidth="1"/>
    <col min="5" max="9" width="11.42578125" style="139"/>
    <col min="10" max="10" width="8.5703125" style="139" customWidth="1"/>
    <col min="11" max="11" width="11.42578125" style="148"/>
    <col min="12" max="12" width="11.42578125" style="139"/>
    <col min="13" max="16" width="11.42578125" style="148"/>
    <col min="17" max="17" width="15" style="148" customWidth="1"/>
    <col min="18" max="23" width="11.42578125" style="148"/>
    <col min="24" max="258" width="11.42578125" style="139"/>
    <col min="259" max="259" width="10.42578125" style="139" customWidth="1"/>
    <col min="260" max="260" width="13" style="139" customWidth="1"/>
    <col min="261" max="514" width="11.42578125" style="139"/>
    <col min="515" max="515" width="10.42578125" style="139" customWidth="1"/>
    <col min="516" max="516" width="13" style="139" customWidth="1"/>
    <col min="517" max="770" width="11.42578125" style="139"/>
    <col min="771" max="771" width="10.42578125" style="139" customWidth="1"/>
    <col min="772" max="772" width="13" style="139" customWidth="1"/>
    <col min="773" max="1026" width="11.42578125" style="139"/>
    <col min="1027" max="1027" width="10.42578125" style="139" customWidth="1"/>
    <col min="1028" max="1028" width="13" style="139" customWidth="1"/>
    <col min="1029" max="1282" width="11.42578125" style="139"/>
    <col min="1283" max="1283" width="10.42578125" style="139" customWidth="1"/>
    <col min="1284" max="1284" width="13" style="139" customWidth="1"/>
    <col min="1285" max="1538" width="11.42578125" style="139"/>
    <col min="1539" max="1539" width="10.42578125" style="139" customWidth="1"/>
    <col min="1540" max="1540" width="13" style="139" customWidth="1"/>
    <col min="1541" max="1794" width="11.42578125" style="139"/>
    <col min="1795" max="1795" width="10.42578125" style="139" customWidth="1"/>
    <col min="1796" max="1796" width="13" style="139" customWidth="1"/>
    <col min="1797" max="2050" width="11.42578125" style="139"/>
    <col min="2051" max="2051" width="10.42578125" style="139" customWidth="1"/>
    <col min="2052" max="2052" width="13" style="139" customWidth="1"/>
    <col min="2053" max="2306" width="11.42578125" style="139"/>
    <col min="2307" max="2307" width="10.42578125" style="139" customWidth="1"/>
    <col min="2308" max="2308" width="13" style="139" customWidth="1"/>
    <col min="2309" max="2562" width="11.42578125" style="139"/>
    <col min="2563" max="2563" width="10.42578125" style="139" customWidth="1"/>
    <col min="2564" max="2564" width="13" style="139" customWidth="1"/>
    <col min="2565" max="2818" width="11.42578125" style="139"/>
    <col min="2819" max="2819" width="10.42578125" style="139" customWidth="1"/>
    <col min="2820" max="2820" width="13" style="139" customWidth="1"/>
    <col min="2821" max="3074" width="11.42578125" style="139"/>
    <col min="3075" max="3075" width="10.42578125" style="139" customWidth="1"/>
    <col min="3076" max="3076" width="13" style="139" customWidth="1"/>
    <col min="3077" max="3330" width="11.42578125" style="139"/>
    <col min="3331" max="3331" width="10.42578125" style="139" customWidth="1"/>
    <col min="3332" max="3332" width="13" style="139" customWidth="1"/>
    <col min="3333" max="3586" width="11.42578125" style="139"/>
    <col min="3587" max="3587" width="10.42578125" style="139" customWidth="1"/>
    <col min="3588" max="3588" width="13" style="139" customWidth="1"/>
    <col min="3589" max="3842" width="11.42578125" style="139"/>
    <col min="3843" max="3843" width="10.42578125" style="139" customWidth="1"/>
    <col min="3844" max="3844" width="13" style="139" customWidth="1"/>
    <col min="3845" max="4098" width="11.42578125" style="139"/>
    <col min="4099" max="4099" width="10.42578125" style="139" customWidth="1"/>
    <col min="4100" max="4100" width="13" style="139" customWidth="1"/>
    <col min="4101" max="4354" width="11.42578125" style="139"/>
    <col min="4355" max="4355" width="10.42578125" style="139" customWidth="1"/>
    <col min="4356" max="4356" width="13" style="139" customWidth="1"/>
    <col min="4357" max="4610" width="11.42578125" style="139"/>
    <col min="4611" max="4611" width="10.42578125" style="139" customWidth="1"/>
    <col min="4612" max="4612" width="13" style="139" customWidth="1"/>
    <col min="4613" max="4866" width="11.42578125" style="139"/>
    <col min="4867" max="4867" width="10.42578125" style="139" customWidth="1"/>
    <col min="4868" max="4868" width="13" style="139" customWidth="1"/>
    <col min="4869" max="5122" width="11.42578125" style="139"/>
    <col min="5123" max="5123" width="10.42578125" style="139" customWidth="1"/>
    <col min="5124" max="5124" width="13" style="139" customWidth="1"/>
    <col min="5125" max="5378" width="11.42578125" style="139"/>
    <col min="5379" max="5379" width="10.42578125" style="139" customWidth="1"/>
    <col min="5380" max="5380" width="13" style="139" customWidth="1"/>
    <col min="5381" max="5634" width="11.42578125" style="139"/>
    <col min="5635" max="5635" width="10.42578125" style="139" customWidth="1"/>
    <col min="5636" max="5636" width="13" style="139" customWidth="1"/>
    <col min="5637" max="5890" width="11.42578125" style="139"/>
    <col min="5891" max="5891" width="10.42578125" style="139" customWidth="1"/>
    <col min="5892" max="5892" width="13" style="139" customWidth="1"/>
    <col min="5893" max="6146" width="11.42578125" style="139"/>
    <col min="6147" max="6147" width="10.42578125" style="139" customWidth="1"/>
    <col min="6148" max="6148" width="13" style="139" customWidth="1"/>
    <col min="6149" max="6402" width="11.42578125" style="139"/>
    <col min="6403" max="6403" width="10.42578125" style="139" customWidth="1"/>
    <col min="6404" max="6404" width="13" style="139" customWidth="1"/>
    <col min="6405" max="6658" width="11.42578125" style="139"/>
    <col min="6659" max="6659" width="10.42578125" style="139" customWidth="1"/>
    <col min="6660" max="6660" width="13" style="139" customWidth="1"/>
    <col min="6661" max="6914" width="11.42578125" style="139"/>
    <col min="6915" max="6915" width="10.42578125" style="139" customWidth="1"/>
    <col min="6916" max="6916" width="13" style="139" customWidth="1"/>
    <col min="6917" max="7170" width="11.42578125" style="139"/>
    <col min="7171" max="7171" width="10.42578125" style="139" customWidth="1"/>
    <col min="7172" max="7172" width="13" style="139" customWidth="1"/>
    <col min="7173" max="7426" width="11.42578125" style="139"/>
    <col min="7427" max="7427" width="10.42578125" style="139" customWidth="1"/>
    <col min="7428" max="7428" width="13" style="139" customWidth="1"/>
    <col min="7429" max="7682" width="11.42578125" style="139"/>
    <col min="7683" max="7683" width="10.42578125" style="139" customWidth="1"/>
    <col min="7684" max="7684" width="13" style="139" customWidth="1"/>
    <col min="7685" max="7938" width="11.42578125" style="139"/>
    <col min="7939" max="7939" width="10.42578125" style="139" customWidth="1"/>
    <col min="7940" max="7940" width="13" style="139" customWidth="1"/>
    <col min="7941" max="8194" width="11.42578125" style="139"/>
    <col min="8195" max="8195" width="10.42578125" style="139" customWidth="1"/>
    <col min="8196" max="8196" width="13" style="139" customWidth="1"/>
    <col min="8197" max="8450" width="11.42578125" style="139"/>
    <col min="8451" max="8451" width="10.42578125" style="139" customWidth="1"/>
    <col min="8452" max="8452" width="13" style="139" customWidth="1"/>
    <col min="8453" max="8706" width="11.42578125" style="139"/>
    <col min="8707" max="8707" width="10.42578125" style="139" customWidth="1"/>
    <col min="8708" max="8708" width="13" style="139" customWidth="1"/>
    <col min="8709" max="8962" width="11.42578125" style="139"/>
    <col min="8963" max="8963" width="10.42578125" style="139" customWidth="1"/>
    <col min="8964" max="8964" width="13" style="139" customWidth="1"/>
    <col min="8965" max="9218" width="11.42578125" style="139"/>
    <col min="9219" max="9219" width="10.42578125" style="139" customWidth="1"/>
    <col min="9220" max="9220" width="13" style="139" customWidth="1"/>
    <col min="9221" max="9474" width="11.42578125" style="139"/>
    <col min="9475" max="9475" width="10.42578125" style="139" customWidth="1"/>
    <col min="9476" max="9476" width="13" style="139" customWidth="1"/>
    <col min="9477" max="9730" width="11.42578125" style="139"/>
    <col min="9731" max="9731" width="10.42578125" style="139" customWidth="1"/>
    <col min="9732" max="9732" width="13" style="139" customWidth="1"/>
    <col min="9733" max="9986" width="11.42578125" style="139"/>
    <col min="9987" max="9987" width="10.42578125" style="139" customWidth="1"/>
    <col min="9988" max="9988" width="13" style="139" customWidth="1"/>
    <col min="9989" max="10242" width="11.42578125" style="139"/>
    <col min="10243" max="10243" width="10.42578125" style="139" customWidth="1"/>
    <col min="10244" max="10244" width="13" style="139" customWidth="1"/>
    <col min="10245" max="10498" width="11.42578125" style="139"/>
    <col min="10499" max="10499" width="10.42578125" style="139" customWidth="1"/>
    <col min="10500" max="10500" width="13" style="139" customWidth="1"/>
    <col min="10501" max="10754" width="11.42578125" style="139"/>
    <col min="10755" max="10755" width="10.42578125" style="139" customWidth="1"/>
    <col min="10756" max="10756" width="13" style="139" customWidth="1"/>
    <col min="10757" max="11010" width="11.42578125" style="139"/>
    <col min="11011" max="11011" width="10.42578125" style="139" customWidth="1"/>
    <col min="11012" max="11012" width="13" style="139" customWidth="1"/>
    <col min="11013" max="11266" width="11.42578125" style="139"/>
    <col min="11267" max="11267" width="10.42578125" style="139" customWidth="1"/>
    <col min="11268" max="11268" width="13" style="139" customWidth="1"/>
    <col min="11269" max="11522" width="11.42578125" style="139"/>
    <col min="11523" max="11523" width="10.42578125" style="139" customWidth="1"/>
    <col min="11524" max="11524" width="13" style="139" customWidth="1"/>
    <col min="11525" max="11778" width="11.42578125" style="139"/>
    <col min="11779" max="11779" width="10.42578125" style="139" customWidth="1"/>
    <col min="11780" max="11780" width="13" style="139" customWidth="1"/>
    <col min="11781" max="12034" width="11.42578125" style="139"/>
    <col min="12035" max="12035" width="10.42578125" style="139" customWidth="1"/>
    <col min="12036" max="12036" width="13" style="139" customWidth="1"/>
    <col min="12037" max="12290" width="11.42578125" style="139"/>
    <col min="12291" max="12291" width="10.42578125" style="139" customWidth="1"/>
    <col min="12292" max="12292" width="13" style="139" customWidth="1"/>
    <col min="12293" max="12546" width="11.42578125" style="139"/>
    <col min="12547" max="12547" width="10.42578125" style="139" customWidth="1"/>
    <col min="12548" max="12548" width="13" style="139" customWidth="1"/>
    <col min="12549" max="12802" width="11.42578125" style="139"/>
    <col min="12803" max="12803" width="10.42578125" style="139" customWidth="1"/>
    <col min="12804" max="12804" width="13" style="139" customWidth="1"/>
    <col min="12805" max="13058" width="11.42578125" style="139"/>
    <col min="13059" max="13059" width="10.42578125" style="139" customWidth="1"/>
    <col min="13060" max="13060" width="13" style="139" customWidth="1"/>
    <col min="13061" max="13314" width="11.42578125" style="139"/>
    <col min="13315" max="13315" width="10.42578125" style="139" customWidth="1"/>
    <col min="13316" max="13316" width="13" style="139" customWidth="1"/>
    <col min="13317" max="13570" width="11.42578125" style="139"/>
    <col min="13571" max="13571" width="10.42578125" style="139" customWidth="1"/>
    <col min="13572" max="13572" width="13" style="139" customWidth="1"/>
    <col min="13573" max="13826" width="11.42578125" style="139"/>
    <col min="13827" max="13827" width="10.42578125" style="139" customWidth="1"/>
    <col min="13828" max="13828" width="13" style="139" customWidth="1"/>
    <col min="13829" max="14082" width="11.42578125" style="139"/>
    <col min="14083" max="14083" width="10.42578125" style="139" customWidth="1"/>
    <col min="14084" max="14084" width="13" style="139" customWidth="1"/>
    <col min="14085" max="14338" width="11.42578125" style="139"/>
    <col min="14339" max="14339" width="10.42578125" style="139" customWidth="1"/>
    <col min="14340" max="14340" width="13" style="139" customWidth="1"/>
    <col min="14341" max="14594" width="11.42578125" style="139"/>
    <col min="14595" max="14595" width="10.42578125" style="139" customWidth="1"/>
    <col min="14596" max="14596" width="13" style="139" customWidth="1"/>
    <col min="14597" max="14850" width="11.42578125" style="139"/>
    <col min="14851" max="14851" width="10.42578125" style="139" customWidth="1"/>
    <col min="14852" max="14852" width="13" style="139" customWidth="1"/>
    <col min="14853" max="15106" width="11.42578125" style="139"/>
    <col min="15107" max="15107" width="10.42578125" style="139" customWidth="1"/>
    <col min="15108" max="15108" width="13" style="139" customWidth="1"/>
    <col min="15109" max="15362" width="11.42578125" style="139"/>
    <col min="15363" max="15363" width="10.42578125" style="139" customWidth="1"/>
    <col min="15364" max="15364" width="13" style="139" customWidth="1"/>
    <col min="15365" max="15618" width="11.42578125" style="139"/>
    <col min="15619" max="15619" width="10.42578125" style="139" customWidth="1"/>
    <col min="15620" max="15620" width="13" style="139" customWidth="1"/>
    <col min="15621" max="15874" width="11.42578125" style="139"/>
    <col min="15875" max="15875" width="10.42578125" style="139" customWidth="1"/>
    <col min="15876" max="15876" width="13" style="139" customWidth="1"/>
    <col min="15877" max="16130" width="11.42578125" style="139"/>
    <col min="16131" max="16131" width="10.42578125" style="139" customWidth="1"/>
    <col min="16132" max="16132" width="13" style="139" customWidth="1"/>
    <col min="16133" max="16384" width="11.42578125" style="139"/>
  </cols>
  <sheetData>
    <row r="1" spans="2:23" ht="13.5" thickBot="1" x14ac:dyDescent="0.25"/>
    <row r="2" spans="2:23" ht="22.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  <c r="J2" s="147"/>
      <c r="N2" s="1529" t="str">
        <f>+E2</f>
        <v>MEJORAMIENTO VÍA LA LAGUNA, SALINAS, LOS OLIVOS</v>
      </c>
      <c r="O2" s="1195"/>
      <c r="P2" s="1195"/>
      <c r="Q2" s="1195"/>
      <c r="R2" s="1195"/>
      <c r="S2" s="1195"/>
      <c r="T2" s="1195"/>
      <c r="U2" s="1195"/>
    </row>
    <row r="3" spans="2:23" ht="28.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  <c r="J3" s="148"/>
      <c r="N3" s="1530" t="s">
        <v>1241</v>
      </c>
      <c r="O3" s="1531"/>
      <c r="P3" s="1530" t="s">
        <v>1242</v>
      </c>
      <c r="Q3" s="1531"/>
      <c r="R3" s="1530" t="s">
        <v>1243</v>
      </c>
      <c r="S3" s="1531"/>
      <c r="T3" s="1532" t="s">
        <v>1244</v>
      </c>
      <c r="U3" s="1533"/>
    </row>
    <row r="4" spans="2:23" ht="15.75" thickBot="1" x14ac:dyDescent="0.3">
      <c r="B4" s="622" t="str">
        <f>+'Presup '!B3:I3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  <c r="J4" s="148"/>
      <c r="N4" s="1161">
        <v>1.82</v>
      </c>
      <c r="O4" s="1161" t="s">
        <v>820</v>
      </c>
      <c r="P4" s="1161">
        <v>4.0839999999999996</v>
      </c>
      <c r="Q4" s="1161" t="s">
        <v>821</v>
      </c>
      <c r="R4" s="1161">
        <v>7.45</v>
      </c>
      <c r="S4" s="1161" t="s">
        <v>820</v>
      </c>
      <c r="T4" s="623">
        <v>20.2</v>
      </c>
      <c r="U4" s="623" t="s">
        <v>820</v>
      </c>
    </row>
    <row r="5" spans="2:23" ht="15.75" thickTop="1" x14ac:dyDescent="0.25">
      <c r="B5" s="158"/>
      <c r="C5" s="159"/>
      <c r="D5" s="159"/>
      <c r="E5" s="159"/>
      <c r="F5" s="159"/>
      <c r="G5" s="159"/>
      <c r="H5" s="159"/>
      <c r="I5" s="159"/>
      <c r="J5" s="148"/>
      <c r="N5" s="1161">
        <f>+P4-N4</f>
        <v>2.2639999999999993</v>
      </c>
      <c r="O5" s="1161" t="s">
        <v>822</v>
      </c>
      <c r="P5" s="1161">
        <f>+(5.2-3.8)</f>
        <v>1.4000000000000004</v>
      </c>
      <c r="Q5" s="1161" t="s">
        <v>823</v>
      </c>
      <c r="R5" s="1161">
        <v>4.0279999999999996</v>
      </c>
      <c r="S5" s="1161" t="s">
        <v>822</v>
      </c>
      <c r="T5" s="623"/>
      <c r="U5" s="623" t="s">
        <v>822</v>
      </c>
    </row>
    <row r="6" spans="2:23" s="163" customFormat="1" ht="15" x14ac:dyDescent="0.25">
      <c r="B6" s="160" t="s">
        <v>543</v>
      </c>
      <c r="C6" s="557" t="str">
        <f>+'Presup '!B7</f>
        <v>Via  LA LAGUNA, SALINAS, LOS OLIVOS</v>
      </c>
      <c r="D6" s="162"/>
      <c r="F6" s="161"/>
      <c r="H6" s="164" t="s">
        <v>544</v>
      </c>
      <c r="I6" s="165" t="s">
        <v>9</v>
      </c>
      <c r="J6" s="166"/>
      <c r="K6" s="166"/>
      <c r="M6" s="166"/>
      <c r="N6" s="1161"/>
      <c r="O6" s="1161" t="s">
        <v>824</v>
      </c>
      <c r="P6" s="1161">
        <f>+N5+P5</f>
        <v>3.6639999999999997</v>
      </c>
      <c r="Q6" s="1161" t="s">
        <v>824</v>
      </c>
      <c r="R6" s="1161">
        <f>+R5+R4</f>
        <v>11.478</v>
      </c>
      <c r="S6" s="1161" t="s">
        <v>824</v>
      </c>
      <c r="T6" s="623"/>
      <c r="U6" s="623" t="s">
        <v>824</v>
      </c>
      <c r="V6" s="166"/>
      <c r="W6" s="166"/>
    </row>
    <row r="7" spans="2:23" s="163" customFormat="1" ht="15" x14ac:dyDescent="0.25">
      <c r="B7" s="160" t="s">
        <v>545</v>
      </c>
      <c r="C7" s="554" t="str">
        <f>+P.Detall!E13</f>
        <v xml:space="preserve">DESMONTE Y LIMPIEZA EN ZONAS NO BOSCOSAS           </v>
      </c>
      <c r="D7" s="162"/>
      <c r="E7" s="161"/>
      <c r="F7" s="161"/>
      <c r="G7" s="161"/>
      <c r="H7" s="164" t="s">
        <v>546</v>
      </c>
      <c r="I7" s="335" t="str">
        <f>+P.Detall!F13</f>
        <v xml:space="preserve"> HA</v>
      </c>
      <c r="J7" s="166"/>
      <c r="K7" s="167"/>
      <c r="M7" s="166"/>
      <c r="N7" s="1161">
        <f>+N5+P6</f>
        <v>5.927999999999999</v>
      </c>
      <c r="O7" s="1161" t="s">
        <v>825</v>
      </c>
      <c r="P7" s="1534"/>
      <c r="Q7" s="1535"/>
      <c r="R7" s="1162">
        <f>+R6/7</f>
        <v>1.6397142857142857</v>
      </c>
      <c r="S7" s="1161" t="s">
        <v>826</v>
      </c>
      <c r="T7" s="623">
        <f>+T4/2</f>
        <v>10.1</v>
      </c>
      <c r="U7" s="623" t="s">
        <v>826</v>
      </c>
      <c r="V7" s="166"/>
      <c r="W7" s="166"/>
    </row>
    <row r="8" spans="2:23" ht="15" x14ac:dyDescent="0.25">
      <c r="B8" s="168"/>
      <c r="C8" s="168"/>
      <c r="D8" s="169"/>
      <c r="E8" s="168"/>
      <c r="F8" s="168"/>
      <c r="G8" s="168"/>
      <c r="H8" s="168"/>
      <c r="I8" s="169"/>
      <c r="J8" s="148"/>
      <c r="M8" s="143"/>
      <c r="N8" s="1536">
        <f>+N7/2</f>
        <v>2.9639999999999995</v>
      </c>
      <c r="O8" s="1537"/>
      <c r="P8" s="1534" t="s">
        <v>826</v>
      </c>
      <c r="Q8" s="1535"/>
      <c r="R8" s="1161"/>
      <c r="S8" s="1161"/>
      <c r="T8" s="623"/>
      <c r="U8" s="623"/>
    </row>
    <row r="9" spans="2:23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  <c r="J9" s="148"/>
      <c r="N9" s="1530" t="s">
        <v>827</v>
      </c>
      <c r="O9" s="1538"/>
      <c r="P9" s="1538"/>
      <c r="Q9" s="1538"/>
      <c r="R9" s="1531"/>
      <c r="S9" s="1539">
        <f>+T7</f>
        <v>10.1</v>
      </c>
      <c r="T9" s="1540"/>
      <c r="U9" s="1541"/>
    </row>
    <row r="10" spans="2:23" ht="15" x14ac:dyDescent="0.25">
      <c r="B10" s="1514" t="s">
        <v>548</v>
      </c>
      <c r="C10" s="1515"/>
      <c r="D10" s="1516"/>
      <c r="E10" s="171" t="s">
        <v>549</v>
      </c>
      <c r="F10" s="172" t="s">
        <v>550</v>
      </c>
      <c r="G10" s="171" t="s">
        <v>551</v>
      </c>
      <c r="H10" s="173" t="s">
        <v>552</v>
      </c>
      <c r="I10" s="174"/>
      <c r="J10" s="148"/>
      <c r="N10" s="1530"/>
      <c r="O10" s="1538"/>
      <c r="P10" s="1538"/>
      <c r="Q10" s="1538"/>
      <c r="R10" s="1538"/>
      <c r="S10" s="1538"/>
      <c r="T10" s="1538"/>
      <c r="U10" s="1531"/>
    </row>
    <row r="11" spans="2:23" ht="15" x14ac:dyDescent="0.25">
      <c r="B11" s="1526" t="str">
        <f>+Equipo!A59</f>
        <v>GUADAÑADORA</v>
      </c>
      <c r="C11" s="1527"/>
      <c r="D11" s="1528"/>
      <c r="E11" s="175"/>
      <c r="F11" s="176">
        <f>+Equipo!C59</f>
        <v>6463</v>
      </c>
      <c r="G11" s="177">
        <v>0.05</v>
      </c>
      <c r="H11" s="178">
        <f>+F11/G11</f>
        <v>129260</v>
      </c>
      <c r="I11" s="179"/>
      <c r="J11" s="180"/>
      <c r="N11" s="1530"/>
      <c r="O11" s="1538"/>
      <c r="P11" s="1538"/>
      <c r="Q11" s="1531"/>
      <c r="R11" s="1530"/>
      <c r="S11" s="1531"/>
      <c r="T11" s="1530">
        <v>80</v>
      </c>
      <c r="U11" s="1531"/>
    </row>
    <row r="12" spans="2:23" ht="15" x14ac:dyDescent="0.25">
      <c r="B12" s="1526" t="str">
        <f>+Equipo!A67</f>
        <v>MOTOSIERRA</v>
      </c>
      <c r="C12" s="1527"/>
      <c r="D12" s="1528"/>
      <c r="E12" s="175"/>
      <c r="F12" s="176">
        <f>+Equipo!C67</f>
        <v>6463</v>
      </c>
      <c r="G12" s="177">
        <f>+G11*10</f>
        <v>0.5</v>
      </c>
      <c r="H12" s="178">
        <f>+F12/G12</f>
        <v>12926</v>
      </c>
      <c r="I12" s="179"/>
      <c r="J12" s="180"/>
      <c r="N12" s="1530" t="s">
        <v>828</v>
      </c>
      <c r="O12" s="1538"/>
      <c r="P12" s="1538"/>
      <c r="Q12" s="1538"/>
      <c r="R12" s="1531"/>
      <c r="S12" s="1539">
        <f>+T11</f>
        <v>80</v>
      </c>
      <c r="T12" s="1540"/>
      <c r="U12" s="1541"/>
    </row>
    <row r="13" spans="2:23" x14ac:dyDescent="0.2">
      <c r="B13" s="1526" t="s">
        <v>553</v>
      </c>
      <c r="C13" s="1527"/>
      <c r="D13" s="1528"/>
      <c r="E13" s="175"/>
      <c r="F13" s="176"/>
      <c r="G13" s="177"/>
      <c r="H13" s="178">
        <f>+I45*0.1</f>
        <v>11995</v>
      </c>
      <c r="I13" s="179"/>
      <c r="J13" s="180"/>
    </row>
    <row r="14" spans="2:23" x14ac:dyDescent="0.2">
      <c r="B14" s="181"/>
      <c r="C14" s="182"/>
      <c r="D14" s="183"/>
      <c r="E14" s="184"/>
      <c r="F14" s="184"/>
      <c r="G14" s="185"/>
      <c r="H14" s="186"/>
      <c r="I14" s="179"/>
      <c r="J14" s="148"/>
    </row>
    <row r="15" spans="2:23" s="148" customFormat="1" ht="15" x14ac:dyDescent="0.25">
      <c r="B15" s="181"/>
      <c r="C15" s="182"/>
      <c r="D15" s="183"/>
      <c r="E15" s="184"/>
      <c r="F15" s="184"/>
      <c r="G15" s="185"/>
      <c r="H15" s="186"/>
      <c r="I15" s="179"/>
      <c r="L15" s="139"/>
      <c r="N15" s="623" t="s">
        <v>1116</v>
      </c>
      <c r="O15" s="623"/>
      <c r="P15" s="733">
        <f>+S12</f>
        <v>80</v>
      </c>
      <c r="Q15" s="623" t="s">
        <v>1117</v>
      </c>
    </row>
    <row r="16" spans="2:23" s="148" customFormat="1" ht="15" x14ac:dyDescent="0.25">
      <c r="B16" s="181"/>
      <c r="C16" s="182"/>
      <c r="D16" s="183"/>
      <c r="E16" s="184"/>
      <c r="F16" s="184"/>
      <c r="G16" s="185"/>
      <c r="H16" s="186"/>
      <c r="I16" s="179"/>
      <c r="L16" s="139"/>
      <c r="N16" s="623" t="s">
        <v>1118</v>
      </c>
      <c r="O16" s="623"/>
      <c r="P16" s="623">
        <v>6</v>
      </c>
      <c r="Q16" s="623" t="s">
        <v>1240</v>
      </c>
    </row>
    <row r="17" spans="2:12" s="148" customFormat="1" x14ac:dyDescent="0.2">
      <c r="B17" s="181"/>
      <c r="C17" s="182"/>
      <c r="D17" s="183"/>
      <c r="E17" s="184"/>
      <c r="F17" s="184"/>
      <c r="G17" s="185"/>
      <c r="H17" s="186"/>
      <c r="I17" s="179"/>
      <c r="L17" s="139"/>
    </row>
    <row r="18" spans="2:12" s="148" customFormat="1" ht="13.5" thickBot="1" x14ac:dyDescent="0.25">
      <c r="B18" s="1511"/>
      <c r="C18" s="1512"/>
      <c r="D18" s="1513"/>
      <c r="E18" s="187"/>
      <c r="F18" s="188"/>
      <c r="G18" s="189"/>
      <c r="H18" s="190"/>
      <c r="I18" s="191"/>
      <c r="L18" s="139"/>
    </row>
    <row r="19" spans="2:12" s="148" customFormat="1" ht="13.5" thickBot="1" x14ac:dyDescent="0.25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154181</v>
      </c>
      <c r="L19" s="139"/>
    </row>
    <row r="20" spans="2:12" s="148" customFormat="1" ht="13.5" thickBot="1" x14ac:dyDescent="0.25">
      <c r="B20" s="170" t="s">
        <v>555</v>
      </c>
      <c r="C20" s="170"/>
      <c r="D20" s="169"/>
      <c r="E20" s="169"/>
      <c r="F20" s="169"/>
      <c r="G20" s="169"/>
      <c r="H20" s="169"/>
      <c r="I20" s="169"/>
      <c r="L20" s="139"/>
    </row>
    <row r="21" spans="2:12" s="148" customFormat="1" x14ac:dyDescent="0.2">
      <c r="B21" s="1514" t="s">
        <v>548</v>
      </c>
      <c r="C21" s="1515"/>
      <c r="D21" s="1516"/>
      <c r="E21" s="171" t="s">
        <v>556</v>
      </c>
      <c r="F21" s="171" t="s">
        <v>557</v>
      </c>
      <c r="G21" s="171" t="s">
        <v>558</v>
      </c>
      <c r="H21" s="173" t="s">
        <v>552</v>
      </c>
      <c r="I21" s="174"/>
      <c r="L21" s="139"/>
    </row>
    <row r="22" spans="2:12" s="148" customFormat="1" x14ac:dyDescent="0.2">
      <c r="B22" s="194"/>
      <c r="C22" s="195"/>
      <c r="D22" s="196"/>
      <c r="E22" s="197"/>
      <c r="F22" s="197"/>
      <c r="G22" s="197"/>
      <c r="H22" s="198"/>
      <c r="I22" s="179"/>
      <c r="L22" s="139"/>
    </row>
    <row r="23" spans="2:12" s="148" customFormat="1" x14ac:dyDescent="0.2">
      <c r="B23" s="194"/>
      <c r="C23" s="195"/>
      <c r="D23" s="196"/>
      <c r="E23" s="197"/>
      <c r="F23" s="197"/>
      <c r="G23" s="197"/>
      <c r="H23" s="198"/>
      <c r="I23" s="179"/>
      <c r="L23" s="139"/>
    </row>
    <row r="24" spans="2:12" s="148" customFormat="1" x14ac:dyDescent="0.2">
      <c r="B24" s="194"/>
      <c r="C24" s="195"/>
      <c r="D24" s="196"/>
      <c r="E24" s="197"/>
      <c r="F24" s="197"/>
      <c r="G24" s="197"/>
      <c r="H24" s="198"/>
      <c r="I24" s="179"/>
      <c r="L24" s="139"/>
    </row>
    <row r="25" spans="2:12" s="148" customFormat="1" x14ac:dyDescent="0.2">
      <c r="B25" s="194"/>
      <c r="C25" s="195"/>
      <c r="D25" s="196"/>
      <c r="E25" s="197"/>
      <c r="F25" s="197"/>
      <c r="G25" s="197"/>
      <c r="H25" s="198"/>
      <c r="I25" s="179"/>
      <c r="L25" s="139"/>
    </row>
    <row r="26" spans="2:12" s="148" customFormat="1" x14ac:dyDescent="0.2">
      <c r="B26" s="199"/>
      <c r="C26" s="200"/>
      <c r="D26" s="201"/>
      <c r="E26" s="175"/>
      <c r="F26" s="176"/>
      <c r="G26" s="202"/>
      <c r="H26" s="178"/>
      <c r="I26" s="179"/>
      <c r="L26" s="139">
        <v>6.0359999999999996</v>
      </c>
    </row>
    <row r="27" spans="2:12" s="148" customFormat="1" x14ac:dyDescent="0.2">
      <c r="B27" s="199"/>
      <c r="C27" s="200"/>
      <c r="D27" s="201"/>
      <c r="E27" s="184"/>
      <c r="F27" s="203"/>
      <c r="G27" s="204"/>
      <c r="H27" s="186"/>
      <c r="I27" s="179"/>
      <c r="L27" s="139">
        <f>+L26/2</f>
        <v>3.0179999999999998</v>
      </c>
    </row>
    <row r="28" spans="2:12" s="148" customFormat="1" ht="13.5" thickBot="1" x14ac:dyDescent="0.25">
      <c r="B28" s="205"/>
      <c r="C28" s="206"/>
      <c r="D28" s="207"/>
      <c r="E28" s="187"/>
      <c r="F28" s="188"/>
      <c r="G28" s="189"/>
      <c r="H28" s="190"/>
      <c r="I28" s="191"/>
      <c r="L28" s="139">
        <f>+L27-2</f>
        <v>1.0179999999999998</v>
      </c>
    </row>
    <row r="29" spans="2:12" s="148" customFormat="1" ht="13.5" thickBot="1" x14ac:dyDescent="0.25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0</v>
      </c>
      <c r="L29" s="139"/>
    </row>
    <row r="30" spans="2:12" s="148" customFormat="1" ht="13.5" thickBot="1" x14ac:dyDescent="0.25">
      <c r="B30" s="208" t="s">
        <v>559</v>
      </c>
      <c r="C30" s="208"/>
      <c r="D30" s="209"/>
      <c r="E30" s="169"/>
      <c r="F30" s="169"/>
      <c r="G30" s="169"/>
      <c r="H30" s="169"/>
      <c r="I30" s="169"/>
      <c r="L30" s="139"/>
    </row>
    <row r="31" spans="2:12" s="148" customFormat="1" x14ac:dyDescent="0.2">
      <c r="B31" s="210" t="s">
        <v>560</v>
      </c>
      <c r="C31" s="211"/>
      <c r="D31" s="212" t="s">
        <v>561</v>
      </c>
      <c r="E31" s="171" t="s">
        <v>562</v>
      </c>
      <c r="F31" s="171" t="s">
        <v>563</v>
      </c>
      <c r="G31" s="171" t="s">
        <v>564</v>
      </c>
      <c r="H31" s="213" t="s">
        <v>552</v>
      </c>
      <c r="I31" s="174"/>
      <c r="L31" s="139"/>
    </row>
    <row r="32" spans="2:12" s="148" customFormat="1" x14ac:dyDescent="0.2">
      <c r="B32" s="199" t="s">
        <v>565</v>
      </c>
      <c r="C32" s="201"/>
      <c r="D32" s="214">
        <v>50</v>
      </c>
      <c r="E32" s="217">
        <v>1</v>
      </c>
      <c r="F32" s="215">
        <f>D32*E32</f>
        <v>50</v>
      </c>
      <c r="G32" s="216">
        <f>+Equipo!C90</f>
        <v>1241</v>
      </c>
      <c r="H32" s="177">
        <f>F32*G32</f>
        <v>62050</v>
      </c>
      <c r="I32" s="179"/>
      <c r="L32" s="139"/>
    </row>
    <row r="33" spans="2:12" s="148" customFormat="1" x14ac:dyDescent="0.2">
      <c r="B33" s="199"/>
      <c r="C33" s="201"/>
      <c r="D33" s="214"/>
      <c r="E33" s="215"/>
      <c r="F33" s="215"/>
      <c r="G33" s="217"/>
      <c r="H33" s="177"/>
      <c r="I33" s="179"/>
      <c r="L33" s="139"/>
    </row>
    <row r="34" spans="2:12" s="148" customFormat="1" x14ac:dyDescent="0.2">
      <c r="B34" s="199"/>
      <c r="C34" s="201"/>
      <c r="D34" s="201"/>
      <c r="E34" s="175"/>
      <c r="F34" s="218"/>
      <c r="G34" s="177"/>
      <c r="H34" s="177"/>
      <c r="I34" s="179"/>
      <c r="L34" s="139"/>
    </row>
    <row r="35" spans="2:12" s="148" customFormat="1" ht="13.5" thickBot="1" x14ac:dyDescent="0.25">
      <c r="B35" s="205"/>
      <c r="C35" s="207"/>
      <c r="D35" s="219"/>
      <c r="E35" s="188"/>
      <c r="F35" s="189"/>
      <c r="G35" s="190"/>
      <c r="H35" s="187"/>
      <c r="I35" s="179"/>
      <c r="L35" s="139"/>
    </row>
    <row r="36" spans="2:12" s="148" customFormat="1" ht="13.5" thickBot="1" x14ac:dyDescent="0.25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62050</v>
      </c>
      <c r="L36" s="139"/>
    </row>
    <row r="37" spans="2:12" s="148" customFormat="1" ht="13.5" thickBot="1" x14ac:dyDescent="0.25">
      <c r="B37" s="208" t="s">
        <v>566</v>
      </c>
      <c r="C37" s="208"/>
      <c r="D37" s="169"/>
      <c r="E37" s="169"/>
      <c r="F37" s="169"/>
      <c r="G37" s="169"/>
      <c r="H37" s="169"/>
      <c r="I37" s="169"/>
      <c r="L37" s="139"/>
    </row>
    <row r="38" spans="2:12" s="148" customFormat="1" x14ac:dyDescent="0.2">
      <c r="B38" s="210" t="s">
        <v>567</v>
      </c>
      <c r="C38" s="211"/>
      <c r="D38" s="171" t="s">
        <v>568</v>
      </c>
      <c r="E38" s="171" t="s">
        <v>569</v>
      </c>
      <c r="F38" s="172" t="s">
        <v>570</v>
      </c>
      <c r="G38" s="220" t="s">
        <v>551</v>
      </c>
      <c r="H38" s="173" t="s">
        <v>552</v>
      </c>
      <c r="I38" s="174"/>
      <c r="L38" s="139"/>
    </row>
    <row r="39" spans="2:12" s="148" customFormat="1" x14ac:dyDescent="0.2">
      <c r="B39" s="199" t="str">
        <f>+MdeObra!A21</f>
        <v>OBREROS</v>
      </c>
      <c r="C39" s="221">
        <v>2</v>
      </c>
      <c r="D39" s="222">
        <f>+MdeObra!C21</f>
        <v>32419</v>
      </c>
      <c r="E39" s="223">
        <f>+MdeObra!C10</f>
        <v>1.85</v>
      </c>
      <c r="F39" s="176">
        <f>+E39*D39</f>
        <v>59975.15</v>
      </c>
      <c r="G39" s="177">
        <f>+G12</f>
        <v>0.5</v>
      </c>
      <c r="H39" s="224">
        <f>+F39/G39</f>
        <v>119950.3</v>
      </c>
      <c r="I39" s="179"/>
      <c r="L39" s="786"/>
    </row>
    <row r="40" spans="2:12" s="148" customFormat="1" x14ac:dyDescent="0.2">
      <c r="B40" s="199"/>
      <c r="C40" s="201"/>
      <c r="D40" s="225"/>
      <c r="E40" s="223"/>
      <c r="F40" s="177"/>
      <c r="G40" s="177"/>
      <c r="H40" s="178"/>
      <c r="I40" s="179"/>
      <c r="L40" s="787"/>
    </row>
    <row r="41" spans="2:12" s="148" customFormat="1" x14ac:dyDescent="0.2">
      <c r="B41" s="199"/>
      <c r="C41" s="201"/>
      <c r="D41" s="225"/>
      <c r="E41" s="223"/>
      <c r="F41" s="177"/>
      <c r="G41" s="177"/>
      <c r="H41" s="178"/>
      <c r="I41" s="179"/>
      <c r="L41" s="139"/>
    </row>
    <row r="42" spans="2:12" s="148" customFormat="1" x14ac:dyDescent="0.2">
      <c r="B42" s="199"/>
      <c r="C42" s="201"/>
      <c r="D42" s="225"/>
      <c r="E42" s="223"/>
      <c r="F42" s="177"/>
      <c r="G42" s="177"/>
      <c r="H42" s="178"/>
      <c r="I42" s="179"/>
      <c r="L42" s="139"/>
    </row>
    <row r="43" spans="2:12" s="148" customFormat="1" x14ac:dyDescent="0.2">
      <c r="B43" s="199"/>
      <c r="C43" s="201"/>
      <c r="D43" s="225"/>
      <c r="E43" s="223"/>
      <c r="F43" s="176"/>
      <c r="G43" s="177"/>
      <c r="H43" s="178"/>
      <c r="I43" s="179"/>
      <c r="L43" s="139"/>
    </row>
    <row r="44" spans="2:12" s="148" customFormat="1" ht="13.5" thickBot="1" x14ac:dyDescent="0.25">
      <c r="B44" s="205"/>
      <c r="C44" s="207"/>
      <c r="D44" s="226"/>
      <c r="E44" s="227"/>
      <c r="F44" s="227"/>
      <c r="G44" s="227"/>
      <c r="H44" s="209"/>
      <c r="I44" s="191"/>
      <c r="L44" s="139"/>
    </row>
    <row r="45" spans="2:12" s="148" customFormat="1" ht="13.5" thickBot="1" x14ac:dyDescent="0.25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119950</v>
      </c>
      <c r="L45" s="139"/>
    </row>
    <row r="46" spans="2:12" s="148" customFormat="1" ht="13.5" thickBot="1" x14ac:dyDescent="0.25">
      <c r="B46" s="169"/>
      <c r="C46" s="169"/>
      <c r="D46" s="169"/>
      <c r="E46" s="169"/>
      <c r="F46" s="169"/>
      <c r="G46" s="169"/>
      <c r="H46" s="228"/>
      <c r="I46" s="162"/>
      <c r="L46" s="139"/>
    </row>
    <row r="47" spans="2:12" s="148" customFormat="1" ht="13.5" thickBot="1" x14ac:dyDescent="0.25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336181</v>
      </c>
      <c r="L47" s="139"/>
    </row>
    <row r="48" spans="2:12" s="148" customFormat="1" ht="13.5" thickBot="1" x14ac:dyDescent="0.25">
      <c r="B48" s="170" t="s">
        <v>572</v>
      </c>
      <c r="C48" s="170"/>
      <c r="D48" s="169"/>
      <c r="E48" s="169"/>
      <c r="F48" s="169"/>
      <c r="G48" s="169"/>
      <c r="H48" s="169"/>
      <c r="I48" s="169"/>
      <c r="L48" s="139"/>
    </row>
    <row r="49" spans="2:12" s="148" customFormat="1" x14ac:dyDescent="0.2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  <c r="L49" s="139"/>
    </row>
    <row r="50" spans="2:12" s="148" customFormat="1" x14ac:dyDescent="0.2">
      <c r="B50" s="199" t="s">
        <v>519</v>
      </c>
      <c r="C50" s="200"/>
      <c r="D50" s="200"/>
      <c r="E50" s="200"/>
      <c r="F50" s="201"/>
      <c r="G50" s="559">
        <f>+MdeObra!C7</f>
        <v>0.2</v>
      </c>
      <c r="H50" s="237">
        <f>+G50*I47</f>
        <v>67236.2</v>
      </c>
      <c r="I50" s="238"/>
      <c r="L50" s="139"/>
    </row>
    <row r="51" spans="2:12" s="148" customFormat="1" x14ac:dyDescent="0.2">
      <c r="B51" s="199" t="s">
        <v>575</v>
      </c>
      <c r="C51" s="200"/>
      <c r="D51" s="200"/>
      <c r="E51" s="200"/>
      <c r="F51" s="201"/>
      <c r="G51" s="236">
        <f>+MdeObra!C8</f>
        <v>0.05</v>
      </c>
      <c r="H51" s="237">
        <f>+G51*I47</f>
        <v>16809.05</v>
      </c>
      <c r="I51" s="238"/>
      <c r="L51" s="139"/>
    </row>
    <row r="52" spans="2:12" s="148" customFormat="1" ht="13.5" thickBot="1" x14ac:dyDescent="0.25">
      <c r="B52" s="205" t="s">
        <v>522</v>
      </c>
      <c r="C52" s="206"/>
      <c r="D52" s="206"/>
      <c r="E52" s="206"/>
      <c r="F52" s="207"/>
      <c r="G52" s="239">
        <f>+MdeObra!C9</f>
        <v>0.05</v>
      </c>
      <c r="H52" s="240">
        <f>+G52*I47</f>
        <v>16809.05</v>
      </c>
      <c r="I52" s="191"/>
      <c r="L52" s="139"/>
    </row>
    <row r="53" spans="2:12" s="148" customFormat="1" ht="13.5" thickBot="1" x14ac:dyDescent="0.25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100854</v>
      </c>
      <c r="L53" s="139"/>
    </row>
    <row r="54" spans="2:12" s="148" customFormat="1" ht="13.5" thickBot="1" x14ac:dyDescent="0.25">
      <c r="B54" s="169"/>
      <c r="C54" s="169"/>
      <c r="D54" s="169"/>
      <c r="E54" s="169"/>
      <c r="F54" s="169"/>
      <c r="G54" s="169"/>
      <c r="H54" s="169"/>
      <c r="I54" s="169"/>
      <c r="L54" s="139"/>
    </row>
    <row r="55" spans="2:12" s="148" customFormat="1" ht="14.25" thickTop="1" thickBot="1" x14ac:dyDescent="0.25">
      <c r="B55" s="139"/>
      <c r="C55" s="139"/>
      <c r="D55" s="169"/>
      <c r="E55" s="229" t="s">
        <v>576</v>
      </c>
      <c r="F55" s="230"/>
      <c r="G55" s="230"/>
      <c r="H55" s="230"/>
      <c r="I55" s="242">
        <f>ROUND((I47+I53),0)</f>
        <v>437035</v>
      </c>
      <c r="K55" s="180"/>
      <c r="L55" s="139"/>
    </row>
    <row r="56" spans="2:12" s="148" customFormat="1" ht="13.5" thickTop="1" x14ac:dyDescent="0.2">
      <c r="B56" s="139"/>
      <c r="C56" s="139"/>
      <c r="D56" s="139"/>
      <c r="E56" s="139"/>
      <c r="F56" s="139"/>
      <c r="G56" s="139"/>
      <c r="H56" s="139"/>
      <c r="I56" s="139"/>
      <c r="L56" s="139"/>
    </row>
    <row r="57" spans="2:12" s="148" customFormat="1" x14ac:dyDescent="0.2">
      <c r="L57" s="139"/>
    </row>
    <row r="58" spans="2:12" s="148" customFormat="1" x14ac:dyDescent="0.2">
      <c r="L58" s="139"/>
    </row>
    <row r="59" spans="2:12" s="243" customFormat="1" hidden="1" x14ac:dyDescent="0.2">
      <c r="L59" s="139"/>
    </row>
    <row r="60" spans="2:12" s="148" customFormat="1" ht="15" hidden="1" customHeight="1" x14ac:dyDescent="0.2">
      <c r="F60" s="1509" t="str">
        <f>+'Presup '!F118</f>
        <v xml:space="preserve">ING. MIGUEL ANTONIO VILLACRES MARTINEZ. </v>
      </c>
      <c r="G60" s="1509"/>
      <c r="H60" s="1509"/>
      <c r="I60" s="1509"/>
      <c r="L60" s="139"/>
    </row>
    <row r="61" spans="2:12" s="148" customFormat="1" ht="15" hidden="1" customHeight="1" x14ac:dyDescent="0.2">
      <c r="F61" s="1510" t="str">
        <f>+'Presup '!F119</f>
        <v>M.P. 52202-090508 NRÑ</v>
      </c>
      <c r="G61" s="1510"/>
      <c r="H61" s="1510"/>
      <c r="I61" s="1510"/>
      <c r="L61" s="139"/>
    </row>
    <row r="62" spans="2:12" s="148" customFormat="1" x14ac:dyDescent="0.2">
      <c r="L62" s="139"/>
    </row>
    <row r="63" spans="2:12" s="148" customFormat="1" x14ac:dyDescent="0.2">
      <c r="L63" s="139"/>
    </row>
    <row r="64" spans="2:12" s="148" customFormat="1" x14ac:dyDescent="0.2">
      <c r="L64" s="139"/>
    </row>
    <row r="65" spans="12:12" s="148" customFormat="1" x14ac:dyDescent="0.2">
      <c r="L65" s="139"/>
    </row>
    <row r="66" spans="12:12" s="148" customFormat="1" x14ac:dyDescent="0.2">
      <c r="L66" s="139"/>
    </row>
    <row r="67" spans="12:12" s="148" customFormat="1" x14ac:dyDescent="0.2">
      <c r="L67" s="139"/>
    </row>
    <row r="68" spans="12:12" s="148" customFormat="1" x14ac:dyDescent="0.2">
      <c r="L68" s="139"/>
    </row>
    <row r="69" spans="12:12" s="148" customFormat="1" x14ac:dyDescent="0.2">
      <c r="L69" s="139"/>
    </row>
    <row r="70" spans="12:12" s="148" customFormat="1" x14ac:dyDescent="0.2">
      <c r="L70" s="139"/>
    </row>
    <row r="71" spans="12:12" s="148" customFormat="1" x14ac:dyDescent="0.2">
      <c r="L71" s="139"/>
    </row>
    <row r="72" spans="12:12" s="148" customFormat="1" x14ac:dyDescent="0.2">
      <c r="L72" s="139"/>
    </row>
    <row r="73" spans="12:12" s="148" customFormat="1" x14ac:dyDescent="0.2">
      <c r="L73" s="139"/>
    </row>
    <row r="74" spans="12:12" s="148" customFormat="1" x14ac:dyDescent="0.2">
      <c r="L74" s="139"/>
    </row>
    <row r="75" spans="12:12" s="148" customFormat="1" x14ac:dyDescent="0.2">
      <c r="L75" s="139"/>
    </row>
    <row r="76" spans="12:12" s="148" customFormat="1" x14ac:dyDescent="0.2">
      <c r="L76" s="139"/>
    </row>
    <row r="77" spans="12:12" s="148" customFormat="1" x14ac:dyDescent="0.2">
      <c r="L77" s="139"/>
    </row>
    <row r="78" spans="12:12" s="148" customFormat="1" x14ac:dyDescent="0.2">
      <c r="L78" s="139"/>
    </row>
    <row r="79" spans="12:12" s="148" customFormat="1" x14ac:dyDescent="0.2">
      <c r="L79" s="139"/>
    </row>
    <row r="80" spans="12:12" s="148" customFormat="1" x14ac:dyDescent="0.2">
      <c r="L80" s="139"/>
    </row>
    <row r="81" spans="12:12" s="148" customFormat="1" x14ac:dyDescent="0.2">
      <c r="L81" s="139"/>
    </row>
    <row r="82" spans="12:12" s="148" customFormat="1" x14ac:dyDescent="0.2">
      <c r="L82" s="139"/>
    </row>
    <row r="83" spans="12:12" s="148" customFormat="1" x14ac:dyDescent="0.2">
      <c r="L83" s="139"/>
    </row>
    <row r="84" spans="12:12" s="148" customFormat="1" x14ac:dyDescent="0.2">
      <c r="L84" s="139"/>
    </row>
    <row r="85" spans="12:12" s="148" customFormat="1" x14ac:dyDescent="0.2">
      <c r="L85" s="139"/>
    </row>
    <row r="86" spans="12:12" s="148" customFormat="1" x14ac:dyDescent="0.2">
      <c r="L86" s="139"/>
    </row>
    <row r="87" spans="12:12" s="148" customFormat="1" x14ac:dyDescent="0.2">
      <c r="L87" s="139"/>
    </row>
    <row r="88" spans="12:12" s="148" customFormat="1" x14ac:dyDescent="0.2">
      <c r="L88" s="139"/>
    </row>
    <row r="89" spans="12:12" s="148" customFormat="1" x14ac:dyDescent="0.2">
      <c r="L89" s="139"/>
    </row>
    <row r="90" spans="12:12" s="148" customFormat="1" x14ac:dyDescent="0.2">
      <c r="L90" s="139"/>
    </row>
    <row r="91" spans="12:12" s="148" customFormat="1" x14ac:dyDescent="0.2">
      <c r="L91" s="139"/>
    </row>
    <row r="92" spans="12:12" s="148" customFormat="1" x14ac:dyDescent="0.2">
      <c r="L92" s="139"/>
    </row>
    <row r="93" spans="12:12" s="148" customFormat="1" x14ac:dyDescent="0.2">
      <c r="L93" s="139"/>
    </row>
    <row r="94" spans="12:12" s="148" customFormat="1" x14ac:dyDescent="0.2">
      <c r="L94" s="139"/>
    </row>
    <row r="95" spans="12:12" s="148" customFormat="1" x14ac:dyDescent="0.2">
      <c r="L95" s="139"/>
    </row>
    <row r="96" spans="12:12" s="148" customFormat="1" x14ac:dyDescent="0.2">
      <c r="L96" s="139"/>
    </row>
    <row r="97" spans="12:12" s="148" customFormat="1" x14ac:dyDescent="0.2">
      <c r="L97" s="139"/>
    </row>
    <row r="98" spans="12:12" s="148" customFormat="1" x14ac:dyDescent="0.2">
      <c r="L98" s="139"/>
    </row>
    <row r="99" spans="12:12" s="148" customFormat="1" x14ac:dyDescent="0.2">
      <c r="L99" s="139"/>
    </row>
    <row r="100" spans="12:12" s="148" customFormat="1" x14ac:dyDescent="0.2">
      <c r="L100" s="139"/>
    </row>
    <row r="101" spans="12:12" s="148" customFormat="1" x14ac:dyDescent="0.2">
      <c r="L101" s="139"/>
    </row>
    <row r="102" spans="12:12" s="148" customFormat="1" x14ac:dyDescent="0.2">
      <c r="L102" s="139"/>
    </row>
    <row r="103" spans="12:12" s="148" customFormat="1" x14ac:dyDescent="0.2">
      <c r="L103" s="139"/>
    </row>
    <row r="104" spans="12:12" s="148" customFormat="1" x14ac:dyDescent="0.2">
      <c r="L104" s="139"/>
    </row>
    <row r="105" spans="12:12" s="148" customFormat="1" x14ac:dyDescent="0.2">
      <c r="L105" s="139"/>
    </row>
    <row r="106" spans="12:12" s="148" customFormat="1" x14ac:dyDescent="0.2">
      <c r="L106" s="139"/>
    </row>
    <row r="107" spans="12:12" s="148" customFormat="1" x14ac:dyDescent="0.2">
      <c r="L107" s="139"/>
    </row>
    <row r="108" spans="12:12" s="148" customFormat="1" x14ac:dyDescent="0.2">
      <c r="L108" s="139"/>
    </row>
    <row r="109" spans="12:12" s="148" customFormat="1" x14ac:dyDescent="0.2">
      <c r="L109" s="139"/>
    </row>
    <row r="110" spans="12:12" s="148" customFormat="1" x14ac:dyDescent="0.2">
      <c r="L110" s="139"/>
    </row>
    <row r="111" spans="12:12" s="148" customFormat="1" x14ac:dyDescent="0.2">
      <c r="L111" s="139"/>
    </row>
    <row r="112" spans="12:12" s="148" customFormat="1" x14ac:dyDescent="0.2">
      <c r="L112" s="139"/>
    </row>
    <row r="113" spans="12:12" s="148" customFormat="1" x14ac:dyDescent="0.2">
      <c r="L113" s="139"/>
    </row>
    <row r="114" spans="12:12" s="148" customFormat="1" x14ac:dyDescent="0.2">
      <c r="L114" s="139"/>
    </row>
    <row r="115" spans="12:12" s="148" customFormat="1" x14ac:dyDescent="0.2">
      <c r="L115" s="139"/>
    </row>
    <row r="116" spans="12:12" s="148" customFormat="1" x14ac:dyDescent="0.2">
      <c r="L116" s="139"/>
    </row>
    <row r="117" spans="12:12" s="148" customFormat="1" x14ac:dyDescent="0.2">
      <c r="L117" s="139"/>
    </row>
    <row r="118" spans="12:12" s="148" customFormat="1" x14ac:dyDescent="0.2">
      <c r="L118" s="139"/>
    </row>
    <row r="119" spans="12:12" s="148" customFormat="1" x14ac:dyDescent="0.2">
      <c r="L119" s="139"/>
    </row>
    <row r="120" spans="12:12" s="148" customFormat="1" x14ac:dyDescent="0.2">
      <c r="L120" s="139"/>
    </row>
    <row r="121" spans="12:12" s="148" customFormat="1" x14ac:dyDescent="0.2">
      <c r="L121" s="139"/>
    </row>
    <row r="122" spans="12:12" s="148" customFormat="1" x14ac:dyDescent="0.2">
      <c r="L122" s="139"/>
    </row>
    <row r="123" spans="12:12" s="148" customFormat="1" x14ac:dyDescent="0.2">
      <c r="L123" s="139"/>
    </row>
    <row r="124" spans="12:12" s="148" customFormat="1" x14ac:dyDescent="0.2">
      <c r="L124" s="139"/>
    </row>
    <row r="125" spans="12:12" s="148" customFormat="1" x14ac:dyDescent="0.2">
      <c r="L125" s="139"/>
    </row>
    <row r="126" spans="12:12" s="148" customFormat="1" x14ac:dyDescent="0.2">
      <c r="L126" s="139"/>
    </row>
    <row r="127" spans="12:12" s="148" customFormat="1" x14ac:dyDescent="0.2">
      <c r="L127" s="139"/>
    </row>
    <row r="128" spans="12:12" s="148" customFormat="1" x14ac:dyDescent="0.2">
      <c r="L128" s="139"/>
    </row>
    <row r="129" spans="12:12" s="148" customFormat="1" x14ac:dyDescent="0.2">
      <c r="L129" s="139"/>
    </row>
    <row r="130" spans="12:12" s="148" customFormat="1" x14ac:dyDescent="0.2">
      <c r="L130" s="139"/>
    </row>
    <row r="131" spans="12:12" s="148" customFormat="1" x14ac:dyDescent="0.2">
      <c r="L131" s="139"/>
    </row>
    <row r="132" spans="12:12" s="148" customFormat="1" x14ac:dyDescent="0.2">
      <c r="L132" s="139"/>
    </row>
    <row r="133" spans="12:12" s="148" customFormat="1" x14ac:dyDescent="0.2">
      <c r="L133" s="139"/>
    </row>
    <row r="134" spans="12:12" s="148" customFormat="1" x14ac:dyDescent="0.2">
      <c r="L134" s="139"/>
    </row>
    <row r="135" spans="12:12" s="148" customFormat="1" x14ac:dyDescent="0.2">
      <c r="L135" s="139"/>
    </row>
    <row r="136" spans="12:12" s="148" customFormat="1" x14ac:dyDescent="0.2">
      <c r="L136" s="139"/>
    </row>
    <row r="137" spans="12:12" s="148" customFormat="1" x14ac:dyDescent="0.2">
      <c r="L137" s="139"/>
    </row>
    <row r="138" spans="12:12" s="148" customFormat="1" x14ac:dyDescent="0.2">
      <c r="L138" s="139"/>
    </row>
    <row r="139" spans="12:12" s="148" customFormat="1" x14ac:dyDescent="0.2">
      <c r="L139" s="139"/>
    </row>
    <row r="140" spans="12:12" s="148" customFormat="1" x14ac:dyDescent="0.2">
      <c r="L140" s="139"/>
    </row>
    <row r="141" spans="12:12" s="148" customFormat="1" x14ac:dyDescent="0.2">
      <c r="L141" s="139"/>
    </row>
    <row r="142" spans="12:12" s="148" customFormat="1" x14ac:dyDescent="0.2">
      <c r="L142" s="139"/>
    </row>
    <row r="143" spans="12:12" s="148" customFormat="1" x14ac:dyDescent="0.2">
      <c r="L143" s="139"/>
    </row>
    <row r="144" spans="12:12" s="148" customFormat="1" x14ac:dyDescent="0.2">
      <c r="L144" s="139"/>
    </row>
    <row r="145" spans="12:12" s="148" customFormat="1" x14ac:dyDescent="0.2">
      <c r="L145" s="139"/>
    </row>
    <row r="146" spans="12:12" s="148" customFormat="1" x14ac:dyDescent="0.2">
      <c r="L146" s="139"/>
    </row>
    <row r="147" spans="12:12" s="148" customFormat="1" x14ac:dyDescent="0.2">
      <c r="L147" s="139"/>
    </row>
    <row r="148" spans="12:12" s="148" customFormat="1" x14ac:dyDescent="0.2">
      <c r="L148" s="139"/>
    </row>
    <row r="149" spans="12:12" s="148" customFormat="1" x14ac:dyDescent="0.2">
      <c r="L149" s="139"/>
    </row>
    <row r="150" spans="12:12" s="148" customFormat="1" x14ac:dyDescent="0.2">
      <c r="L150" s="139"/>
    </row>
    <row r="151" spans="12:12" s="148" customFormat="1" x14ac:dyDescent="0.2">
      <c r="L151" s="139"/>
    </row>
    <row r="152" spans="12:12" s="148" customFormat="1" x14ac:dyDescent="0.2">
      <c r="L152" s="139"/>
    </row>
    <row r="153" spans="12:12" s="148" customFormat="1" x14ac:dyDescent="0.2">
      <c r="L153" s="139"/>
    </row>
    <row r="154" spans="12:12" s="148" customFormat="1" x14ac:dyDescent="0.2">
      <c r="L154" s="139"/>
    </row>
    <row r="155" spans="12:12" s="148" customFormat="1" x14ac:dyDescent="0.2">
      <c r="L155" s="139"/>
    </row>
  </sheetData>
  <mergeCells count="26">
    <mergeCell ref="N10:U10"/>
    <mergeCell ref="N11:Q11"/>
    <mergeCell ref="R11:S11"/>
    <mergeCell ref="T11:U11"/>
    <mergeCell ref="N12:R12"/>
    <mergeCell ref="S12:U12"/>
    <mergeCell ref="P7:Q7"/>
    <mergeCell ref="N8:O8"/>
    <mergeCell ref="P8:Q8"/>
    <mergeCell ref="N9:R9"/>
    <mergeCell ref="S9:U9"/>
    <mergeCell ref="N2:U2"/>
    <mergeCell ref="N3:O3"/>
    <mergeCell ref="P3:Q3"/>
    <mergeCell ref="R3:S3"/>
    <mergeCell ref="T3:U3"/>
    <mergeCell ref="F60:I60"/>
    <mergeCell ref="F61:I61"/>
    <mergeCell ref="B18:D18"/>
    <mergeCell ref="B21:D21"/>
    <mergeCell ref="E2:I3"/>
    <mergeCell ref="E4:I4"/>
    <mergeCell ref="B10:D10"/>
    <mergeCell ref="B11:D11"/>
    <mergeCell ref="B12:D12"/>
    <mergeCell ref="B13:D13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0" zoomScaleNormal="100" zoomScaleSheetLayoutView="100" workbookViewId="0">
      <selection activeCell="G1" sqref="G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32.2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12</v>
      </c>
    </row>
    <row r="7" spans="2:9" x14ac:dyDescent="0.25">
      <c r="B7" s="255" t="s">
        <v>545</v>
      </c>
      <c r="C7" s="554" t="str">
        <f>+P.Detall!E14</f>
        <v xml:space="preserve">LOCALIZACIÓN Y REPLANTEO (CARRETERA)     </v>
      </c>
      <c r="D7" s="257"/>
      <c r="E7" s="256"/>
      <c r="F7" s="256"/>
      <c r="G7" s="256"/>
      <c r="H7" s="259" t="s">
        <v>546</v>
      </c>
      <c r="I7" s="554" t="str">
        <f>+P.Detall!F14</f>
        <v>ML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44" t="str">
        <f>+Equipo!A50</f>
        <v>ESTACIÓN</v>
      </c>
      <c r="C11" s="1545"/>
      <c r="D11" s="1546"/>
      <c r="E11" s="272"/>
      <c r="F11" s="273">
        <f>+Equipo!C50</f>
        <v>10340</v>
      </c>
      <c r="G11" s="274">
        <v>100</v>
      </c>
      <c r="H11" s="275">
        <f>+F11/G11</f>
        <v>103.4</v>
      </c>
      <c r="I11" s="276"/>
    </row>
    <row r="12" spans="2:9" x14ac:dyDescent="0.25">
      <c r="B12" s="277"/>
      <c r="C12" s="278"/>
      <c r="D12" s="279"/>
      <c r="E12" s="280"/>
      <c r="F12" s="281"/>
      <c r="G12" s="282"/>
      <c r="H12" s="275"/>
      <c r="I12" s="276"/>
    </row>
    <row r="13" spans="2:9" x14ac:dyDescent="0.25">
      <c r="B13" s="277"/>
      <c r="C13" s="278"/>
      <c r="D13" s="279"/>
      <c r="E13" s="280"/>
      <c r="F13" s="281"/>
      <c r="G13" s="282"/>
      <c r="H13" s="275"/>
      <c r="I13" s="276"/>
    </row>
    <row r="14" spans="2:9" x14ac:dyDescent="0.25">
      <c r="B14" s="1544"/>
      <c r="C14" s="1545"/>
      <c r="D14" s="1546"/>
      <c r="E14" s="280"/>
      <c r="F14" s="283"/>
      <c r="G14" s="284"/>
      <c r="H14" s="275"/>
      <c r="I14" s="276"/>
    </row>
    <row r="15" spans="2:9" x14ac:dyDescent="0.25">
      <c r="B15" s="1544"/>
      <c r="C15" s="1545"/>
      <c r="D15" s="1546"/>
      <c r="E15" s="280"/>
      <c r="F15" s="283"/>
      <c r="G15" s="274"/>
      <c r="H15" s="275"/>
      <c r="I15" s="276"/>
    </row>
    <row r="16" spans="2:9" x14ac:dyDescent="0.25">
      <c r="B16" s="1544"/>
      <c r="C16" s="1545"/>
      <c r="D16" s="1546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103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tr">
        <f>+Materiales!A79</f>
        <v>ESTACAS, PINTURA, TACHUELA, HILO</v>
      </c>
      <c r="C22" s="293"/>
      <c r="D22" s="294"/>
      <c r="E22" s="272" t="str">
        <f>+Materiales!B79</f>
        <v>GLOBAL</v>
      </c>
      <c r="F22" s="272">
        <f>+Materiales!C79</f>
        <v>621</v>
      </c>
      <c r="G22" s="282"/>
      <c r="H22" s="275">
        <f>+F22</f>
        <v>621</v>
      </c>
      <c r="I22" s="276"/>
    </row>
    <row r="23" spans="2:9" x14ac:dyDescent="0.25">
      <c r="B23" s="292"/>
      <c r="C23" s="293"/>
      <c r="D23" s="294"/>
      <c r="E23" s="272"/>
      <c r="F23" s="273"/>
      <c r="G23" s="282"/>
      <c r="H23" s="275"/>
      <c r="I23" s="276"/>
    </row>
    <row r="24" spans="2:9" x14ac:dyDescent="0.25">
      <c r="B24" s="292"/>
      <c r="C24" s="293"/>
      <c r="D24" s="294"/>
      <c r="E24" s="272"/>
      <c r="F24" s="273"/>
      <c r="G24" s="282"/>
      <c r="H24" s="275"/>
      <c r="I24" s="276"/>
    </row>
    <row r="25" spans="2:9" x14ac:dyDescent="0.25">
      <c r="B25" s="292"/>
      <c r="C25" s="293"/>
      <c r="D25" s="294"/>
      <c r="E25" s="272"/>
      <c r="F25" s="273"/>
      <c r="G25" s="282"/>
      <c r="H25" s="275"/>
      <c r="I25" s="276"/>
    </row>
    <row r="26" spans="2:9" x14ac:dyDescent="0.25">
      <c r="B26" s="292"/>
      <c r="C26" s="293"/>
      <c r="D26" s="294"/>
      <c r="E26" s="272"/>
      <c r="F26" s="273"/>
      <c r="G26" s="282"/>
      <c r="H26" s="275"/>
      <c r="I26" s="276"/>
    </row>
    <row r="27" spans="2:9" x14ac:dyDescent="0.25">
      <c r="B27" s="292"/>
      <c r="C27" s="293"/>
      <c r="D27" s="294"/>
      <c r="E27" s="280"/>
      <c r="F27" s="283"/>
      <c r="G27" s="295"/>
      <c r="H27" s="296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621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292"/>
      <c r="C32" s="294"/>
      <c r="D32" s="306"/>
      <c r="E32" s="307"/>
      <c r="F32" s="307"/>
      <c r="G32" s="308"/>
      <c r="H32" s="274"/>
      <c r="I32" s="276"/>
    </row>
    <row r="33" spans="2:9" x14ac:dyDescent="0.25">
      <c r="B33" s="292"/>
      <c r="C33" s="29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0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+MdeObra!A27</f>
        <v>TOPÓGRAFO</v>
      </c>
      <c r="C39" s="313"/>
      <c r="D39" s="314">
        <f>+MdeObra!C27</f>
        <v>93265</v>
      </c>
      <c r="E39" s="315">
        <f>+MdeObra!C10</f>
        <v>1.85</v>
      </c>
      <c r="F39" s="273">
        <f>+E39*D39</f>
        <v>172540.25</v>
      </c>
      <c r="G39" s="274">
        <f>G11*8</f>
        <v>800</v>
      </c>
      <c r="H39" s="316">
        <f>+F39/G39</f>
        <v>215.67531249999999</v>
      </c>
      <c r="I39" s="276"/>
    </row>
    <row r="40" spans="2:9" x14ac:dyDescent="0.25">
      <c r="B40" s="292" t="str">
        <f>+MdeObra!A22</f>
        <v>OFICIAL</v>
      </c>
      <c r="C40" s="313">
        <v>3</v>
      </c>
      <c r="D40" s="314">
        <f>+MdeObra!C22*C40</f>
        <v>194511</v>
      </c>
      <c r="E40" s="315">
        <f>+MdeObra!C10</f>
        <v>1.85</v>
      </c>
      <c r="F40" s="273">
        <f>+E40*D40</f>
        <v>359845.35000000003</v>
      </c>
      <c r="G40" s="274">
        <f>G39</f>
        <v>800</v>
      </c>
      <c r="H40" s="316">
        <f>+F40/G40</f>
        <v>449.80668750000007</v>
      </c>
      <c r="I40" s="276"/>
    </row>
    <row r="41" spans="2:9" x14ac:dyDescent="0.25">
      <c r="B41" s="292" t="str">
        <f>+MdeObra!A21</f>
        <v>OBREROS</v>
      </c>
      <c r="C41" s="313"/>
      <c r="D41" s="314">
        <f>+MdeObra!C21</f>
        <v>32419</v>
      </c>
      <c r="E41" s="315">
        <f>+MdeObra!C10</f>
        <v>1.85</v>
      </c>
      <c r="F41" s="273">
        <f>+E41*D41</f>
        <v>59975.15</v>
      </c>
      <c r="G41" s="274">
        <f>G39</f>
        <v>800</v>
      </c>
      <c r="H41" s="316">
        <f>+F41/G41</f>
        <v>74.968937499999996</v>
      </c>
      <c r="I41" s="276"/>
    </row>
    <row r="42" spans="2:9" x14ac:dyDescent="0.25">
      <c r="B42" s="292"/>
      <c r="C42" s="294"/>
      <c r="D42" s="317"/>
      <c r="E42" s="315"/>
      <c r="F42" s="274"/>
      <c r="G42" s="274"/>
      <c r="H42" s="316"/>
      <c r="I42" s="276"/>
    </row>
    <row r="43" spans="2:9" x14ac:dyDescent="0.25">
      <c r="B43" s="292"/>
      <c r="C43" s="294"/>
      <c r="D43" s="317"/>
      <c r="E43" s="315"/>
      <c r="F43" s="274"/>
      <c r="G43" s="274"/>
      <c r="H43" s="316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740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1464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++G50*I47</f>
        <v>292.8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73.2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73.2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439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1903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2">
    <mergeCell ref="B15:D15"/>
    <mergeCell ref="E2:I3"/>
    <mergeCell ref="E4:I4"/>
    <mergeCell ref="B10:D10"/>
    <mergeCell ref="B11:D11"/>
    <mergeCell ref="B14:D14"/>
    <mergeCell ref="F60:I60"/>
    <mergeCell ref="F61:I61"/>
    <mergeCell ref="B16:D16"/>
    <mergeCell ref="B17:D17"/>
    <mergeCell ref="B18:D18"/>
    <mergeCell ref="B21:D21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1"/>
  <sheetViews>
    <sheetView view="pageBreakPreview" topLeftCell="A40" zoomScaleNormal="100" zoomScaleSheetLayoutView="100" workbookViewId="0">
      <selection activeCell="G12" sqref="G12"/>
    </sheetView>
  </sheetViews>
  <sheetFormatPr baseColWidth="10" defaultRowHeight="15" x14ac:dyDescent="0.25"/>
  <sheetData>
    <row r="1" spans="2:9" ht="15.75" thickBot="1" x14ac:dyDescent="0.3"/>
    <row r="2" spans="2:9" ht="36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3.2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>
        <v>201</v>
      </c>
    </row>
    <row r="7" spans="2:9" x14ac:dyDescent="0.25">
      <c r="B7" s="255" t="s">
        <v>545</v>
      </c>
      <c r="C7" s="554" t="str">
        <f>+P.Detall!E15</f>
        <v>DEMOLICIÓN DE ESTRUCTURAS</v>
      </c>
      <c r="D7" s="257"/>
      <c r="E7" s="256"/>
      <c r="F7" s="256"/>
      <c r="G7" s="256"/>
      <c r="H7" s="259" t="s">
        <v>546</v>
      </c>
      <c r="I7" s="554" t="str">
        <f>+P.Detall!F15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44" t="str">
        <f>+Equipo!A33</f>
        <v>COMPRESOR 125 PIES 3 CON MARTILLO</v>
      </c>
      <c r="C11" s="1545"/>
      <c r="D11" s="1546"/>
      <c r="E11" s="272"/>
      <c r="F11" s="273">
        <f>+Equipo!C33</f>
        <v>80096</v>
      </c>
      <c r="G11" s="274">
        <v>1.75</v>
      </c>
      <c r="H11" s="275">
        <f>+F11/G11</f>
        <v>45769.142857142855</v>
      </c>
      <c r="I11" s="276"/>
    </row>
    <row r="12" spans="2:9" x14ac:dyDescent="0.25">
      <c r="B12" s="1544" t="str">
        <f>+Equipo!A41</f>
        <v>EQUIPO DE OXICORTE</v>
      </c>
      <c r="C12" s="1545"/>
      <c r="D12" s="1546"/>
      <c r="E12" s="272"/>
      <c r="F12" s="273">
        <f>+Equipo!C41</f>
        <v>16067</v>
      </c>
      <c r="G12" s="274">
        <f>+G11</f>
        <v>1.75</v>
      </c>
      <c r="H12" s="275">
        <f>+F12/G12</f>
        <v>9181.1428571428569</v>
      </c>
      <c r="I12" s="276"/>
    </row>
    <row r="13" spans="2:9" x14ac:dyDescent="0.25">
      <c r="B13" s="1544" t="str">
        <f>+Equipo!A22</f>
        <v>CARGADOR 930 O EQUIVALENTE</v>
      </c>
      <c r="C13" s="1545"/>
      <c r="D13" s="1546"/>
      <c r="E13" s="272"/>
      <c r="F13" s="273">
        <f>+Equipo!C22</f>
        <v>113740</v>
      </c>
      <c r="G13" s="274">
        <v>10</v>
      </c>
      <c r="H13" s="275">
        <f>+F13/G13</f>
        <v>11374</v>
      </c>
      <c r="I13" s="276"/>
    </row>
    <row r="14" spans="2:9" x14ac:dyDescent="0.25">
      <c r="B14" s="1544" t="s">
        <v>553</v>
      </c>
      <c r="C14" s="1545"/>
      <c r="D14" s="1546"/>
      <c r="E14" s="272"/>
      <c r="F14" s="273"/>
      <c r="G14" s="274"/>
      <c r="H14" s="275">
        <f>+I45*0.1</f>
        <v>2142</v>
      </c>
      <c r="I14" s="276"/>
    </row>
    <row r="15" spans="2:9" x14ac:dyDescent="0.25">
      <c r="B15" s="269"/>
      <c r="C15" s="270"/>
      <c r="D15" s="271"/>
      <c r="E15" s="280"/>
      <c r="F15" s="273"/>
      <c r="G15" s="274"/>
      <c r="H15" s="275"/>
      <c r="I15" s="276"/>
    </row>
    <row r="16" spans="2:9" x14ac:dyDescent="0.25">
      <c r="B16" s="1544"/>
      <c r="C16" s="1545"/>
      <c r="D16" s="1546"/>
      <c r="E16" s="272"/>
      <c r="F16" s="27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68466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264" t="s">
        <v>548</v>
      </c>
      <c r="C21" s="267"/>
      <c r="D21" s="325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/>
      <c r="C22" s="293"/>
      <c r="D22" s="294"/>
      <c r="E22" s="272"/>
      <c r="F22" s="273"/>
      <c r="G22" s="282"/>
      <c r="H22" s="275"/>
      <c r="I22" s="276"/>
    </row>
    <row r="23" spans="2:9" x14ac:dyDescent="0.25">
      <c r="B23" s="292"/>
      <c r="C23" s="293"/>
      <c r="D23" s="294"/>
      <c r="E23" s="272"/>
      <c r="F23" s="273"/>
      <c r="G23" s="282"/>
      <c r="H23" s="275"/>
      <c r="I23" s="276"/>
    </row>
    <row r="24" spans="2:9" x14ac:dyDescent="0.25">
      <c r="B24" s="292"/>
      <c r="C24" s="293"/>
      <c r="D24" s="294"/>
      <c r="E24" s="272"/>
      <c r="F24" s="273"/>
      <c r="G24" s="282"/>
      <c r="H24" s="275"/>
      <c r="I24" s="276"/>
    </row>
    <row r="25" spans="2:9" x14ac:dyDescent="0.25">
      <c r="B25" s="292"/>
      <c r="C25" s="293"/>
      <c r="D25" s="294"/>
      <c r="E25" s="272"/>
      <c r="F25" s="273"/>
      <c r="G25" s="282"/>
      <c r="H25" s="275"/>
      <c r="I25" s="276"/>
    </row>
    <row r="26" spans="2:9" x14ac:dyDescent="0.25">
      <c r="B26" s="292"/>
      <c r="C26" s="293"/>
      <c r="D26" s="294"/>
      <c r="E26" s="272"/>
      <c r="F26" s="273"/>
      <c r="G26" s="282"/>
      <c r="H26" s="275"/>
      <c r="I26" s="276"/>
    </row>
    <row r="27" spans="2:9" x14ac:dyDescent="0.25">
      <c r="B27" s="292"/>
      <c r="C27" s="293"/>
      <c r="D27" s="294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0</v>
      </c>
    </row>
    <row r="30" spans="2:9" ht="15.75" thickBot="1" x14ac:dyDescent="0.3">
      <c r="B30" s="263" t="s">
        <v>559</v>
      </c>
      <c r="C30" s="263"/>
      <c r="D30" s="262"/>
      <c r="E30" s="262"/>
      <c r="F30" s="262"/>
      <c r="G30" s="262"/>
      <c r="H30" s="262"/>
      <c r="I30" s="262"/>
    </row>
    <row r="31" spans="2:9" x14ac:dyDescent="0.25">
      <c r="B31" s="336" t="s">
        <v>560</v>
      </c>
      <c r="C31" s="265"/>
      <c r="D31" s="265" t="s">
        <v>598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292" t="s">
        <v>599</v>
      </c>
      <c r="C32" s="294"/>
      <c r="D32" s="337">
        <v>1.3</v>
      </c>
      <c r="E32" s="309">
        <f>+'200.2'!E32</f>
        <v>1</v>
      </c>
      <c r="F32" s="307">
        <f>+D32*E32</f>
        <v>1.3</v>
      </c>
      <c r="G32" s="308">
        <f>Equipo!C90</f>
        <v>1241</v>
      </c>
      <c r="H32" s="274">
        <v>3309.35</v>
      </c>
      <c r="I32" s="276"/>
    </row>
    <row r="33" spans="2:9" x14ac:dyDescent="0.25">
      <c r="B33" s="292"/>
      <c r="C33" s="294"/>
      <c r="D33" s="338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299"/>
      <c r="E35" s="299"/>
      <c r="F35" s="299"/>
      <c r="G35" s="299"/>
      <c r="H35" s="339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3309</v>
      </c>
    </row>
    <row r="37" spans="2:9" ht="15.75" thickBot="1" x14ac:dyDescent="0.3">
      <c r="B37" s="263" t="s">
        <v>566</v>
      </c>
      <c r="C37" s="263"/>
      <c r="D37" s="262"/>
      <c r="E37" s="262"/>
      <c r="F37" s="262"/>
      <c r="G37" s="262"/>
      <c r="H37" s="262"/>
      <c r="I37" s="262"/>
    </row>
    <row r="38" spans="2:9" x14ac:dyDescent="0.25">
      <c r="B38" s="336" t="s">
        <v>567</v>
      </c>
      <c r="C38" s="265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3</v>
      </c>
      <c r="D39" s="314">
        <f>+MdeObra!C21*C39</f>
        <v>97257</v>
      </c>
      <c r="E39" s="315">
        <f>+MdeObra!C10</f>
        <v>1.85</v>
      </c>
      <c r="F39" s="273">
        <f>+D39*E39</f>
        <v>179925.45</v>
      </c>
      <c r="G39" s="274">
        <f>+G11*8</f>
        <v>14</v>
      </c>
      <c r="H39" s="316">
        <f>+F39/G39</f>
        <v>12851.817857142858</v>
      </c>
      <c r="I39" s="276"/>
    </row>
    <row r="40" spans="2:9" x14ac:dyDescent="0.25">
      <c r="B40" s="292" t="str">
        <f>+MdeObra!A22</f>
        <v>OFICIAL</v>
      </c>
      <c r="C40" s="313">
        <v>1</v>
      </c>
      <c r="D40" s="314">
        <f>+MdeObra!C22</f>
        <v>64837</v>
      </c>
      <c r="E40" s="315">
        <f>+MdeObra!C10</f>
        <v>1.85</v>
      </c>
      <c r="F40" s="273">
        <f>+E40*D40</f>
        <v>119948.45000000001</v>
      </c>
      <c r="G40" s="274">
        <f>G39</f>
        <v>14</v>
      </c>
      <c r="H40" s="316">
        <f>+F40/G40</f>
        <v>8567.7464285714286</v>
      </c>
      <c r="I40" s="276"/>
    </row>
    <row r="41" spans="2:9" x14ac:dyDescent="0.25">
      <c r="B41" s="292"/>
      <c r="C41" s="294"/>
      <c r="D41" s="317"/>
      <c r="E41" s="315"/>
      <c r="F41" s="273"/>
      <c r="G41" s="274"/>
      <c r="H41" s="275"/>
      <c r="I41" s="276"/>
    </row>
    <row r="42" spans="2:9" x14ac:dyDescent="0.25">
      <c r="B42" s="292"/>
      <c r="C42" s="294"/>
      <c r="D42" s="340"/>
      <c r="E42" s="272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9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21420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93195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10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10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18639</v>
      </c>
      <c r="I50" s="330"/>
    </row>
    <row r="51" spans="2:10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4659.75</v>
      </c>
      <c r="I51" s="330"/>
    </row>
    <row r="52" spans="2:10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4659.75</v>
      </c>
      <c r="I52" s="289"/>
    </row>
    <row r="53" spans="2:10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27959</v>
      </c>
    </row>
    <row r="54" spans="2:10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10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121154</v>
      </c>
      <c r="J55" s="756"/>
    </row>
    <row r="56" spans="2:10" ht="15.75" thickTop="1" x14ac:dyDescent="0.25"/>
    <row r="59" spans="2:10" hidden="1" x14ac:dyDescent="0.25"/>
    <row r="60" spans="2:10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10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2">
    <mergeCell ref="B13:D13"/>
    <mergeCell ref="E2:I3"/>
    <mergeCell ref="E4:I4"/>
    <mergeCell ref="B10:D10"/>
    <mergeCell ref="B11:D11"/>
    <mergeCell ref="B12:D12"/>
    <mergeCell ref="F60:I60"/>
    <mergeCell ref="F61:I61"/>
    <mergeCell ref="B14:D14"/>
    <mergeCell ref="B16:D16"/>
    <mergeCell ref="B17:D17"/>
    <mergeCell ref="B18:D18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G1" sqref="G1"/>
    </sheetView>
  </sheetViews>
  <sheetFormatPr baseColWidth="10" defaultRowHeight="15" x14ac:dyDescent="0.25"/>
  <sheetData>
    <row r="1" spans="2:9" ht="15.75" thickBot="1" x14ac:dyDescent="0.3"/>
    <row r="2" spans="2:9" ht="31.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4.7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>
        <v>215</v>
      </c>
    </row>
    <row r="7" spans="2:9" x14ac:dyDescent="0.25">
      <c r="B7" s="255" t="s">
        <v>545</v>
      </c>
      <c r="C7" s="554" t="str">
        <f>+P.Detall!E16</f>
        <v>REMOSIÓN DE ALCANTARILLAS</v>
      </c>
      <c r="D7" s="257"/>
      <c r="E7" s="256"/>
      <c r="F7" s="256"/>
      <c r="G7" s="256"/>
      <c r="H7" s="259" t="s">
        <v>546</v>
      </c>
      <c r="I7" s="554" t="str">
        <f>+P.Detall!F16</f>
        <v>ML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44" t="str">
        <f>+Equipo!A81</f>
        <v>RETROEXCAVADORA CAP. 1.5 YD³ SOBRE ORUGA</v>
      </c>
      <c r="C11" s="1545"/>
      <c r="D11" s="1546"/>
      <c r="E11" s="272"/>
      <c r="F11" s="273">
        <f>+Equipo!C81</f>
        <v>124080</v>
      </c>
      <c r="G11" s="274">
        <v>6</v>
      </c>
      <c r="H11" s="275">
        <f>+F11/G11</f>
        <v>20680</v>
      </c>
      <c r="I11" s="276"/>
    </row>
    <row r="12" spans="2:9" x14ac:dyDescent="0.25">
      <c r="B12" s="1544" t="s">
        <v>600</v>
      </c>
      <c r="C12" s="1545"/>
      <c r="D12" s="1546"/>
      <c r="E12" s="272"/>
      <c r="F12" s="273"/>
      <c r="G12" s="274"/>
      <c r="H12" s="275">
        <f>+I45*0.02</f>
        <v>137.08000000000001</v>
      </c>
      <c r="I12" s="276"/>
    </row>
    <row r="13" spans="2:9" x14ac:dyDescent="0.25">
      <c r="B13" s="1544"/>
      <c r="C13" s="1545"/>
      <c r="D13" s="1546"/>
      <c r="E13" s="272"/>
      <c r="F13" s="273"/>
      <c r="G13" s="274"/>
      <c r="H13" s="275"/>
      <c r="I13" s="276"/>
    </row>
    <row r="14" spans="2:9" x14ac:dyDescent="0.25">
      <c r="B14" s="1544"/>
      <c r="C14" s="1545"/>
      <c r="D14" s="1546"/>
      <c r="E14" s="272"/>
      <c r="F14" s="273"/>
      <c r="G14" s="274"/>
      <c r="H14" s="275"/>
      <c r="I14" s="276"/>
    </row>
    <row r="15" spans="2:9" x14ac:dyDescent="0.25">
      <c r="B15" s="269"/>
      <c r="C15" s="270"/>
      <c r="D15" s="271"/>
      <c r="E15" s="280"/>
      <c r="F15" s="283"/>
      <c r="G15" s="274"/>
      <c r="H15" s="275"/>
      <c r="I15" s="276"/>
    </row>
    <row r="16" spans="2:9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20817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/>
      <c r="C22" s="293"/>
      <c r="D22" s="294"/>
      <c r="E22" s="272"/>
      <c r="F22" s="273"/>
      <c r="G22" s="274"/>
      <c r="H22" s="275"/>
      <c r="I22" s="276"/>
    </row>
    <row r="23" spans="2:9" x14ac:dyDescent="0.25">
      <c r="B23" s="292"/>
      <c r="C23" s="293"/>
      <c r="D23" s="294"/>
      <c r="E23" s="272"/>
      <c r="F23" s="273"/>
      <c r="G23" s="274"/>
      <c r="H23" s="275"/>
      <c r="I23" s="276"/>
    </row>
    <row r="24" spans="2:9" x14ac:dyDescent="0.25">
      <c r="B24" s="292"/>
      <c r="C24" s="293"/>
      <c r="D24" s="294"/>
      <c r="E24" s="272"/>
      <c r="F24" s="273"/>
      <c r="G24" s="274"/>
      <c r="H24" s="275"/>
      <c r="I24" s="276"/>
    </row>
    <row r="25" spans="2:9" x14ac:dyDescent="0.25">
      <c r="B25" s="292"/>
      <c r="C25" s="293"/>
      <c r="D25" s="294"/>
      <c r="E25" s="272"/>
      <c r="F25" s="273"/>
      <c r="G25" s="274"/>
      <c r="H25" s="275"/>
      <c r="I25" s="276"/>
    </row>
    <row r="26" spans="2:9" x14ac:dyDescent="0.25">
      <c r="B26" s="292"/>
      <c r="C26" s="293"/>
      <c r="D26" s="294"/>
      <c r="E26" s="272"/>
      <c r="F26" s="273"/>
      <c r="G26" s="274"/>
      <c r="H26" s="275"/>
      <c r="I26" s="276"/>
    </row>
    <row r="27" spans="2:9" x14ac:dyDescent="0.25">
      <c r="B27" s="1555"/>
      <c r="C27" s="1556"/>
      <c r="D27" s="1557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0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1553" t="s">
        <v>601</v>
      </c>
      <c r="C32" s="1554"/>
      <c r="D32" s="306">
        <v>1.3</v>
      </c>
      <c r="E32" s="309">
        <f>+'200.2'!E32</f>
        <v>1</v>
      </c>
      <c r="F32" s="307">
        <f>+E32*D32</f>
        <v>1.3</v>
      </c>
      <c r="G32" s="308">
        <f>+Equipo!C90</f>
        <v>1241</v>
      </c>
      <c r="H32" s="274">
        <f>+G32*F32</f>
        <v>1613.3</v>
      </c>
      <c r="I32" s="276"/>
    </row>
    <row r="33" spans="2:9" x14ac:dyDescent="0.25">
      <c r="B33" s="1553"/>
      <c r="C33" s="155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1613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v>35</v>
      </c>
      <c r="H39" s="316">
        <f>+F39/G39</f>
        <v>3427.1514285714288</v>
      </c>
      <c r="I39" s="276"/>
    </row>
    <row r="40" spans="2:9" x14ac:dyDescent="0.25">
      <c r="B40" s="292" t="str">
        <f>+MdeObra!A22</f>
        <v>OFICIAL</v>
      </c>
      <c r="C40" s="313">
        <v>1</v>
      </c>
      <c r="D40" s="314">
        <f>+MdeObra!C22</f>
        <v>64837</v>
      </c>
      <c r="E40" s="315">
        <f>+MdeObra!C10</f>
        <v>1.85</v>
      </c>
      <c r="F40" s="273">
        <f>+E40*D40</f>
        <v>119948.45000000001</v>
      </c>
      <c r="G40" s="274">
        <f>G39</f>
        <v>35</v>
      </c>
      <c r="H40" s="316">
        <f>+F40/G40</f>
        <v>3427.0985714285716</v>
      </c>
      <c r="I40" s="276"/>
    </row>
    <row r="41" spans="2:9" x14ac:dyDescent="0.25">
      <c r="B41" s="292"/>
      <c r="C41" s="313"/>
      <c r="D41" s="314"/>
      <c r="E41" s="315"/>
      <c r="F41" s="273"/>
      <c r="G41" s="274"/>
      <c r="H41" s="316"/>
      <c r="I41" s="276"/>
    </row>
    <row r="42" spans="2:9" x14ac:dyDescent="0.25">
      <c r="B42" s="292"/>
      <c r="C42" s="294"/>
      <c r="D42" s="340"/>
      <c r="E42" s="272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6854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29284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5856.8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1464.2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1464.2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8785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38069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5">
    <mergeCell ref="B13:D13"/>
    <mergeCell ref="E2:I3"/>
    <mergeCell ref="E4:I4"/>
    <mergeCell ref="B10:D10"/>
    <mergeCell ref="B11:D11"/>
    <mergeCell ref="B12:D12"/>
    <mergeCell ref="F60:I60"/>
    <mergeCell ref="F61:I61"/>
    <mergeCell ref="B33:C33"/>
    <mergeCell ref="B14:D14"/>
    <mergeCell ref="B17:D17"/>
    <mergeCell ref="B18:D18"/>
    <mergeCell ref="B21:D21"/>
    <mergeCell ref="B27:D27"/>
    <mergeCell ref="B32:C32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3" zoomScale="90" zoomScaleNormal="100" zoomScaleSheetLayoutView="90" workbookViewId="0">
      <selection activeCell="F7" sqref="F7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3.2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19</v>
      </c>
    </row>
    <row r="7" spans="2:9" x14ac:dyDescent="0.25">
      <c r="B7" s="255" t="s">
        <v>545</v>
      </c>
      <c r="C7" s="554" t="str">
        <f>+P.Detall!E17</f>
        <v>EXCAVACION SIN CLASIFICAR DE LA EXPLANACIÓN Y CANALES</v>
      </c>
      <c r="D7" s="257"/>
      <c r="E7" s="256"/>
      <c r="F7" s="256"/>
      <c r="G7" s="256"/>
      <c r="H7" s="259" t="s">
        <v>546</v>
      </c>
      <c r="I7" s="554" t="str">
        <f>+P.Detall!F17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5" t="s">
        <v>550</v>
      </c>
      <c r="G10" s="265" t="s">
        <v>551</v>
      </c>
      <c r="H10" s="305" t="s">
        <v>552</v>
      </c>
      <c r="I10" s="341"/>
    </row>
    <row r="11" spans="2:9" x14ac:dyDescent="0.25">
      <c r="B11" s="1544" t="str">
        <f>+Equipo!A81</f>
        <v>RETROEXCAVADORA CAP. 1.5 YD³ SOBRE ORUGA</v>
      </c>
      <c r="C11" s="1545"/>
      <c r="D11" s="1546"/>
      <c r="E11" s="272"/>
      <c r="F11" s="273">
        <f>+Equipo!C81</f>
        <v>124080</v>
      </c>
      <c r="G11" s="274">
        <v>12</v>
      </c>
      <c r="H11" s="275">
        <f>+F11/G11</f>
        <v>10340</v>
      </c>
      <c r="I11" s="276"/>
    </row>
    <row r="12" spans="2:9" x14ac:dyDescent="0.25">
      <c r="B12" s="1544" t="s">
        <v>602</v>
      </c>
      <c r="C12" s="1545"/>
      <c r="D12" s="1546"/>
      <c r="E12" s="272"/>
      <c r="F12" s="273"/>
      <c r="G12" s="274"/>
      <c r="H12" s="275">
        <f>+I45*0.01</f>
        <v>18.23</v>
      </c>
      <c r="I12" s="276"/>
    </row>
    <row r="13" spans="2:9" x14ac:dyDescent="0.25">
      <c r="B13" s="1544"/>
      <c r="C13" s="1545"/>
      <c r="D13" s="1546"/>
      <c r="E13" s="272"/>
      <c r="F13" s="273"/>
      <c r="G13" s="274"/>
      <c r="H13" s="316"/>
      <c r="I13" s="342"/>
    </row>
    <row r="14" spans="2:9" x14ac:dyDescent="0.25">
      <c r="B14" s="269"/>
      <c r="C14" s="270"/>
      <c r="D14" s="271"/>
      <c r="E14" s="272"/>
      <c r="F14" s="273"/>
      <c r="G14" s="274"/>
      <c r="H14" s="316"/>
      <c r="I14" s="342"/>
    </row>
    <row r="15" spans="2:9" x14ac:dyDescent="0.25">
      <c r="B15" s="269"/>
      <c r="C15" s="270"/>
      <c r="D15" s="271"/>
      <c r="E15" s="272"/>
      <c r="F15" s="273"/>
      <c r="G15" s="274"/>
      <c r="H15" s="316"/>
      <c r="I15" s="342"/>
    </row>
    <row r="16" spans="2:9" x14ac:dyDescent="0.25">
      <c r="B16" s="1544"/>
      <c r="C16" s="1545"/>
      <c r="D16" s="1546"/>
      <c r="E16" s="272"/>
      <c r="F16" s="273"/>
      <c r="G16" s="274"/>
      <c r="H16" s="316"/>
      <c r="I16" s="342"/>
    </row>
    <row r="17" spans="2:9" x14ac:dyDescent="0.25">
      <c r="B17" s="1544"/>
      <c r="C17" s="1545"/>
      <c r="D17" s="1546"/>
      <c r="E17" s="280"/>
      <c r="F17" s="283"/>
      <c r="G17" s="274"/>
      <c r="H17" s="316"/>
      <c r="I17" s="342"/>
    </row>
    <row r="18" spans="2:9" ht="15.75" thickBot="1" x14ac:dyDescent="0.3">
      <c r="B18" s="1547"/>
      <c r="C18" s="1548"/>
      <c r="D18" s="1549"/>
      <c r="E18" s="285"/>
      <c r="F18" s="286"/>
      <c r="G18" s="287"/>
      <c r="H18" s="343"/>
      <c r="I18" s="344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10358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264" t="s">
        <v>548</v>
      </c>
      <c r="C21" s="267"/>
      <c r="D21" s="325"/>
      <c r="E21" s="265" t="s">
        <v>556</v>
      </c>
      <c r="F21" s="265" t="s">
        <v>557</v>
      </c>
      <c r="G21" s="265" t="s">
        <v>558</v>
      </c>
      <c r="H21" s="305" t="s">
        <v>552</v>
      </c>
      <c r="I21" s="341"/>
    </row>
    <row r="22" spans="2:9" x14ac:dyDescent="0.25">
      <c r="B22" s="292"/>
      <c r="C22" s="293"/>
      <c r="D22" s="294"/>
      <c r="E22" s="272"/>
      <c r="F22" s="273"/>
      <c r="G22" s="282"/>
      <c r="H22" s="316"/>
      <c r="I22" s="342"/>
    </row>
    <row r="23" spans="2:9" x14ac:dyDescent="0.25">
      <c r="B23" s="292"/>
      <c r="C23" s="293"/>
      <c r="D23" s="294"/>
      <c r="E23" s="272"/>
      <c r="F23" s="273"/>
      <c r="G23" s="282"/>
      <c r="H23" s="316"/>
      <c r="I23" s="342"/>
    </row>
    <row r="24" spans="2:9" x14ac:dyDescent="0.25">
      <c r="B24" s="292"/>
      <c r="C24" s="293"/>
      <c r="D24" s="294"/>
      <c r="E24" s="272"/>
      <c r="F24" s="273"/>
      <c r="G24" s="282"/>
      <c r="H24" s="316"/>
      <c r="I24" s="342"/>
    </row>
    <row r="25" spans="2:9" x14ac:dyDescent="0.25">
      <c r="B25" s="292"/>
      <c r="C25" s="293"/>
      <c r="D25" s="294"/>
      <c r="E25" s="272"/>
      <c r="F25" s="273"/>
      <c r="G25" s="282"/>
      <c r="H25" s="316"/>
      <c r="I25" s="342"/>
    </row>
    <row r="26" spans="2:9" x14ac:dyDescent="0.25">
      <c r="B26" s="292"/>
      <c r="C26" s="293"/>
      <c r="D26" s="294"/>
      <c r="E26" s="272"/>
      <c r="F26" s="273"/>
      <c r="G26" s="282"/>
      <c r="H26" s="316"/>
      <c r="I26" s="342"/>
    </row>
    <row r="27" spans="2:9" x14ac:dyDescent="0.25">
      <c r="B27" s="292"/>
      <c r="C27" s="293"/>
      <c r="D27" s="294"/>
      <c r="E27" s="272"/>
      <c r="F27" s="273"/>
      <c r="G27" s="282"/>
      <c r="H27" s="316"/>
      <c r="I27" s="342"/>
    </row>
    <row r="28" spans="2:9" ht="15.75" thickBot="1" x14ac:dyDescent="0.3">
      <c r="B28" s="297"/>
      <c r="C28" s="298"/>
      <c r="D28" s="299"/>
      <c r="E28" s="285"/>
      <c r="F28" s="286"/>
      <c r="G28" s="287"/>
      <c r="H28" s="343"/>
      <c r="I28" s="344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0</v>
      </c>
    </row>
    <row r="30" spans="2:9" ht="15.75" thickBot="1" x14ac:dyDescent="0.3">
      <c r="B30" s="263" t="s">
        <v>559</v>
      </c>
      <c r="C30" s="263"/>
      <c r="D30" s="262"/>
      <c r="E30" s="262"/>
      <c r="F30" s="262"/>
      <c r="G30" s="262"/>
      <c r="H30" s="262"/>
      <c r="I30" s="262"/>
    </row>
    <row r="31" spans="2:9" x14ac:dyDescent="0.25">
      <c r="B31" s="264" t="s">
        <v>560</v>
      </c>
      <c r="C31" s="265"/>
      <c r="D31" s="325" t="s">
        <v>598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292"/>
      <c r="C32" s="294"/>
      <c r="D32" s="306"/>
      <c r="E32" s="307"/>
      <c r="F32" s="310"/>
      <c r="G32" s="308"/>
      <c r="H32" s="274"/>
      <c r="I32" s="276"/>
    </row>
    <row r="33" spans="2:9" x14ac:dyDescent="0.25">
      <c r="B33" s="292"/>
      <c r="C33" s="294"/>
      <c r="D33" s="345"/>
      <c r="E33" s="307"/>
      <c r="F33" s="310"/>
      <c r="G33" s="274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299"/>
      <c r="E35" s="299"/>
      <c r="F35" s="299"/>
      <c r="G35" s="299"/>
      <c r="H35" s="339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0</v>
      </c>
    </row>
    <row r="37" spans="2:9" ht="15.75" thickBot="1" x14ac:dyDescent="0.3">
      <c r="B37" s="263" t="s">
        <v>566</v>
      </c>
      <c r="C37" s="263"/>
      <c r="D37" s="262"/>
      <c r="E37" s="262"/>
      <c r="F37" s="262"/>
      <c r="G37" s="262"/>
      <c r="H37" s="262"/>
      <c r="I37" s="262"/>
    </row>
    <row r="38" spans="2:9" x14ac:dyDescent="0.25">
      <c r="B38" s="264" t="s">
        <v>567</v>
      </c>
      <c r="C38" s="265"/>
      <c r="D38" s="265" t="s">
        <v>568</v>
      </c>
      <c r="E38" s="265" t="s">
        <v>569</v>
      </c>
      <c r="F38" s="266" t="s">
        <v>570</v>
      </c>
      <c r="G38" s="312" t="s">
        <v>551</v>
      </c>
      <c r="H38" s="305" t="s">
        <v>552</v>
      </c>
      <c r="I38" s="341"/>
    </row>
    <row r="39" spans="2:9" x14ac:dyDescent="0.25">
      <c r="B39" s="292" t="str">
        <f>+MdeObra!A21</f>
        <v>OBREROS</v>
      </c>
      <c r="C39" s="313">
        <v>1</v>
      </c>
      <c r="D39" s="314">
        <f>+MdeObra!C21</f>
        <v>32419</v>
      </c>
      <c r="E39" s="315">
        <f>+MdeObra!C10</f>
        <v>1.85</v>
      </c>
      <c r="F39" s="273">
        <f>+D39*E39</f>
        <v>59975.15</v>
      </c>
      <c r="G39" s="274">
        <f>+G11*8</f>
        <v>96</v>
      </c>
      <c r="H39" s="316">
        <f>+F39/G39</f>
        <v>624.74114583333335</v>
      </c>
      <c r="I39" s="276"/>
    </row>
    <row r="40" spans="2:9" x14ac:dyDescent="0.25">
      <c r="B40" s="292" t="str">
        <f>+MdeObra!A24</f>
        <v>PALETEROS</v>
      </c>
      <c r="C40" s="313">
        <v>2</v>
      </c>
      <c r="D40" s="314">
        <f>+MdeObra!C24*C40</f>
        <v>62176</v>
      </c>
      <c r="E40" s="315">
        <f>+MdeObra!C10</f>
        <v>1.85</v>
      </c>
      <c r="F40" s="273">
        <f>+D40*E40</f>
        <v>115025.60000000001</v>
      </c>
      <c r="G40" s="274">
        <f>+G39</f>
        <v>96</v>
      </c>
      <c r="H40" s="316">
        <f>+F40/G40</f>
        <v>1198.1833333333334</v>
      </c>
      <c r="I40" s="276"/>
    </row>
    <row r="41" spans="2:9" x14ac:dyDescent="0.25">
      <c r="B41" s="292"/>
      <c r="C41" s="294"/>
      <c r="D41" s="340"/>
      <c r="E41" s="315"/>
      <c r="F41" s="273"/>
      <c r="G41" s="274"/>
      <c r="H41" s="316"/>
      <c r="I41" s="342"/>
    </row>
    <row r="42" spans="2:9" x14ac:dyDescent="0.25">
      <c r="B42" s="292"/>
      <c r="C42" s="294"/>
      <c r="D42" s="340"/>
      <c r="E42" s="272"/>
      <c r="F42" s="273"/>
      <c r="G42" s="274"/>
      <c r="H42" s="316"/>
      <c r="I42" s="342"/>
    </row>
    <row r="43" spans="2:9" x14ac:dyDescent="0.25">
      <c r="B43" s="292"/>
      <c r="C43" s="294"/>
      <c r="D43" s="340"/>
      <c r="E43" s="272"/>
      <c r="F43" s="273"/>
      <c r="G43" s="274"/>
      <c r="H43" s="316"/>
      <c r="I43" s="342"/>
    </row>
    <row r="44" spans="2:9" ht="15.75" thickBot="1" x14ac:dyDescent="0.3">
      <c r="B44" s="297"/>
      <c r="C44" s="299"/>
      <c r="D44" s="319"/>
      <c r="E44" s="319"/>
      <c r="F44" s="319"/>
      <c r="G44" s="319"/>
      <c r="H44" s="344"/>
      <c r="I44" s="344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1823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12181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2436.2000000000003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609.05000000000007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609.05000000000007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3654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15835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1">
    <mergeCell ref="B13:D13"/>
    <mergeCell ref="E2:I3"/>
    <mergeCell ref="E4:I4"/>
    <mergeCell ref="B10:D10"/>
    <mergeCell ref="B11:D11"/>
    <mergeCell ref="B12:D12"/>
    <mergeCell ref="F60:I60"/>
    <mergeCell ref="F61:I61"/>
    <mergeCell ref="B16:D16"/>
    <mergeCell ref="B17:D17"/>
    <mergeCell ref="B18:D18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0" zoomScaleNormal="100" zoomScaleSheetLayoutView="100" workbookViewId="0">
      <selection activeCell="H32" sqref="H32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2.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20</v>
      </c>
    </row>
    <row r="7" spans="2:9" x14ac:dyDescent="0.25">
      <c r="B7" s="255" t="s">
        <v>545</v>
      </c>
      <c r="C7" s="554" t="str">
        <f>+P.Detall!E18</f>
        <v>EXCAVACION EN ROCA DE LA EXPLANACION Y CANALES</v>
      </c>
      <c r="D7" s="257"/>
      <c r="E7" s="256"/>
      <c r="F7" s="256"/>
      <c r="G7" s="256"/>
      <c r="H7" s="259" t="s">
        <v>546</v>
      </c>
      <c r="I7" s="554" t="str">
        <f>+P.Detall!F18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44" t="str">
        <f>+Equipo!A81</f>
        <v>RETROEXCAVADORA CAP. 1.5 YD³ SOBRE ORUGA</v>
      </c>
      <c r="C11" s="1545"/>
      <c r="D11" s="1546"/>
      <c r="E11" s="272"/>
      <c r="F11" s="273">
        <f>+Equipo!C81</f>
        <v>124080</v>
      </c>
      <c r="G11" s="274">
        <v>15</v>
      </c>
      <c r="H11" s="275">
        <f>+F11/G11</f>
        <v>8272</v>
      </c>
      <c r="I11" s="276"/>
    </row>
    <row r="12" spans="2:9" x14ac:dyDescent="0.25">
      <c r="B12" s="1544" t="str">
        <f>+Equipo!A33</f>
        <v>COMPRESOR 125 PIES 3 CON MARTILLO</v>
      </c>
      <c r="C12" s="1545"/>
      <c r="D12" s="1546"/>
      <c r="E12" s="272"/>
      <c r="F12" s="273">
        <f>+Equipo!C33</f>
        <v>80096</v>
      </c>
      <c r="G12" s="274">
        <v>15</v>
      </c>
      <c r="H12" s="275">
        <f>+F12/G12</f>
        <v>5339.7333333333336</v>
      </c>
      <c r="I12" s="276"/>
    </row>
    <row r="13" spans="2:9" x14ac:dyDescent="0.25">
      <c r="B13" s="1544" t="str">
        <f>+Equipo!A42</f>
        <v>EQUIPO DE PERFORACIÓN (TRACKDRILL)</v>
      </c>
      <c r="C13" s="1545"/>
      <c r="D13" s="1546"/>
      <c r="E13" s="272"/>
      <c r="F13" s="273">
        <f>+Equipo!C42</f>
        <v>124080</v>
      </c>
      <c r="G13" s="274">
        <v>15</v>
      </c>
      <c r="H13" s="275">
        <f>+F13/G13</f>
        <v>8272</v>
      </c>
      <c r="I13" s="276"/>
    </row>
    <row r="14" spans="2:9" x14ac:dyDescent="0.25">
      <c r="B14" s="1544" t="s">
        <v>600</v>
      </c>
      <c r="C14" s="1545"/>
      <c r="D14" s="1546"/>
      <c r="E14" s="272"/>
      <c r="F14" s="273"/>
      <c r="G14" s="274"/>
      <c r="H14" s="275">
        <f>+I45*0.02</f>
        <v>63.160000000000004</v>
      </c>
      <c r="I14" s="276"/>
    </row>
    <row r="15" spans="2:9" x14ac:dyDescent="0.25">
      <c r="B15" s="269"/>
      <c r="C15" s="270"/>
      <c r="D15" s="271"/>
      <c r="E15" s="280"/>
      <c r="F15" s="283"/>
      <c r="G15" s="274"/>
      <c r="H15" s="275"/>
      <c r="I15" s="276"/>
    </row>
    <row r="16" spans="2:9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21947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tr">
        <f>+Materiales!A63</f>
        <v>CORDÓN DETONANTE</v>
      </c>
      <c r="C22" s="293"/>
      <c r="D22" s="294"/>
      <c r="E22" s="272" t="s">
        <v>15</v>
      </c>
      <c r="F22" s="273">
        <f>+Materiales!C63</f>
        <v>1804</v>
      </c>
      <c r="G22" s="274">
        <v>2</v>
      </c>
      <c r="H22" s="275">
        <f>F22*G22</f>
        <v>3608</v>
      </c>
      <c r="I22" s="276"/>
    </row>
    <row r="23" spans="2:9" x14ac:dyDescent="0.25">
      <c r="B23" s="292" t="str">
        <f>+Materiales!A80</f>
        <v>EXPLOSIVOS  75% (INDUGEL)</v>
      </c>
      <c r="C23" s="293"/>
      <c r="D23" s="294"/>
      <c r="E23" s="272" t="s">
        <v>423</v>
      </c>
      <c r="F23" s="273">
        <f>+Materiales!C80</f>
        <v>17527</v>
      </c>
      <c r="G23" s="274">
        <v>0.25</v>
      </c>
      <c r="H23" s="275">
        <f>F23*G23</f>
        <v>4381.75</v>
      </c>
      <c r="I23" s="276"/>
    </row>
    <row r="24" spans="2:9" x14ac:dyDescent="0.25">
      <c r="B24" s="292" t="str">
        <f>+Materiales!A85</f>
        <v>FULMINANTES</v>
      </c>
      <c r="C24" s="293"/>
      <c r="D24" s="294"/>
      <c r="E24" s="272" t="s">
        <v>59</v>
      </c>
      <c r="F24" s="273">
        <f>+Materiales!C85</f>
        <v>1181</v>
      </c>
      <c r="G24" s="274">
        <v>0.5</v>
      </c>
      <c r="H24" s="275">
        <f>F24*G24</f>
        <v>590.5</v>
      </c>
      <c r="I24" s="276"/>
    </row>
    <row r="25" spans="2:9" x14ac:dyDescent="0.25">
      <c r="B25" s="292" t="str">
        <f>+Materiales!A113</f>
        <v>MECHA LENTA</v>
      </c>
      <c r="C25" s="293"/>
      <c r="D25" s="294"/>
      <c r="E25" s="272" t="s">
        <v>15</v>
      </c>
      <c r="F25" s="273">
        <f>+Materiales!C113</f>
        <v>1270</v>
      </c>
      <c r="G25" s="274">
        <v>0.5</v>
      </c>
      <c r="H25" s="275">
        <f>F25*G25</f>
        <v>635</v>
      </c>
      <c r="I25" s="276"/>
    </row>
    <row r="26" spans="2:9" x14ac:dyDescent="0.25">
      <c r="B26" s="292" t="s">
        <v>603</v>
      </c>
      <c r="C26" s="293"/>
      <c r="D26" s="294"/>
      <c r="E26" s="272"/>
      <c r="F26" s="273"/>
      <c r="G26" s="274"/>
      <c r="H26" s="275">
        <v>15000</v>
      </c>
      <c r="I26" s="276"/>
    </row>
    <row r="27" spans="2:9" x14ac:dyDescent="0.25">
      <c r="B27" s="1555"/>
      <c r="C27" s="1556"/>
      <c r="D27" s="1557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24215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s="743" customFormat="1" x14ac:dyDescent="0.25">
      <c r="B32" s="292"/>
      <c r="C32" s="294"/>
      <c r="D32" s="306"/>
      <c r="E32" s="307"/>
      <c r="F32" s="310"/>
      <c r="G32" s="308"/>
      <c r="H32" s="274"/>
      <c r="I32" s="276"/>
    </row>
    <row r="33" spans="2:9" x14ac:dyDescent="0.25">
      <c r="B33" s="292"/>
      <c r="C33" s="29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0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f>+G11*8</f>
        <v>120</v>
      </c>
      <c r="H39" s="316">
        <f>+F39/G39</f>
        <v>999.58583333333331</v>
      </c>
      <c r="I39" s="276"/>
    </row>
    <row r="40" spans="2:9" x14ac:dyDescent="0.25">
      <c r="B40" s="292" t="str">
        <f>+MdeObra!A24</f>
        <v>PALETEROS</v>
      </c>
      <c r="C40" s="313">
        <v>2</v>
      </c>
      <c r="D40" s="314">
        <f>+MdeObra!C24*C40</f>
        <v>62176</v>
      </c>
      <c r="E40" s="315">
        <f>+MdeObra!C10</f>
        <v>1.85</v>
      </c>
      <c r="F40" s="273">
        <f>+E40*D40</f>
        <v>115025.60000000001</v>
      </c>
      <c r="G40" s="274">
        <f>+G11*8</f>
        <v>120</v>
      </c>
      <c r="H40" s="316">
        <f>+F40/G40</f>
        <v>958.54666666666674</v>
      </c>
      <c r="I40" s="276"/>
    </row>
    <row r="41" spans="2:9" x14ac:dyDescent="0.25">
      <c r="B41" s="292" t="str">
        <f>+MdeObra!A20</f>
        <v>OFICIAL EXPERTO EN EXPLOSIVOS</v>
      </c>
      <c r="C41" s="313"/>
      <c r="D41" s="314">
        <f>+MdeObra!C20</f>
        <v>77805</v>
      </c>
      <c r="E41" s="315">
        <f>+MdeObra!C10</f>
        <v>1.85</v>
      </c>
      <c r="F41" s="273">
        <f>+E41*D41</f>
        <v>143939.25</v>
      </c>
      <c r="G41" s="274">
        <f>+G12*8</f>
        <v>120</v>
      </c>
      <c r="H41" s="316">
        <f>+F41/G41</f>
        <v>1199.4937500000001</v>
      </c>
      <c r="I41" s="276"/>
    </row>
    <row r="42" spans="2:9" x14ac:dyDescent="0.25">
      <c r="B42" s="292"/>
      <c r="C42" s="294"/>
      <c r="D42" s="340"/>
      <c r="E42" s="315">
        <f>+MdeObra!C10</f>
        <v>1.85</v>
      </c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3158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49320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9864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2466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2466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14796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64116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3">
    <mergeCell ref="B13:D13"/>
    <mergeCell ref="E2:I3"/>
    <mergeCell ref="E4:I4"/>
    <mergeCell ref="B10:D10"/>
    <mergeCell ref="B11:D11"/>
    <mergeCell ref="B12:D12"/>
    <mergeCell ref="F60:I60"/>
    <mergeCell ref="F61:I61"/>
    <mergeCell ref="B14:D14"/>
    <mergeCell ref="B17:D17"/>
    <mergeCell ref="B18:D18"/>
    <mergeCell ref="B21:D21"/>
    <mergeCell ref="B27:D27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39" zoomScaleNormal="100" zoomScaleSheetLayoutView="100" workbookViewId="0">
      <selection activeCell="D53" sqref="D53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4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604</v>
      </c>
    </row>
    <row r="7" spans="2:9" x14ac:dyDescent="0.25">
      <c r="B7" s="255" t="s">
        <v>545</v>
      </c>
      <c r="C7" s="554" t="str">
        <f>+P.Detall!E19</f>
        <v>REMOCION DE DERRUMBES</v>
      </c>
      <c r="D7" s="257"/>
      <c r="E7" s="256"/>
      <c r="F7" s="256"/>
      <c r="G7" s="256"/>
      <c r="H7" s="259" t="s">
        <v>546</v>
      </c>
      <c r="I7" s="554" t="str">
        <f>+P.Detall!F19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44" t="str">
        <f>+Equipo!A22</f>
        <v>CARGADOR 930 O EQUIVALENTE</v>
      </c>
      <c r="C11" s="1545"/>
      <c r="D11" s="1546"/>
      <c r="E11" s="272"/>
      <c r="F11" s="273">
        <f>+Equipo!C22</f>
        <v>113740</v>
      </c>
      <c r="G11" s="274">
        <v>50</v>
      </c>
      <c r="H11" s="275">
        <f>+F11/G11</f>
        <v>2274.8000000000002</v>
      </c>
      <c r="I11" s="276"/>
    </row>
    <row r="12" spans="2:9" x14ac:dyDescent="0.25">
      <c r="B12" s="1544" t="s">
        <v>600</v>
      </c>
      <c r="C12" s="1545"/>
      <c r="D12" s="1546"/>
      <c r="E12" s="272"/>
      <c r="F12" s="273"/>
      <c r="G12" s="274"/>
      <c r="H12" s="275">
        <f>+I45*0.02</f>
        <v>14.3</v>
      </c>
      <c r="I12" s="276"/>
    </row>
    <row r="13" spans="2:9" x14ac:dyDescent="0.25">
      <c r="B13" s="1544"/>
      <c r="C13" s="1545"/>
      <c r="D13" s="1546"/>
      <c r="E13" s="272"/>
      <c r="F13" s="273"/>
      <c r="G13" s="274"/>
      <c r="H13" s="275"/>
      <c r="I13" s="276"/>
    </row>
    <row r="14" spans="2:9" x14ac:dyDescent="0.25">
      <c r="B14" s="1544"/>
      <c r="C14" s="1545"/>
      <c r="D14" s="1546"/>
      <c r="E14" s="272"/>
      <c r="F14" s="273"/>
      <c r="G14" s="274"/>
      <c r="H14" s="275"/>
      <c r="I14" s="276"/>
    </row>
    <row r="15" spans="2:9" x14ac:dyDescent="0.25">
      <c r="B15" s="269"/>
      <c r="C15" s="270"/>
      <c r="D15" s="271"/>
      <c r="E15" s="280"/>
      <c r="F15" s="283"/>
      <c r="G15" s="274"/>
      <c r="H15" s="275"/>
      <c r="I15" s="276"/>
    </row>
    <row r="16" spans="2:9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2289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">
        <v>959</v>
      </c>
      <c r="C22" s="293"/>
      <c r="D22" s="294"/>
      <c r="E22" s="272" t="s">
        <v>874</v>
      </c>
      <c r="F22" s="273">
        <f>2070*1.08</f>
        <v>2235.6000000000004</v>
      </c>
      <c r="G22" s="274">
        <v>1</v>
      </c>
      <c r="H22" s="275">
        <f>F22*G22</f>
        <v>2235.6000000000004</v>
      </c>
      <c r="I22" s="276"/>
    </row>
    <row r="23" spans="2:9" x14ac:dyDescent="0.25">
      <c r="B23" s="292"/>
      <c r="C23" s="293"/>
      <c r="D23" s="294"/>
      <c r="E23" s="272"/>
      <c r="F23" s="273"/>
      <c r="G23" s="274"/>
      <c r="H23" s="275"/>
      <c r="I23" s="276"/>
    </row>
    <row r="24" spans="2:9" x14ac:dyDescent="0.25">
      <c r="B24" s="292"/>
      <c r="C24" s="293"/>
      <c r="D24" s="294"/>
      <c r="E24" s="272"/>
      <c r="F24" s="273"/>
      <c r="G24" s="274"/>
      <c r="H24" s="275"/>
      <c r="I24" s="276"/>
    </row>
    <row r="25" spans="2:9" x14ac:dyDescent="0.25">
      <c r="B25" s="292"/>
      <c r="C25" s="293"/>
      <c r="D25" s="294"/>
      <c r="E25" s="272"/>
      <c r="F25" s="273"/>
      <c r="G25" s="274"/>
      <c r="H25" s="275"/>
      <c r="I25" s="276"/>
    </row>
    <row r="26" spans="2:9" x14ac:dyDescent="0.25">
      <c r="B26" s="292"/>
      <c r="C26" s="293"/>
      <c r="D26" s="294"/>
      <c r="E26" s="272"/>
      <c r="F26" s="273"/>
      <c r="G26" s="274"/>
      <c r="H26" s="275"/>
      <c r="I26" s="276"/>
    </row>
    <row r="27" spans="2:9" x14ac:dyDescent="0.25">
      <c r="B27" s="1555"/>
      <c r="C27" s="1556"/>
      <c r="D27" s="1557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2236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1553"/>
      <c r="C32" s="1554"/>
      <c r="D32" s="306"/>
      <c r="E32" s="307"/>
      <c r="F32" s="307"/>
      <c r="G32" s="308"/>
      <c r="H32" s="274"/>
      <c r="I32" s="276"/>
    </row>
    <row r="33" spans="2:9" x14ac:dyDescent="0.25">
      <c r="B33" s="1553"/>
      <c r="C33" s="155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0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v>167.88</v>
      </c>
      <c r="H39" s="316">
        <f>+F39/G39</f>
        <v>714.5002382654277</v>
      </c>
      <c r="I39" s="276"/>
    </row>
    <row r="40" spans="2:9" x14ac:dyDescent="0.25">
      <c r="B40" s="292"/>
      <c r="C40" s="313"/>
      <c r="D40" s="314"/>
      <c r="E40" s="315">
        <f>+MdeObra!C10</f>
        <v>1.85</v>
      </c>
      <c r="F40" s="273"/>
      <c r="G40" s="274"/>
      <c r="H40" s="316"/>
      <c r="I40" s="276"/>
    </row>
    <row r="41" spans="2:9" x14ac:dyDescent="0.25">
      <c r="B41" s="292"/>
      <c r="C41" s="313"/>
      <c r="D41" s="314"/>
      <c r="E41" s="315">
        <f>+MdeObra!C10</f>
        <v>1.85</v>
      </c>
      <c r="F41" s="273"/>
      <c r="G41" s="274"/>
      <c r="H41" s="316"/>
      <c r="I41" s="276"/>
    </row>
    <row r="42" spans="2:9" x14ac:dyDescent="0.25">
      <c r="B42" s="292"/>
      <c r="C42" s="294"/>
      <c r="D42" s="340"/>
      <c r="E42" s="315">
        <f>+MdeObra!C10</f>
        <v>1.85</v>
      </c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715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5240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1048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262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262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1572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6812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5">
    <mergeCell ref="B13:D13"/>
    <mergeCell ref="E2:I3"/>
    <mergeCell ref="E4:I4"/>
    <mergeCell ref="B10:D10"/>
    <mergeCell ref="B11:D11"/>
    <mergeCell ref="B12:D12"/>
    <mergeCell ref="F60:I60"/>
    <mergeCell ref="F61:I61"/>
    <mergeCell ref="B33:C33"/>
    <mergeCell ref="B14:D14"/>
    <mergeCell ref="B17:D17"/>
    <mergeCell ref="B18:D18"/>
    <mergeCell ref="B21:D21"/>
    <mergeCell ref="B27:D27"/>
    <mergeCell ref="B32:C32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62"/>
  <sheetViews>
    <sheetView view="pageBreakPreview" topLeftCell="A46" zoomScaleNormal="100" zoomScaleSheetLayoutView="100" workbookViewId="0">
      <selection activeCell="E33" sqref="E33"/>
    </sheetView>
  </sheetViews>
  <sheetFormatPr baseColWidth="10" defaultRowHeight="15" x14ac:dyDescent="0.25"/>
  <sheetData>
    <row r="1" spans="2:14" ht="15.75" thickBot="1" x14ac:dyDescent="0.3">
      <c r="B1" s="252"/>
      <c r="C1" s="252"/>
      <c r="D1" s="252"/>
      <c r="E1" s="252"/>
      <c r="F1" s="252"/>
      <c r="G1" s="252"/>
      <c r="H1" s="252"/>
      <c r="I1" s="252"/>
    </row>
    <row r="2" spans="2:14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14" ht="24.7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14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14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14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605</v>
      </c>
    </row>
    <row r="7" spans="2:14" ht="15" customHeight="1" x14ac:dyDescent="0.25">
      <c r="B7" s="255" t="s">
        <v>545</v>
      </c>
      <c r="C7" s="1558" t="str">
        <f>+P.Detall!E20</f>
        <v>TERRAPLEN</v>
      </c>
      <c r="D7" s="1558"/>
      <c r="E7" s="1558"/>
      <c r="F7" s="1558"/>
      <c r="G7" s="1558"/>
      <c r="H7" s="259" t="s">
        <v>546</v>
      </c>
      <c r="I7" s="1075" t="str">
        <f>+P.Detall!F20</f>
        <v>M3</v>
      </c>
      <c r="J7" s="1075"/>
      <c r="K7" s="1075"/>
      <c r="L7" s="1075"/>
      <c r="M7" s="1075"/>
    </row>
    <row r="8" spans="2:14" x14ac:dyDescent="0.25">
      <c r="B8" s="261"/>
      <c r="C8" s="1558"/>
      <c r="D8" s="1558"/>
      <c r="E8" s="1558"/>
      <c r="F8" s="1558"/>
      <c r="G8" s="1558"/>
      <c r="H8" s="261"/>
      <c r="I8" s="1075"/>
      <c r="J8" s="1075"/>
      <c r="K8" s="1075"/>
      <c r="L8" s="1075"/>
      <c r="M8" s="1075"/>
    </row>
    <row r="9" spans="2:14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14" x14ac:dyDescent="0.25">
      <c r="B10" s="1550" t="s">
        <v>548</v>
      </c>
      <c r="C10" s="1551"/>
      <c r="D10" s="1552"/>
      <c r="E10" s="572" t="s">
        <v>549</v>
      </c>
      <c r="F10" s="266" t="s">
        <v>550</v>
      </c>
      <c r="G10" s="572" t="s">
        <v>551</v>
      </c>
      <c r="H10" s="571" t="s">
        <v>552</v>
      </c>
      <c r="I10" s="268"/>
      <c r="K10" t="s">
        <v>789</v>
      </c>
      <c r="M10">
        <f>+(6.036/2)+1</f>
        <v>4.0179999999999998</v>
      </c>
      <c r="N10" t="s">
        <v>790</v>
      </c>
    </row>
    <row r="11" spans="2:14" x14ac:dyDescent="0.25">
      <c r="B11" s="1544" t="str">
        <f>+Equipo!A15</f>
        <v>BULDOZER D6</v>
      </c>
      <c r="C11" s="1545"/>
      <c r="D11" s="1546"/>
      <c r="E11" s="272"/>
      <c r="F11" s="273">
        <f>+Equipo!C17</f>
        <v>155100</v>
      </c>
      <c r="G11" s="274">
        <v>48</v>
      </c>
      <c r="H11" s="275">
        <f>+F11/G11</f>
        <v>3231.25</v>
      </c>
      <c r="I11" s="276"/>
    </row>
    <row r="12" spans="2:14" x14ac:dyDescent="0.25">
      <c r="B12" s="1544" t="str">
        <f>+Equipo!A24</f>
        <v>CARROTANQUE DE AGUA 10000 LITROS</v>
      </c>
      <c r="C12" s="1545"/>
      <c r="D12" s="1546"/>
      <c r="E12" s="272"/>
      <c r="F12" s="273">
        <f>+Equipo!C24</f>
        <v>64625</v>
      </c>
      <c r="G12" s="274">
        <v>48</v>
      </c>
      <c r="H12" s="275">
        <f>+F12/G12</f>
        <v>1346.3541666666667</v>
      </c>
      <c r="I12" s="276"/>
    </row>
    <row r="13" spans="2:14" x14ac:dyDescent="0.25">
      <c r="B13" s="1544" t="str">
        <f>+Equipo!A32</f>
        <v>VIBROCOMPACTADOR DYNAPACc (10 ton)</v>
      </c>
      <c r="C13" s="1545"/>
      <c r="D13" s="1546"/>
      <c r="E13" s="272"/>
      <c r="F13" s="273">
        <f>+Equipo!C32</f>
        <v>103400</v>
      </c>
      <c r="G13" s="274">
        <v>48</v>
      </c>
      <c r="H13" s="275">
        <f>+F13/G13</f>
        <v>2154.1666666666665</v>
      </c>
      <c r="I13" s="276"/>
    </row>
    <row r="14" spans="2:14" x14ac:dyDescent="0.25">
      <c r="B14" s="1544"/>
      <c r="C14" s="1545"/>
      <c r="D14" s="1546"/>
      <c r="E14" s="272"/>
      <c r="F14" s="273"/>
      <c r="G14" s="274"/>
      <c r="H14" s="275"/>
      <c r="I14" s="276"/>
    </row>
    <row r="15" spans="2:14" x14ac:dyDescent="0.25">
      <c r="B15" s="568"/>
      <c r="C15" s="569"/>
      <c r="D15" s="570"/>
      <c r="E15" s="280"/>
      <c r="F15" s="283"/>
      <c r="G15" s="274"/>
      <c r="H15" s="275"/>
      <c r="I15" s="276"/>
    </row>
    <row r="16" spans="2:14" x14ac:dyDescent="0.25">
      <c r="B16" s="568"/>
      <c r="C16" s="569"/>
      <c r="D16" s="570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6732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572" t="s">
        <v>556</v>
      </c>
      <c r="F21" s="572" t="s">
        <v>557</v>
      </c>
      <c r="G21" s="572" t="s">
        <v>558</v>
      </c>
      <c r="H21" s="571" t="s">
        <v>552</v>
      </c>
      <c r="I21" s="268"/>
    </row>
    <row r="22" spans="2:9" x14ac:dyDescent="0.25">
      <c r="B22" s="292" t="str">
        <f>+Materiales!A110</f>
        <v>MATERIAL DE RECEBO PARA RELLENO</v>
      </c>
      <c r="C22" s="293"/>
      <c r="D22" s="294"/>
      <c r="E22" s="272" t="s">
        <v>18</v>
      </c>
      <c r="F22" s="273">
        <f>+Materiales!C110</f>
        <v>25850</v>
      </c>
      <c r="G22" s="274">
        <v>1.3</v>
      </c>
      <c r="H22" s="275">
        <f>+G22*F22</f>
        <v>33605</v>
      </c>
      <c r="I22" s="276"/>
    </row>
    <row r="23" spans="2:9" x14ac:dyDescent="0.25">
      <c r="B23" s="292"/>
      <c r="C23" s="293"/>
      <c r="D23" s="294"/>
      <c r="E23" s="272"/>
      <c r="F23" s="273"/>
      <c r="G23" s="282"/>
      <c r="H23" s="275"/>
      <c r="I23" s="276"/>
    </row>
    <row r="24" spans="2:9" x14ac:dyDescent="0.25">
      <c r="B24" s="292"/>
      <c r="C24" s="293"/>
      <c r="D24" s="294"/>
      <c r="E24" s="272"/>
      <c r="F24" s="273"/>
      <c r="G24" s="274"/>
      <c r="H24" s="275"/>
      <c r="I24" s="276"/>
    </row>
    <row r="25" spans="2:9" x14ac:dyDescent="0.25">
      <c r="B25" s="292"/>
      <c r="C25" s="293"/>
      <c r="D25" s="294"/>
      <c r="E25" s="272"/>
      <c r="F25" s="273"/>
      <c r="G25" s="274"/>
      <c r="H25" s="275"/>
      <c r="I25" s="276"/>
    </row>
    <row r="26" spans="2:9" x14ac:dyDescent="0.25">
      <c r="B26" s="292"/>
      <c r="C26" s="293"/>
      <c r="D26" s="294"/>
      <c r="E26" s="272"/>
      <c r="F26" s="273"/>
      <c r="G26" s="274"/>
      <c r="H26" s="275"/>
      <c r="I26" s="276"/>
    </row>
    <row r="27" spans="2:9" x14ac:dyDescent="0.25">
      <c r="B27" s="1555"/>
      <c r="C27" s="1556"/>
      <c r="D27" s="1557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33605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572" t="s">
        <v>562</v>
      </c>
      <c r="F31" s="572" t="s">
        <v>563</v>
      </c>
      <c r="G31" s="572" t="s">
        <v>564</v>
      </c>
      <c r="H31" s="305" t="s">
        <v>552</v>
      </c>
      <c r="I31" s="268"/>
    </row>
    <row r="32" spans="2:9" x14ac:dyDescent="0.25">
      <c r="B32" s="1553" t="str">
        <f>+Equipo!A92</f>
        <v>TARIFA DE TRANSPORTE DE AFIRMADO</v>
      </c>
      <c r="C32" s="1554"/>
      <c r="D32" s="539">
        <f>G22*1.3</f>
        <v>1.6900000000000002</v>
      </c>
      <c r="E32" s="309">
        <f>+'200.2'!P15</f>
        <v>80</v>
      </c>
      <c r="F32" s="307">
        <f>+D32*E32</f>
        <v>135.20000000000002</v>
      </c>
      <c r="G32" s="308">
        <f>+Equipo!C92</f>
        <v>1241</v>
      </c>
      <c r="H32" s="274">
        <f>+F32*G32</f>
        <v>167783.2</v>
      </c>
      <c r="I32" s="276"/>
    </row>
    <row r="33" spans="2:9" x14ac:dyDescent="0.25">
      <c r="B33" s="1553"/>
      <c r="C33" s="155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167783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572" t="s">
        <v>568</v>
      </c>
      <c r="E38" s="572" t="s">
        <v>569</v>
      </c>
      <c r="F38" s="266" t="s">
        <v>570</v>
      </c>
      <c r="G38" s="312" t="s">
        <v>551</v>
      </c>
      <c r="H38" s="571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v>347.25</v>
      </c>
      <c r="H39" s="316">
        <f>+F39/G39</f>
        <v>345.42922966162706</v>
      </c>
      <c r="I39" s="276"/>
    </row>
    <row r="40" spans="2:9" x14ac:dyDescent="0.25">
      <c r="B40" s="292"/>
      <c r="C40" s="313"/>
      <c r="D40" s="314"/>
      <c r="E40" s="315"/>
      <c r="F40" s="273"/>
      <c r="G40" s="274"/>
      <c r="H40" s="316"/>
      <c r="I40" s="276"/>
    </row>
    <row r="41" spans="2:9" x14ac:dyDescent="0.25">
      <c r="B41" s="292"/>
      <c r="C41" s="313"/>
      <c r="D41" s="314"/>
      <c r="E41" s="315"/>
      <c r="F41" s="273"/>
      <c r="G41" s="274"/>
      <c r="H41" s="316"/>
      <c r="I41" s="276"/>
    </row>
    <row r="42" spans="2:9" x14ac:dyDescent="0.25">
      <c r="B42" s="292"/>
      <c r="C42" s="294"/>
      <c r="D42" s="340"/>
      <c r="E42" s="315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345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208465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41693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10423.25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10423.25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62540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271005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  <row r="62" spans="2:9" hidden="1" x14ac:dyDescent="0.25"/>
  </sheetData>
  <mergeCells count="16">
    <mergeCell ref="B32:C32"/>
    <mergeCell ref="B33:C33"/>
    <mergeCell ref="F60:I60"/>
    <mergeCell ref="F61:I61"/>
    <mergeCell ref="B13:D13"/>
    <mergeCell ref="B14:D14"/>
    <mergeCell ref="B17:D17"/>
    <mergeCell ref="B18:D18"/>
    <mergeCell ref="B21:D21"/>
    <mergeCell ref="B27:D27"/>
    <mergeCell ref="B12:D12"/>
    <mergeCell ref="E2:I3"/>
    <mergeCell ref="E4:I4"/>
    <mergeCell ref="C7:G8"/>
    <mergeCell ref="B10:D10"/>
    <mergeCell ref="B11:D11"/>
  </mergeCells>
  <hyperlinks>
    <hyperlink ref="C7:G8" location="Presup.Detallado!A1" display="Presup.Detallado!A1"/>
    <hyperlink ref="I7:M8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  <colBreaks count="1" manualBreakCount="1">
    <brk id="10" max="1048575" man="1"/>
  </colBreaks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62"/>
  <sheetViews>
    <sheetView view="pageBreakPreview" topLeftCell="A46" zoomScaleNormal="100" zoomScaleSheetLayoutView="100" workbookViewId="0">
      <selection activeCell="F34" sqref="F34"/>
    </sheetView>
  </sheetViews>
  <sheetFormatPr baseColWidth="10" defaultRowHeight="15" x14ac:dyDescent="0.25"/>
  <sheetData>
    <row r="1" spans="2:14" ht="15.75" thickBot="1" x14ac:dyDescent="0.3">
      <c r="B1" s="252"/>
      <c r="C1" s="252"/>
      <c r="D1" s="252"/>
      <c r="E1" s="252"/>
      <c r="F1" s="252"/>
      <c r="G1" s="252"/>
      <c r="H1" s="252"/>
      <c r="I1" s="252"/>
    </row>
    <row r="2" spans="2:14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14" ht="24.7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14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14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14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605</v>
      </c>
    </row>
    <row r="7" spans="2:14" ht="15" customHeight="1" x14ac:dyDescent="0.25">
      <c r="B7" s="255" t="s">
        <v>545</v>
      </c>
      <c r="C7" s="1558" t="str">
        <f>+P.Detall!E21</f>
        <v xml:space="preserve">MEJORAMIENTO DE LA SUBRASANTE EMPLEANDO UNICAMENTE MATERIAL ADICIONADO </v>
      </c>
      <c r="D7" s="1558"/>
      <c r="E7" s="1558"/>
      <c r="F7" s="1558"/>
      <c r="G7" s="1558"/>
      <c r="H7" s="259" t="s">
        <v>546</v>
      </c>
      <c r="I7" s="1075" t="str">
        <f>+P.Detall!F21</f>
        <v>M3</v>
      </c>
      <c r="J7" s="1075"/>
      <c r="K7" s="1075"/>
      <c r="L7" s="1075"/>
      <c r="M7" s="1075"/>
    </row>
    <row r="8" spans="2:14" x14ac:dyDescent="0.25">
      <c r="B8" s="261"/>
      <c r="C8" s="1558"/>
      <c r="D8" s="1558"/>
      <c r="E8" s="1558"/>
      <c r="F8" s="1558"/>
      <c r="G8" s="1558"/>
      <c r="H8" s="261"/>
      <c r="I8" s="1075"/>
      <c r="J8" s="1075"/>
      <c r="K8" s="1075"/>
      <c r="L8" s="1075"/>
      <c r="M8" s="1075"/>
    </row>
    <row r="9" spans="2:14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14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  <c r="K10" t="s">
        <v>789</v>
      </c>
      <c r="M10">
        <f>+(6.036/2)+1</f>
        <v>4.0179999999999998</v>
      </c>
      <c r="N10" t="s">
        <v>790</v>
      </c>
    </row>
    <row r="11" spans="2:14" x14ac:dyDescent="0.25">
      <c r="B11" s="1544" t="str">
        <f>+Equipo!A66</f>
        <v>MOTONIVELADORA</v>
      </c>
      <c r="C11" s="1545"/>
      <c r="D11" s="1546"/>
      <c r="E11" s="272"/>
      <c r="F11" s="273">
        <f>+Equipo!C66</f>
        <v>124080</v>
      </c>
      <c r="G11" s="274">
        <v>150</v>
      </c>
      <c r="H11" s="275">
        <f>+F11/G11</f>
        <v>827.2</v>
      </c>
      <c r="I11" s="276"/>
    </row>
    <row r="12" spans="2:14" x14ac:dyDescent="0.25">
      <c r="B12" s="1544" t="str">
        <f>+Equipo!A24</f>
        <v>CARROTANQUE DE AGUA 10000 LITROS</v>
      </c>
      <c r="C12" s="1545"/>
      <c r="D12" s="1546"/>
      <c r="E12" s="272"/>
      <c r="F12" s="273">
        <f>+Equipo!C24</f>
        <v>64625</v>
      </c>
      <c r="G12" s="274">
        <f>+G11</f>
        <v>150</v>
      </c>
      <c r="H12" s="275">
        <f>+F12/G12</f>
        <v>430.83333333333331</v>
      </c>
      <c r="I12" s="276"/>
    </row>
    <row r="13" spans="2:14" x14ac:dyDescent="0.25">
      <c r="B13" s="1544" t="str">
        <f>+Equipo!A32</f>
        <v>VIBROCOMPACTADOR DYNAPACc (10 ton)</v>
      </c>
      <c r="C13" s="1545"/>
      <c r="D13" s="1546"/>
      <c r="E13" s="272"/>
      <c r="F13" s="273">
        <f>+Equipo!C32</f>
        <v>103400</v>
      </c>
      <c r="G13" s="274">
        <f>+G12</f>
        <v>150</v>
      </c>
      <c r="H13" s="275">
        <f>+F13/G13</f>
        <v>689.33333333333337</v>
      </c>
      <c r="I13" s="276"/>
    </row>
    <row r="14" spans="2:14" x14ac:dyDescent="0.25">
      <c r="B14" s="1544"/>
      <c r="C14" s="1545"/>
      <c r="D14" s="1546"/>
      <c r="E14" s="272"/>
      <c r="F14" s="273"/>
      <c r="G14" s="274"/>
      <c r="H14" s="275"/>
      <c r="I14" s="276"/>
    </row>
    <row r="15" spans="2:14" x14ac:dyDescent="0.25">
      <c r="B15" s="269"/>
      <c r="C15" s="270"/>
      <c r="D15" s="271"/>
      <c r="E15" s="280"/>
      <c r="F15" s="283"/>
      <c r="G15" s="274"/>
      <c r="H15" s="275"/>
      <c r="I15" s="276"/>
    </row>
    <row r="16" spans="2:14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1947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tr">
        <f>+Materiales!A25</f>
        <v>AGUA</v>
      </c>
      <c r="C22" s="293"/>
      <c r="D22" s="294"/>
      <c r="E22" s="272" t="str">
        <f>+Materiales!B25</f>
        <v>LT</v>
      </c>
      <c r="F22" s="273">
        <f>+Materiales!C25</f>
        <v>44</v>
      </c>
      <c r="G22" s="274">
        <v>2</v>
      </c>
      <c r="H22" s="275">
        <f>+G22*F22</f>
        <v>88</v>
      </c>
      <c r="I22" s="276"/>
    </row>
    <row r="23" spans="2:9" x14ac:dyDescent="0.25">
      <c r="B23" s="292" t="str">
        <f>+Materiales!A110</f>
        <v>MATERIAL DE RECEBO PARA RELLENO</v>
      </c>
      <c r="C23" s="293"/>
      <c r="D23" s="294"/>
      <c r="E23" s="272" t="s">
        <v>18</v>
      </c>
      <c r="F23" s="273">
        <f>+Materiales!C110</f>
        <v>25850</v>
      </c>
      <c r="G23" s="282">
        <v>1.3</v>
      </c>
      <c r="H23" s="275">
        <f>+G23*F23</f>
        <v>33605</v>
      </c>
      <c r="I23" s="276"/>
    </row>
    <row r="24" spans="2:9" x14ac:dyDescent="0.25">
      <c r="B24" s="292"/>
      <c r="C24" s="293"/>
      <c r="D24" s="294"/>
      <c r="E24" s="272"/>
      <c r="F24" s="273"/>
      <c r="G24" s="274"/>
      <c r="H24" s="275"/>
      <c r="I24" s="276"/>
    </row>
    <row r="25" spans="2:9" x14ac:dyDescent="0.25">
      <c r="B25" s="292"/>
      <c r="C25" s="293"/>
      <c r="D25" s="294"/>
      <c r="E25" s="272"/>
      <c r="F25" s="273"/>
      <c r="G25" s="274"/>
      <c r="H25" s="275"/>
      <c r="I25" s="276"/>
    </row>
    <row r="26" spans="2:9" x14ac:dyDescent="0.25">
      <c r="B26" s="292"/>
      <c r="C26" s="293"/>
      <c r="D26" s="294"/>
      <c r="E26" s="272"/>
      <c r="F26" s="273"/>
      <c r="G26" s="274"/>
      <c r="H26" s="275"/>
      <c r="I26" s="276"/>
    </row>
    <row r="27" spans="2:9" x14ac:dyDescent="0.25">
      <c r="B27" s="1555"/>
      <c r="C27" s="1556"/>
      <c r="D27" s="1557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33693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1553" t="str">
        <f>+Equipo!A92</f>
        <v>TARIFA DE TRANSPORTE DE AFIRMADO</v>
      </c>
      <c r="C32" s="1554"/>
      <c r="D32" s="539">
        <f>G23</f>
        <v>1.3</v>
      </c>
      <c r="E32" s="309">
        <f>+'200.2'!P15</f>
        <v>80</v>
      </c>
      <c r="F32" s="307">
        <f>+D32*E32</f>
        <v>104</v>
      </c>
      <c r="G32" s="308">
        <f>+Equipo!C92</f>
        <v>1241</v>
      </c>
      <c r="H32" s="274">
        <f>+F32*G32</f>
        <v>129064</v>
      </c>
      <c r="I32" s="276"/>
    </row>
    <row r="33" spans="2:9" x14ac:dyDescent="0.25">
      <c r="B33" s="1553"/>
      <c r="C33" s="155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129064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v>500</v>
      </c>
      <c r="H39" s="316">
        <f>+F39/G39</f>
        <v>239.9006</v>
      </c>
      <c r="I39" s="276"/>
    </row>
    <row r="40" spans="2:9" x14ac:dyDescent="0.25">
      <c r="B40" s="292"/>
      <c r="C40" s="313"/>
      <c r="D40" s="314"/>
      <c r="E40" s="315"/>
      <c r="F40" s="273"/>
      <c r="G40" s="274"/>
      <c r="H40" s="316"/>
      <c r="I40" s="276"/>
    </row>
    <row r="41" spans="2:9" x14ac:dyDescent="0.25">
      <c r="B41" s="292"/>
      <c r="C41" s="313"/>
      <c r="D41" s="314"/>
      <c r="E41" s="315"/>
      <c r="F41" s="273"/>
      <c r="G41" s="274"/>
      <c r="H41" s="316"/>
      <c r="I41" s="276"/>
    </row>
    <row r="42" spans="2:9" x14ac:dyDescent="0.25">
      <c r="B42" s="292"/>
      <c r="C42" s="294"/>
      <c r="D42" s="340"/>
      <c r="E42" s="315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240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164944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32988.800000000003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8247.2000000000007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8247.2000000000007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49483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214427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  <row r="62" spans="2:9" hidden="1" x14ac:dyDescent="0.25"/>
  </sheetData>
  <mergeCells count="16">
    <mergeCell ref="B12:D12"/>
    <mergeCell ref="E2:I3"/>
    <mergeCell ref="E4:I4"/>
    <mergeCell ref="C7:G8"/>
    <mergeCell ref="B10:D10"/>
    <mergeCell ref="B11:D11"/>
    <mergeCell ref="F60:I60"/>
    <mergeCell ref="F61:I61"/>
    <mergeCell ref="B32:C32"/>
    <mergeCell ref="B33:C33"/>
    <mergeCell ref="B13:D13"/>
    <mergeCell ref="B14:D14"/>
    <mergeCell ref="B17:D17"/>
    <mergeCell ref="B18:D18"/>
    <mergeCell ref="B21:D21"/>
    <mergeCell ref="B27:D27"/>
  </mergeCells>
  <hyperlinks>
    <hyperlink ref="C7:G8" location="Presup.Detallado!A1" display="Presup.Detallado!A1"/>
    <hyperlink ref="I7:M8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  <colBreaks count="1" manualBreakCount="1">
    <brk id="10" max="1048575" man="1"/>
  </colBreaks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1"/>
  <sheetViews>
    <sheetView view="pageBreakPreview" zoomScaleNormal="100" zoomScaleSheetLayoutView="100" workbookViewId="0">
      <selection activeCell="F11" sqref="F11"/>
    </sheetView>
  </sheetViews>
  <sheetFormatPr baseColWidth="10" defaultRowHeight="15" x14ac:dyDescent="0.25"/>
  <sheetData>
    <row r="1" spans="2:13" ht="15.75" thickBot="1" x14ac:dyDescent="0.3">
      <c r="B1" s="252"/>
      <c r="C1" s="252"/>
      <c r="D1" s="252"/>
      <c r="E1" s="252"/>
      <c r="F1" s="252"/>
      <c r="G1" s="252"/>
      <c r="H1" s="252"/>
      <c r="I1" s="252"/>
    </row>
    <row r="2" spans="2:13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13" ht="24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13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13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13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606</v>
      </c>
    </row>
    <row r="7" spans="2:13" ht="32.25" customHeight="1" x14ac:dyDescent="0.25">
      <c r="B7" s="255" t="s">
        <v>545</v>
      </c>
      <c r="C7" s="1558" t="str">
        <f>+P.Detall!E22</f>
        <v>CONFORMACIÓN DE LA CALZADA EXISTENTE CON ADICIÓN DE MATERIAL</v>
      </c>
      <c r="D7" s="1558"/>
      <c r="E7" s="1558"/>
      <c r="F7" s="1558"/>
      <c r="G7" s="1558"/>
      <c r="H7" s="259" t="s">
        <v>546</v>
      </c>
      <c r="I7" s="1075" t="str">
        <f>+P.Detall!F22</f>
        <v>M2</v>
      </c>
      <c r="J7" s="1075"/>
      <c r="K7" s="1075"/>
      <c r="L7" s="1075"/>
      <c r="M7" s="1075"/>
    </row>
    <row r="8" spans="2:13" x14ac:dyDescent="0.25">
      <c r="B8" s="261"/>
      <c r="C8" s="261"/>
      <c r="D8" s="261"/>
      <c r="E8" s="261"/>
      <c r="F8" s="261"/>
      <c r="G8" s="261"/>
      <c r="H8" s="261"/>
      <c r="I8" s="262"/>
    </row>
    <row r="9" spans="2:13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13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13" x14ac:dyDescent="0.25">
      <c r="B11" s="1544" t="str">
        <f>+Equipo!A66</f>
        <v>MOTONIVELADORA</v>
      </c>
      <c r="C11" s="1545"/>
      <c r="D11" s="1546"/>
      <c r="E11" s="272"/>
      <c r="F11" s="273">
        <f>+Equipo!C66</f>
        <v>124080</v>
      </c>
      <c r="G11" s="274">
        <v>600</v>
      </c>
      <c r="H11" s="275">
        <f>+F11/G11</f>
        <v>206.8</v>
      </c>
      <c r="I11" s="276"/>
    </row>
    <row r="12" spans="2:13" x14ac:dyDescent="0.25">
      <c r="B12" s="1544" t="str">
        <f>+Equipo!A32</f>
        <v>VIBROCOMPACTADOR DYNAPACc (10 ton)</v>
      </c>
      <c r="C12" s="1545"/>
      <c r="D12" s="1546"/>
      <c r="E12" s="272"/>
      <c r="F12" s="273">
        <f>+Equipo!C32</f>
        <v>103400</v>
      </c>
      <c r="G12" s="274">
        <f>+G11</f>
        <v>600</v>
      </c>
      <c r="H12" s="275">
        <f>+F12/G12</f>
        <v>172.33333333333334</v>
      </c>
      <c r="I12" s="276"/>
    </row>
    <row r="13" spans="2:13" x14ac:dyDescent="0.25">
      <c r="B13" s="1544" t="str">
        <f>+Equipo!A24</f>
        <v>CARROTANQUE DE AGUA 10000 LITROS</v>
      </c>
      <c r="C13" s="1545"/>
      <c r="D13" s="1546"/>
      <c r="E13" s="272"/>
      <c r="F13" s="273">
        <f>+Equipo!C24</f>
        <v>64625</v>
      </c>
      <c r="G13" s="274">
        <f>+G12</f>
        <v>600</v>
      </c>
      <c r="H13" s="275">
        <f>+F13/G13</f>
        <v>107.70833333333333</v>
      </c>
      <c r="I13" s="276"/>
    </row>
    <row r="14" spans="2:13" x14ac:dyDescent="0.25">
      <c r="B14" s="1544"/>
      <c r="C14" s="1545"/>
      <c r="D14" s="1546"/>
      <c r="E14" s="280"/>
      <c r="F14" s="283"/>
      <c r="G14" s="274"/>
      <c r="H14" s="275"/>
      <c r="I14" s="276"/>
    </row>
    <row r="15" spans="2:13" x14ac:dyDescent="0.25">
      <c r="B15" s="269"/>
      <c r="C15" s="270"/>
      <c r="D15" s="271"/>
      <c r="E15" s="280"/>
      <c r="F15" s="283"/>
      <c r="G15" s="274"/>
      <c r="H15" s="275"/>
      <c r="I15" s="276"/>
    </row>
    <row r="16" spans="2:13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487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tr">
        <f>+Materiales!A25</f>
        <v>AGUA</v>
      </c>
      <c r="C22" s="293"/>
      <c r="D22" s="294"/>
      <c r="E22" s="272" t="str">
        <f>+Materiales!B25</f>
        <v>LT</v>
      </c>
      <c r="F22" s="273">
        <f>+Materiales!C25</f>
        <v>44</v>
      </c>
      <c r="G22" s="274">
        <v>2</v>
      </c>
      <c r="H22" s="275">
        <f>+G22*F22</f>
        <v>88</v>
      </c>
      <c r="I22" s="276"/>
    </row>
    <row r="23" spans="2:9" x14ac:dyDescent="0.25">
      <c r="B23" s="292" t="s">
        <v>607</v>
      </c>
      <c r="C23" s="293"/>
      <c r="D23" s="294"/>
      <c r="E23" s="272" t="s">
        <v>18</v>
      </c>
      <c r="F23" s="273">
        <f>+Materiales!C99</f>
        <v>31020</v>
      </c>
      <c r="G23" s="282">
        <v>0.1</v>
      </c>
      <c r="H23" s="275">
        <f>+G23*F23</f>
        <v>3102</v>
      </c>
      <c r="I23" s="276"/>
    </row>
    <row r="24" spans="2:9" x14ac:dyDescent="0.25">
      <c r="B24" s="292"/>
      <c r="C24" s="293"/>
      <c r="D24" s="294"/>
      <c r="E24" s="272"/>
      <c r="F24" s="273"/>
      <c r="G24" s="282"/>
      <c r="H24" s="275"/>
      <c r="I24" s="276"/>
    </row>
    <row r="25" spans="2:9" x14ac:dyDescent="0.25">
      <c r="B25" s="292"/>
      <c r="C25" s="293"/>
      <c r="D25" s="294"/>
      <c r="E25" s="272"/>
      <c r="F25" s="273"/>
      <c r="G25" s="282"/>
      <c r="H25" s="275"/>
      <c r="I25" s="276"/>
    </row>
    <row r="26" spans="2:9" x14ac:dyDescent="0.25">
      <c r="B26" s="292"/>
      <c r="C26" s="293"/>
      <c r="D26" s="294"/>
      <c r="E26" s="272"/>
      <c r="F26" s="273"/>
      <c r="G26" s="282"/>
      <c r="H26" s="275"/>
      <c r="I26" s="276"/>
    </row>
    <row r="27" spans="2:9" x14ac:dyDescent="0.25">
      <c r="B27" s="292"/>
      <c r="C27" s="293"/>
      <c r="D27" s="294"/>
      <c r="E27" s="280"/>
      <c r="F27" s="283"/>
      <c r="G27" s="295"/>
      <c r="H27" s="296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3190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292" t="s">
        <v>607</v>
      </c>
      <c r="C32" s="294"/>
      <c r="D32" s="539">
        <f>G23*1.3</f>
        <v>0.13</v>
      </c>
      <c r="E32" s="309">
        <f>+'230,1'!E32</f>
        <v>80</v>
      </c>
      <c r="F32" s="307">
        <f>+E32*D32</f>
        <v>10.4</v>
      </c>
      <c r="G32" s="308">
        <f>+Equipo!C90</f>
        <v>1241</v>
      </c>
      <c r="H32" s="274">
        <f>+G32*F32</f>
        <v>12906.4</v>
      </c>
      <c r="I32" s="276"/>
    </row>
    <row r="33" spans="2:9" x14ac:dyDescent="0.25">
      <c r="B33" s="292"/>
      <c r="C33" s="29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12906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f>+G11*8</f>
        <v>4800</v>
      </c>
      <c r="H39" s="316">
        <f>+F39/G39</f>
        <v>24.989645833333334</v>
      </c>
      <c r="I39" s="276"/>
    </row>
    <row r="40" spans="2:9" x14ac:dyDescent="0.25">
      <c r="B40" s="292"/>
      <c r="C40" s="294"/>
      <c r="D40" s="317"/>
      <c r="E40" s="315"/>
      <c r="F40" s="273"/>
      <c r="G40" s="274"/>
      <c r="H40" s="275"/>
      <c r="I40" s="276"/>
    </row>
    <row r="41" spans="2:9" x14ac:dyDescent="0.25">
      <c r="B41" s="292"/>
      <c r="C41" s="294"/>
      <c r="D41" s="317"/>
      <c r="E41" s="315"/>
      <c r="F41" s="273"/>
      <c r="G41" s="274"/>
      <c r="H41" s="275"/>
      <c r="I41" s="276"/>
    </row>
    <row r="42" spans="2:9" x14ac:dyDescent="0.25">
      <c r="B42" s="292"/>
      <c r="C42" s="294"/>
      <c r="D42" s="340"/>
      <c r="E42" s="315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25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16608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3321.6000000000004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830.40000000000009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830.40000000000009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4982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21590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3">
    <mergeCell ref="B12:D12"/>
    <mergeCell ref="E2:I3"/>
    <mergeCell ref="E4:I4"/>
    <mergeCell ref="B10:D10"/>
    <mergeCell ref="B11:D11"/>
    <mergeCell ref="C7:G7"/>
    <mergeCell ref="F60:I60"/>
    <mergeCell ref="F61:I61"/>
    <mergeCell ref="B13:D13"/>
    <mergeCell ref="B14:D14"/>
    <mergeCell ref="B17:D17"/>
    <mergeCell ref="B18:D18"/>
    <mergeCell ref="B21:D21"/>
  </mergeCells>
  <hyperlinks>
    <hyperlink ref="C7:G8" location="Presup.Detallado!A1" display="Presup.Detallado!A1"/>
    <hyperlink ref="I7:M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F13" sqref="F13"/>
    </sheetView>
  </sheetViews>
  <sheetFormatPr baseColWidth="10" defaultRowHeight="15" x14ac:dyDescent="0.25"/>
  <sheetData>
    <row r="1" spans="2:9" ht="15.75" thickBot="1" x14ac:dyDescent="0.3">
      <c r="B1" s="252"/>
      <c r="C1" s="252"/>
      <c r="D1" s="252"/>
      <c r="E1" s="252"/>
      <c r="F1" s="252"/>
      <c r="G1" s="252"/>
      <c r="H1" s="252"/>
      <c r="I1" s="252"/>
    </row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3.2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25</v>
      </c>
    </row>
    <row r="7" spans="2:9" x14ac:dyDescent="0.25">
      <c r="B7" s="255" t="s">
        <v>545</v>
      </c>
      <c r="C7" s="554" t="str">
        <f>+P.Detall!E27</f>
        <v>AFIRMADO</v>
      </c>
      <c r="D7" s="257"/>
      <c r="E7" s="256"/>
      <c r="F7" s="256"/>
      <c r="G7" s="256"/>
      <c r="H7" s="259" t="s">
        <v>546</v>
      </c>
      <c r="I7" s="554" t="str">
        <f>+P.Detall!F27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59" t="str">
        <f>+Equipo!A24</f>
        <v>CARROTANQUE DE AGUA 10000 LITROS</v>
      </c>
      <c r="C11" s="1545"/>
      <c r="D11" s="1546"/>
      <c r="E11" s="272"/>
      <c r="F11" s="273">
        <f>+Equipo!C24</f>
        <v>64625</v>
      </c>
      <c r="G11" s="274">
        <v>50</v>
      </c>
      <c r="H11" s="275">
        <f>+F11/G11</f>
        <v>1292.5</v>
      </c>
      <c r="I11" s="276"/>
    </row>
    <row r="12" spans="2:9" x14ac:dyDescent="0.25">
      <c r="B12" s="1544" t="str">
        <f>+Equipo!A32</f>
        <v>VIBROCOMPACTADOR DYNAPACc (10 ton)</v>
      </c>
      <c r="C12" s="1545"/>
      <c r="D12" s="1546"/>
      <c r="E12" s="272"/>
      <c r="F12" s="273">
        <f>+Equipo!C32</f>
        <v>103400</v>
      </c>
      <c r="G12" s="274">
        <f>+G11</f>
        <v>50</v>
      </c>
      <c r="H12" s="275">
        <f>+F12/G12</f>
        <v>2068</v>
      </c>
      <c r="I12" s="276"/>
    </row>
    <row r="13" spans="2:9" x14ac:dyDescent="0.25">
      <c r="B13" s="1544" t="str">
        <f>+Equipo!A66</f>
        <v>MOTONIVELADORA</v>
      </c>
      <c r="C13" s="1545"/>
      <c r="D13" s="1546"/>
      <c r="E13" s="272"/>
      <c r="F13" s="273">
        <f>+Equipo!C66</f>
        <v>124080</v>
      </c>
      <c r="G13" s="274">
        <f>+G12</f>
        <v>50</v>
      </c>
      <c r="H13" s="275">
        <f>+F13/G13</f>
        <v>2481.6</v>
      </c>
      <c r="I13" s="276"/>
    </row>
    <row r="14" spans="2:9" x14ac:dyDescent="0.25">
      <c r="B14" s="1544"/>
      <c r="C14" s="1545"/>
      <c r="D14" s="1546"/>
      <c r="E14" s="280"/>
      <c r="F14" s="283"/>
      <c r="G14" s="274"/>
      <c r="H14" s="275"/>
      <c r="I14" s="276"/>
    </row>
    <row r="15" spans="2:9" x14ac:dyDescent="0.25">
      <c r="B15" s="269"/>
      <c r="C15" s="270"/>
      <c r="D15" s="271"/>
      <c r="E15" s="280"/>
      <c r="F15" s="283"/>
      <c r="G15" s="274"/>
      <c r="H15" s="275"/>
      <c r="I15" s="276"/>
    </row>
    <row r="16" spans="2:9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5842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tr">
        <f>+Materiales!A99</f>
        <v>MATERIAL DE AFIRMADO</v>
      </c>
      <c r="C22" s="293"/>
      <c r="D22" s="294"/>
      <c r="E22" s="272" t="s">
        <v>18</v>
      </c>
      <c r="F22" s="273">
        <f>+Materiales!C99</f>
        <v>31020</v>
      </c>
      <c r="G22" s="274">
        <v>1</v>
      </c>
      <c r="H22" s="275">
        <f>+G22*F22</f>
        <v>31020</v>
      </c>
      <c r="I22" s="276"/>
    </row>
    <row r="23" spans="2:9" x14ac:dyDescent="0.25">
      <c r="B23" s="292" t="s">
        <v>490</v>
      </c>
      <c r="C23" s="293"/>
      <c r="D23" s="294"/>
      <c r="E23" s="272"/>
      <c r="F23" s="273"/>
      <c r="G23" s="274"/>
      <c r="H23" s="275"/>
      <c r="I23" s="276"/>
    </row>
    <row r="24" spans="2:9" x14ac:dyDescent="0.25">
      <c r="B24" s="292"/>
      <c r="C24" s="293"/>
      <c r="D24" s="294"/>
      <c r="E24" s="272"/>
      <c r="F24" s="273"/>
      <c r="G24" s="282"/>
      <c r="H24" s="275"/>
      <c r="I24" s="276"/>
    </row>
    <row r="25" spans="2:9" x14ac:dyDescent="0.25">
      <c r="B25" s="292"/>
      <c r="C25" s="293"/>
      <c r="D25" s="294"/>
      <c r="E25" s="272"/>
      <c r="F25" s="273"/>
      <c r="G25" s="282"/>
      <c r="H25" s="275"/>
      <c r="I25" s="276"/>
    </row>
    <row r="26" spans="2:9" x14ac:dyDescent="0.25">
      <c r="B26" s="292"/>
      <c r="C26" s="293"/>
      <c r="D26" s="294"/>
      <c r="E26" s="272"/>
      <c r="F26" s="273"/>
      <c r="G26" s="282"/>
      <c r="H26" s="275"/>
      <c r="I26" s="276"/>
    </row>
    <row r="27" spans="2:9" x14ac:dyDescent="0.25">
      <c r="B27" s="292"/>
      <c r="C27" s="293"/>
      <c r="D27" s="294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31020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292" t="s">
        <v>440</v>
      </c>
      <c r="C32" s="294"/>
      <c r="D32" s="306">
        <f>+G22*1.25</f>
        <v>1.25</v>
      </c>
      <c r="E32" s="309">
        <f>+'310,1'!E32</f>
        <v>80</v>
      </c>
      <c r="F32" s="307">
        <f>+D32*E32</f>
        <v>100</v>
      </c>
      <c r="G32" s="308">
        <f>+Equipo!C92</f>
        <v>1241</v>
      </c>
      <c r="H32" s="274">
        <f>+G32*F32</f>
        <v>124100</v>
      </c>
      <c r="I32" s="276"/>
    </row>
    <row r="33" spans="2:9" x14ac:dyDescent="0.25">
      <c r="B33" s="292"/>
      <c r="C33" s="29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124100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f>+G11*8</f>
        <v>400</v>
      </c>
      <c r="H39" s="316">
        <f>+F39/G39</f>
        <v>299.87574999999998</v>
      </c>
      <c r="I39" s="276"/>
    </row>
    <row r="40" spans="2:9" x14ac:dyDescent="0.25">
      <c r="B40" s="292"/>
      <c r="C40" s="294"/>
      <c r="D40" s="317"/>
      <c r="E40" s="315"/>
      <c r="F40" s="273"/>
      <c r="G40" s="274"/>
      <c r="H40" s="275"/>
      <c r="I40" s="276"/>
    </row>
    <row r="41" spans="2:9" x14ac:dyDescent="0.25">
      <c r="B41" s="292"/>
      <c r="C41" s="294"/>
      <c r="D41" s="317"/>
      <c r="E41" s="315"/>
      <c r="F41" s="273"/>
      <c r="G41" s="274"/>
      <c r="H41" s="275"/>
      <c r="I41" s="276"/>
    </row>
    <row r="42" spans="2:9" x14ac:dyDescent="0.25">
      <c r="B42" s="292"/>
      <c r="C42" s="294"/>
      <c r="D42" s="340"/>
      <c r="E42" s="315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300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161262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32252.400000000001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8063.1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8063.1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48379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209641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2">
    <mergeCell ref="B13:D13"/>
    <mergeCell ref="E2:I3"/>
    <mergeCell ref="E4:I4"/>
    <mergeCell ref="B10:D10"/>
    <mergeCell ref="B11:D11"/>
    <mergeCell ref="B12:D12"/>
    <mergeCell ref="F60:I60"/>
    <mergeCell ref="F61:I61"/>
    <mergeCell ref="B14:D14"/>
    <mergeCell ref="B17:D17"/>
    <mergeCell ref="B18:D18"/>
    <mergeCell ref="B21:D21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  <colBreaks count="1" manualBreakCount="1">
    <brk id="10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C7" sqref="C7"/>
    </sheetView>
  </sheetViews>
  <sheetFormatPr baseColWidth="10" defaultRowHeight="15" x14ac:dyDescent="0.25"/>
  <sheetData>
    <row r="1" spans="2:9" ht="15.75" thickBot="1" x14ac:dyDescent="0.3">
      <c r="B1" s="252"/>
      <c r="C1" s="252"/>
      <c r="D1" s="252"/>
      <c r="E1" s="252"/>
      <c r="F1" s="252"/>
      <c r="G1" s="252"/>
      <c r="H1" s="252"/>
      <c r="I1" s="252"/>
    </row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3.2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25</v>
      </c>
    </row>
    <row r="7" spans="2:9" x14ac:dyDescent="0.25">
      <c r="B7" s="255" t="s">
        <v>545</v>
      </c>
      <c r="C7" s="554" t="str">
        <f>+P.Detall!E27</f>
        <v>AFIRMADO</v>
      </c>
      <c r="D7" s="1163" t="s">
        <v>1245</v>
      </c>
      <c r="E7" s="256"/>
      <c r="F7" s="256"/>
      <c r="G7" s="256"/>
      <c r="H7" s="259" t="s">
        <v>546</v>
      </c>
      <c r="I7" s="554" t="str">
        <f>+P.Detall!F27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1146" t="s">
        <v>549</v>
      </c>
      <c r="F10" s="266" t="s">
        <v>550</v>
      </c>
      <c r="G10" s="1146" t="s">
        <v>551</v>
      </c>
      <c r="H10" s="1145" t="s">
        <v>552</v>
      </c>
      <c r="I10" s="268"/>
    </row>
    <row r="11" spans="2:9" x14ac:dyDescent="0.25">
      <c r="B11" s="1559" t="str">
        <f>+Equipo!A24</f>
        <v>CARROTANQUE DE AGUA 10000 LITROS</v>
      </c>
      <c r="C11" s="1545"/>
      <c r="D11" s="1546"/>
      <c r="E11" s="272"/>
      <c r="F11" s="273">
        <f>+Equipo!C24</f>
        <v>64625</v>
      </c>
      <c r="G11" s="274">
        <v>50</v>
      </c>
      <c r="H11" s="275">
        <f>+F11/G11</f>
        <v>1292.5</v>
      </c>
      <c r="I11" s="276"/>
    </row>
    <row r="12" spans="2:9" x14ac:dyDescent="0.25">
      <c r="B12" s="1544" t="str">
        <f>+Equipo!A32</f>
        <v>VIBROCOMPACTADOR DYNAPACc (10 ton)</v>
      </c>
      <c r="C12" s="1545"/>
      <c r="D12" s="1546"/>
      <c r="E12" s="272"/>
      <c r="F12" s="273">
        <f>+Equipo!C32</f>
        <v>103400</v>
      </c>
      <c r="G12" s="274">
        <f>+G11</f>
        <v>50</v>
      </c>
      <c r="H12" s="275">
        <f>+F12/G12</f>
        <v>2068</v>
      </c>
      <c r="I12" s="276"/>
    </row>
    <row r="13" spans="2:9" x14ac:dyDescent="0.25">
      <c r="B13" s="1544" t="str">
        <f>+Equipo!A66</f>
        <v>MOTONIVELADORA</v>
      </c>
      <c r="C13" s="1545"/>
      <c r="D13" s="1546"/>
      <c r="E13" s="272"/>
      <c r="F13" s="273">
        <f>+Equipo!C66</f>
        <v>124080</v>
      </c>
      <c r="G13" s="274">
        <f>+G12</f>
        <v>50</v>
      </c>
      <c r="H13" s="275">
        <f>+F13/G13</f>
        <v>2481.6</v>
      </c>
      <c r="I13" s="276"/>
    </row>
    <row r="14" spans="2:9" x14ac:dyDescent="0.25">
      <c r="B14" s="1544"/>
      <c r="C14" s="1545"/>
      <c r="D14" s="1546"/>
      <c r="E14" s="280"/>
      <c r="F14" s="283"/>
      <c r="G14" s="274"/>
      <c r="H14" s="275"/>
      <c r="I14" s="276"/>
    </row>
    <row r="15" spans="2:9" x14ac:dyDescent="0.25">
      <c r="B15" s="1142"/>
      <c r="C15" s="1143"/>
      <c r="D15" s="1144"/>
      <c r="E15" s="280"/>
      <c r="F15" s="283"/>
      <c r="G15" s="274"/>
      <c r="H15" s="275"/>
      <c r="I15" s="276"/>
    </row>
    <row r="16" spans="2:9" x14ac:dyDescent="0.25">
      <c r="B16" s="1142"/>
      <c r="C16" s="1143"/>
      <c r="D16" s="1144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5842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1146" t="s">
        <v>556</v>
      </c>
      <c r="F21" s="1146" t="s">
        <v>557</v>
      </c>
      <c r="G21" s="1146" t="s">
        <v>558</v>
      </c>
      <c r="H21" s="1145" t="s">
        <v>552</v>
      </c>
      <c r="I21" s="268"/>
    </row>
    <row r="22" spans="2:9" x14ac:dyDescent="0.25">
      <c r="B22" s="292" t="str">
        <f>+Materiales!A99</f>
        <v>MATERIAL DE AFIRMADO</v>
      </c>
      <c r="C22" s="293"/>
      <c r="D22" s="294"/>
      <c r="E22" s="272" t="s">
        <v>18</v>
      </c>
      <c r="F22" s="273">
        <f>+Materiales!C99</f>
        <v>31020</v>
      </c>
      <c r="G22" s="274">
        <v>0.35</v>
      </c>
      <c r="H22" s="275">
        <f>+G22*F22</f>
        <v>10857</v>
      </c>
      <c r="I22" s="276"/>
    </row>
    <row r="23" spans="2:9" x14ac:dyDescent="0.25">
      <c r="B23" s="292" t="s">
        <v>490</v>
      </c>
      <c r="C23" s="293"/>
      <c r="D23" s="294"/>
      <c r="E23" s="272"/>
      <c r="F23" s="273"/>
      <c r="G23" s="274"/>
      <c r="H23" s="275"/>
      <c r="I23" s="276"/>
    </row>
    <row r="24" spans="2:9" x14ac:dyDescent="0.25">
      <c r="B24" s="292"/>
      <c r="C24" s="293"/>
      <c r="D24" s="294"/>
      <c r="E24" s="272"/>
      <c r="F24" s="273"/>
      <c r="G24" s="282"/>
      <c r="H24" s="275"/>
      <c r="I24" s="276"/>
    </row>
    <row r="25" spans="2:9" x14ac:dyDescent="0.25">
      <c r="B25" s="292"/>
      <c r="C25" s="293"/>
      <c r="D25" s="294"/>
      <c r="E25" s="272"/>
      <c r="F25" s="273"/>
      <c r="G25" s="282"/>
      <c r="H25" s="275"/>
      <c r="I25" s="276"/>
    </row>
    <row r="26" spans="2:9" x14ac:dyDescent="0.25">
      <c r="B26" s="292"/>
      <c r="C26" s="293"/>
      <c r="D26" s="294"/>
      <c r="E26" s="272"/>
      <c r="F26" s="273"/>
      <c r="G26" s="282"/>
      <c r="H26" s="275"/>
      <c r="I26" s="276"/>
    </row>
    <row r="27" spans="2:9" x14ac:dyDescent="0.25">
      <c r="B27" s="292"/>
      <c r="C27" s="293"/>
      <c r="D27" s="294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10857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1146" t="s">
        <v>562</v>
      </c>
      <c r="F31" s="1146" t="s">
        <v>563</v>
      </c>
      <c r="G31" s="1146" t="s">
        <v>564</v>
      </c>
      <c r="H31" s="305" t="s">
        <v>552</v>
      </c>
      <c r="I31" s="268"/>
    </row>
    <row r="32" spans="2:9" x14ac:dyDescent="0.25">
      <c r="B32" s="292" t="s">
        <v>440</v>
      </c>
      <c r="C32" s="294"/>
      <c r="D32" s="306">
        <f>+G22</f>
        <v>0.35</v>
      </c>
      <c r="E32" s="309">
        <f>+'310,1'!E32</f>
        <v>80</v>
      </c>
      <c r="F32" s="307">
        <f>+D32*E32</f>
        <v>28</v>
      </c>
      <c r="G32" s="308">
        <f>+Equipo!C92</f>
        <v>1241</v>
      </c>
      <c r="H32" s="274">
        <f>+G32*F32</f>
        <v>34748</v>
      </c>
      <c r="I32" s="276"/>
    </row>
    <row r="33" spans="2:9" x14ac:dyDescent="0.25">
      <c r="B33" s="292"/>
      <c r="C33" s="29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34748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1146" t="s">
        <v>568</v>
      </c>
      <c r="E38" s="1146" t="s">
        <v>569</v>
      </c>
      <c r="F38" s="266" t="s">
        <v>570</v>
      </c>
      <c r="G38" s="312" t="s">
        <v>551</v>
      </c>
      <c r="H38" s="1145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f>+G11*8</f>
        <v>400</v>
      </c>
      <c r="H39" s="316">
        <f>+F39/G39</f>
        <v>299.87574999999998</v>
      </c>
      <c r="I39" s="276"/>
    </row>
    <row r="40" spans="2:9" x14ac:dyDescent="0.25">
      <c r="B40" s="292"/>
      <c r="C40" s="294"/>
      <c r="D40" s="317"/>
      <c r="E40" s="315"/>
      <c r="F40" s="273"/>
      <c r="G40" s="274"/>
      <c r="H40" s="275"/>
      <c r="I40" s="276"/>
    </row>
    <row r="41" spans="2:9" x14ac:dyDescent="0.25">
      <c r="B41" s="292"/>
      <c r="C41" s="294"/>
      <c r="D41" s="317"/>
      <c r="E41" s="315"/>
      <c r="F41" s="273"/>
      <c r="G41" s="274"/>
      <c r="H41" s="275"/>
      <c r="I41" s="276"/>
    </row>
    <row r="42" spans="2:9" x14ac:dyDescent="0.25">
      <c r="B42" s="292"/>
      <c r="C42" s="294"/>
      <c r="D42" s="340"/>
      <c r="E42" s="315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300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51747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2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10349.400000000001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2587.3500000000004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2587.3500000000004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15524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67271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2">
    <mergeCell ref="F61:I61"/>
    <mergeCell ref="E2:I3"/>
    <mergeCell ref="E4:I4"/>
    <mergeCell ref="B10:D10"/>
    <mergeCell ref="B11:D11"/>
    <mergeCell ref="B12:D12"/>
    <mergeCell ref="B13:D13"/>
    <mergeCell ref="B14:D14"/>
    <mergeCell ref="B17:D17"/>
    <mergeCell ref="B18:D18"/>
    <mergeCell ref="B21:D21"/>
    <mergeCell ref="F60:I60"/>
  </mergeCells>
  <hyperlinks>
    <hyperlink ref="C7" location="P.Detall!A1" display="P.Detall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  <colBreaks count="1" manualBreakCount="1">
    <brk id="10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G37" sqref="G37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4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253"/>
      <c r="C5" s="254"/>
      <c r="D5" s="254"/>
      <c r="E5" s="254"/>
      <c r="F5" s="254"/>
      <c r="G5" s="254"/>
      <c r="H5" s="254"/>
      <c r="I5" s="254"/>
    </row>
    <row r="6" spans="2:9" x14ac:dyDescent="0.25">
      <c r="B6" s="255" t="s">
        <v>543</v>
      </c>
      <c r="C6" s="558" t="str">
        <f>+'Presup '!B7</f>
        <v>Via  LA LAGUNA, SALINAS, LOS OLIVOS</v>
      </c>
      <c r="D6" s="257"/>
      <c r="E6" s="258"/>
      <c r="F6" s="256"/>
      <c r="G6" s="258"/>
      <c r="H6" s="259" t="s">
        <v>544</v>
      </c>
      <c r="I6" s="260" t="s">
        <v>608</v>
      </c>
    </row>
    <row r="7" spans="2:9" x14ac:dyDescent="0.25">
      <c r="B7" s="255" t="s">
        <v>545</v>
      </c>
      <c r="C7" s="554" t="str">
        <f>+P.Detall!E28</f>
        <v>SUBBASE GRANULAR</v>
      </c>
      <c r="D7" s="257"/>
      <c r="E7" s="256"/>
      <c r="F7" s="256"/>
      <c r="G7" s="256"/>
      <c r="H7" s="259" t="s">
        <v>546</v>
      </c>
      <c r="I7" s="554" t="str">
        <f>+P.Detall!F28</f>
        <v>M3</v>
      </c>
    </row>
    <row r="8" spans="2:9" x14ac:dyDescent="0.25">
      <c r="B8" s="261"/>
      <c r="C8" s="261"/>
      <c r="D8" s="262"/>
      <c r="E8" s="261"/>
      <c r="F8" s="261"/>
      <c r="G8" s="261"/>
      <c r="H8" s="261"/>
      <c r="I8" s="262"/>
    </row>
    <row r="9" spans="2:9" ht="15.75" thickBot="1" x14ac:dyDescent="0.3">
      <c r="B9" s="263" t="s">
        <v>547</v>
      </c>
      <c r="C9" s="263"/>
      <c r="D9" s="262"/>
      <c r="E9" s="262"/>
      <c r="F9" s="262"/>
      <c r="G9" s="262"/>
      <c r="H9" s="262"/>
      <c r="I9" s="262"/>
    </row>
    <row r="10" spans="2:9" x14ac:dyDescent="0.25">
      <c r="B10" s="1550" t="s">
        <v>548</v>
      </c>
      <c r="C10" s="1551"/>
      <c r="D10" s="1552"/>
      <c r="E10" s="265" t="s">
        <v>549</v>
      </c>
      <c r="F10" s="266" t="s">
        <v>550</v>
      </c>
      <c r="G10" s="265" t="s">
        <v>551</v>
      </c>
      <c r="H10" s="267" t="s">
        <v>552</v>
      </c>
      <c r="I10" s="268"/>
    </row>
    <row r="11" spans="2:9" x14ac:dyDescent="0.25">
      <c r="B11" s="1559" t="str">
        <f>+Equipo!A24</f>
        <v>CARROTANQUE DE AGUA 10000 LITROS</v>
      </c>
      <c r="C11" s="1545"/>
      <c r="D11" s="1546"/>
      <c r="E11" s="272"/>
      <c r="F11" s="273">
        <f>+Equipo!C24</f>
        <v>64625</v>
      </c>
      <c r="G11" s="274">
        <v>45</v>
      </c>
      <c r="H11" s="275">
        <f>+F11/G11</f>
        <v>1436.1111111111111</v>
      </c>
      <c r="I11" s="276"/>
    </row>
    <row r="12" spans="2:9" x14ac:dyDescent="0.25">
      <c r="B12" s="1544" t="str">
        <f>+Equipo!A32</f>
        <v>VIBROCOMPACTADOR DYNAPACc (10 ton)</v>
      </c>
      <c r="C12" s="1545"/>
      <c r="D12" s="1546"/>
      <c r="E12" s="272"/>
      <c r="F12" s="273">
        <f>+Equipo!C32</f>
        <v>103400</v>
      </c>
      <c r="G12" s="274">
        <f>+G11</f>
        <v>45</v>
      </c>
      <c r="H12" s="275">
        <f>+F12/G12</f>
        <v>2297.7777777777778</v>
      </c>
      <c r="I12" s="276"/>
    </row>
    <row r="13" spans="2:9" x14ac:dyDescent="0.25">
      <c r="B13" s="1544" t="str">
        <f>+Equipo!A66</f>
        <v>MOTONIVELADORA</v>
      </c>
      <c r="C13" s="1545"/>
      <c r="D13" s="1546"/>
      <c r="E13" s="272"/>
      <c r="F13" s="273">
        <f>+Equipo!C66</f>
        <v>124080</v>
      </c>
      <c r="G13" s="274">
        <f>+G12</f>
        <v>45</v>
      </c>
      <c r="H13" s="275">
        <f>+F13/G13</f>
        <v>2757.3333333333335</v>
      </c>
      <c r="I13" s="276"/>
    </row>
    <row r="14" spans="2:9" x14ac:dyDescent="0.25">
      <c r="B14" s="1544" t="s">
        <v>609</v>
      </c>
      <c r="C14" s="1545"/>
      <c r="D14" s="1546"/>
      <c r="E14" s="280"/>
      <c r="F14" s="283"/>
      <c r="G14" s="274"/>
      <c r="H14" s="275">
        <f>0.1*I45</f>
        <v>33.300000000000004</v>
      </c>
      <c r="I14" s="276"/>
    </row>
    <row r="15" spans="2:9" x14ac:dyDescent="0.25">
      <c r="B15" s="269"/>
      <c r="C15" s="270"/>
      <c r="D15" s="271"/>
      <c r="E15" s="280"/>
      <c r="F15" s="283"/>
      <c r="G15" s="274"/>
      <c r="H15" s="275"/>
      <c r="I15" s="276"/>
    </row>
    <row r="16" spans="2:9" x14ac:dyDescent="0.25">
      <c r="B16" s="269"/>
      <c r="C16" s="270"/>
      <c r="D16" s="271"/>
      <c r="E16" s="280"/>
      <c r="F16" s="283"/>
      <c r="G16" s="274"/>
      <c r="H16" s="275"/>
      <c r="I16" s="276"/>
    </row>
    <row r="17" spans="2:9" x14ac:dyDescent="0.25">
      <c r="B17" s="1544"/>
      <c r="C17" s="1545"/>
      <c r="D17" s="1546"/>
      <c r="E17" s="280"/>
      <c r="F17" s="283"/>
      <c r="G17" s="274"/>
      <c r="H17" s="275"/>
      <c r="I17" s="276"/>
    </row>
    <row r="18" spans="2:9" ht="15.75" thickBot="1" x14ac:dyDescent="0.3">
      <c r="B18" s="1547"/>
      <c r="C18" s="1548"/>
      <c r="D18" s="1549"/>
      <c r="E18" s="285"/>
      <c r="F18" s="286"/>
      <c r="G18" s="287"/>
      <c r="H18" s="288"/>
      <c r="I18" s="289"/>
    </row>
    <row r="19" spans="2:9" ht="15.75" thickBot="1" x14ac:dyDescent="0.3">
      <c r="B19" s="262"/>
      <c r="C19" s="262"/>
      <c r="D19" s="262"/>
      <c r="E19" s="262"/>
      <c r="F19" s="262"/>
      <c r="G19" s="262"/>
      <c r="H19" s="290" t="s">
        <v>554</v>
      </c>
      <c r="I19" s="193">
        <f>ROUND(SUM(H11:H18),0)</f>
        <v>6525</v>
      </c>
    </row>
    <row r="20" spans="2:9" ht="15.75" thickBot="1" x14ac:dyDescent="0.3">
      <c r="B20" s="263" t="s">
        <v>555</v>
      </c>
      <c r="C20" s="263"/>
      <c r="D20" s="262"/>
      <c r="E20" s="262"/>
      <c r="F20" s="262"/>
      <c r="G20" s="262"/>
      <c r="H20" s="262"/>
      <c r="I20" s="262"/>
    </row>
    <row r="21" spans="2:9" x14ac:dyDescent="0.25">
      <c r="B21" s="1550" t="s">
        <v>548</v>
      </c>
      <c r="C21" s="1551"/>
      <c r="D21" s="1552"/>
      <c r="E21" s="265" t="s">
        <v>556</v>
      </c>
      <c r="F21" s="265" t="s">
        <v>557</v>
      </c>
      <c r="G21" s="265" t="s">
        <v>558</v>
      </c>
      <c r="H21" s="267" t="s">
        <v>552</v>
      </c>
      <c r="I21" s="268"/>
    </row>
    <row r="22" spans="2:9" x14ac:dyDescent="0.25">
      <c r="B22" s="292" t="str">
        <f>+Materiales!A108</f>
        <v>MATERIAL DE SUB- BASE CBR=40%</v>
      </c>
      <c r="C22" s="293"/>
      <c r="D22" s="294"/>
      <c r="E22" s="272" t="s">
        <v>18</v>
      </c>
      <c r="F22" s="273">
        <f>+Materiales!C108</f>
        <v>41360</v>
      </c>
      <c r="G22" s="274">
        <v>1.25</v>
      </c>
      <c r="H22" s="275">
        <f>+G22*F22</f>
        <v>51700</v>
      </c>
      <c r="I22" s="276"/>
    </row>
    <row r="23" spans="2:9" x14ac:dyDescent="0.25">
      <c r="B23" s="292" t="s">
        <v>490</v>
      </c>
      <c r="C23" s="293"/>
      <c r="D23" s="294"/>
      <c r="E23" s="272"/>
      <c r="F23" s="273"/>
      <c r="G23" s="274"/>
      <c r="H23" s="275"/>
      <c r="I23" s="276"/>
    </row>
    <row r="24" spans="2:9" x14ac:dyDescent="0.25">
      <c r="B24" s="292"/>
      <c r="C24" s="293"/>
      <c r="D24" s="294"/>
      <c r="E24" s="272"/>
      <c r="F24" s="273"/>
      <c r="G24" s="282"/>
      <c r="H24" s="275"/>
      <c r="I24" s="276"/>
    </row>
    <row r="25" spans="2:9" x14ac:dyDescent="0.25">
      <c r="B25" s="292"/>
      <c r="C25" s="293"/>
      <c r="D25" s="294"/>
      <c r="E25" s="272"/>
      <c r="F25" s="273"/>
      <c r="G25" s="282"/>
      <c r="H25" s="275"/>
      <c r="I25" s="276"/>
    </row>
    <row r="26" spans="2:9" x14ac:dyDescent="0.25">
      <c r="B26" s="292"/>
      <c r="C26" s="293"/>
      <c r="D26" s="294"/>
      <c r="E26" s="272"/>
      <c r="F26" s="273"/>
      <c r="G26" s="282"/>
      <c r="H26" s="275"/>
      <c r="I26" s="276"/>
    </row>
    <row r="27" spans="2:9" x14ac:dyDescent="0.25">
      <c r="B27" s="292"/>
      <c r="C27" s="293"/>
      <c r="D27" s="294"/>
      <c r="E27" s="272"/>
      <c r="F27" s="273"/>
      <c r="G27" s="282"/>
      <c r="H27" s="275"/>
      <c r="I27" s="276"/>
    </row>
    <row r="28" spans="2:9" ht="15.75" thickBot="1" x14ac:dyDescent="0.3">
      <c r="B28" s="297"/>
      <c r="C28" s="298"/>
      <c r="D28" s="299"/>
      <c r="E28" s="285"/>
      <c r="F28" s="286"/>
      <c r="G28" s="287"/>
      <c r="H28" s="288"/>
      <c r="I28" s="289"/>
    </row>
    <row r="29" spans="2:9" ht="15.75" thickBot="1" x14ac:dyDescent="0.3">
      <c r="B29" s="262"/>
      <c r="C29" s="262"/>
      <c r="D29" s="262"/>
      <c r="E29" s="262"/>
      <c r="F29" s="262"/>
      <c r="G29" s="262"/>
      <c r="H29" s="290" t="s">
        <v>554</v>
      </c>
      <c r="I29" s="193">
        <f>ROUND(SUM(H22:H27),0)</f>
        <v>51700</v>
      </c>
    </row>
    <row r="30" spans="2:9" ht="15.75" thickBot="1" x14ac:dyDescent="0.3">
      <c r="B30" s="300" t="s">
        <v>559</v>
      </c>
      <c r="C30" s="300"/>
      <c r="D30" s="301"/>
      <c r="E30" s="262"/>
      <c r="F30" s="262"/>
      <c r="G30" s="262"/>
      <c r="H30" s="262"/>
      <c r="I30" s="262"/>
    </row>
    <row r="31" spans="2:9" x14ac:dyDescent="0.25">
      <c r="B31" s="302" t="s">
        <v>560</v>
      </c>
      <c r="C31" s="303"/>
      <c r="D31" s="304" t="s">
        <v>561</v>
      </c>
      <c r="E31" s="265" t="s">
        <v>562</v>
      </c>
      <c r="F31" s="265" t="s">
        <v>563</v>
      </c>
      <c r="G31" s="265" t="s">
        <v>564</v>
      </c>
      <c r="H31" s="305" t="s">
        <v>552</v>
      </c>
      <c r="I31" s="268"/>
    </row>
    <row r="32" spans="2:9" x14ac:dyDescent="0.25">
      <c r="B32" s="292" t="s">
        <v>440</v>
      </c>
      <c r="C32" s="294"/>
      <c r="D32" s="539">
        <f>+G22*1.25</f>
        <v>1.5625</v>
      </c>
      <c r="E32" s="309">
        <f>+'311,1'!E32</f>
        <v>80</v>
      </c>
      <c r="F32" s="307">
        <f>+E32*D32</f>
        <v>125</v>
      </c>
      <c r="G32" s="308">
        <f>+Equipo!C92</f>
        <v>1241</v>
      </c>
      <c r="H32" s="274">
        <f>+G32*F32</f>
        <v>155125</v>
      </c>
      <c r="I32" s="276"/>
    </row>
    <row r="33" spans="2:9" x14ac:dyDescent="0.25">
      <c r="B33" s="292"/>
      <c r="C33" s="294"/>
      <c r="D33" s="306"/>
      <c r="E33" s="307"/>
      <c r="F33" s="307"/>
      <c r="G33" s="309"/>
      <c r="H33" s="274"/>
      <c r="I33" s="276"/>
    </row>
    <row r="34" spans="2:9" x14ac:dyDescent="0.25">
      <c r="B34" s="292"/>
      <c r="C34" s="294"/>
      <c r="D34" s="294"/>
      <c r="E34" s="272"/>
      <c r="F34" s="310"/>
      <c r="G34" s="274"/>
      <c r="H34" s="274"/>
      <c r="I34" s="276"/>
    </row>
    <row r="35" spans="2:9" ht="15.75" thickBot="1" x14ac:dyDescent="0.3">
      <c r="B35" s="297"/>
      <c r="C35" s="299"/>
      <c r="D35" s="311"/>
      <c r="E35" s="286"/>
      <c r="F35" s="287"/>
      <c r="G35" s="288"/>
      <c r="H35" s="285"/>
      <c r="I35" s="276"/>
    </row>
    <row r="36" spans="2:9" ht="15.75" thickBot="1" x14ac:dyDescent="0.3">
      <c r="B36" s="262"/>
      <c r="C36" s="262"/>
      <c r="D36" s="262"/>
      <c r="E36" s="262"/>
      <c r="F36" s="262"/>
      <c r="G36" s="262"/>
      <c r="H36" s="290" t="s">
        <v>554</v>
      </c>
      <c r="I36" s="193">
        <f>ROUND(SUM(H32:H35),0)</f>
        <v>155125</v>
      </c>
    </row>
    <row r="37" spans="2:9" ht="15.75" thickBot="1" x14ac:dyDescent="0.3">
      <c r="B37" s="300" t="s">
        <v>566</v>
      </c>
      <c r="C37" s="300"/>
      <c r="D37" s="262"/>
      <c r="E37" s="262"/>
      <c r="F37" s="262"/>
      <c r="G37" s="262"/>
      <c r="H37" s="262"/>
      <c r="I37" s="262"/>
    </row>
    <row r="38" spans="2:9" x14ac:dyDescent="0.25">
      <c r="B38" s="302" t="s">
        <v>567</v>
      </c>
      <c r="C38" s="303"/>
      <c r="D38" s="265" t="s">
        <v>568</v>
      </c>
      <c r="E38" s="265" t="s">
        <v>569</v>
      </c>
      <c r="F38" s="266" t="s">
        <v>570</v>
      </c>
      <c r="G38" s="312" t="s">
        <v>551</v>
      </c>
      <c r="H38" s="267" t="s">
        <v>552</v>
      </c>
      <c r="I38" s="268"/>
    </row>
    <row r="39" spans="2:9" x14ac:dyDescent="0.25">
      <c r="B39" s="292" t="str">
        <f>+MdeObra!A21</f>
        <v>OBREROS</v>
      </c>
      <c r="C39" s="313">
        <v>2</v>
      </c>
      <c r="D39" s="314">
        <f>+MdeObra!C21*C39</f>
        <v>64838</v>
      </c>
      <c r="E39" s="315">
        <f>+MdeObra!C10</f>
        <v>1.85</v>
      </c>
      <c r="F39" s="273">
        <f>+E39*D39</f>
        <v>119950.3</v>
      </c>
      <c r="G39" s="274">
        <f>+G11*8</f>
        <v>360</v>
      </c>
      <c r="H39" s="316">
        <f>+F39/G39</f>
        <v>333.19527777777779</v>
      </c>
      <c r="I39" s="276"/>
    </row>
    <row r="40" spans="2:9" x14ac:dyDescent="0.25">
      <c r="B40" s="292"/>
      <c r="C40" s="294"/>
      <c r="D40" s="317"/>
      <c r="E40" s="315"/>
      <c r="F40" s="273"/>
      <c r="G40" s="274"/>
      <c r="H40" s="275"/>
      <c r="I40" s="276"/>
    </row>
    <row r="41" spans="2:9" x14ac:dyDescent="0.25">
      <c r="B41" s="292"/>
      <c r="C41" s="294"/>
      <c r="D41" s="317"/>
      <c r="E41" s="315"/>
      <c r="F41" s="273"/>
      <c r="G41" s="274"/>
      <c r="H41" s="275"/>
      <c r="I41" s="276"/>
    </row>
    <row r="42" spans="2:9" x14ac:dyDescent="0.25">
      <c r="B42" s="292"/>
      <c r="C42" s="294"/>
      <c r="D42" s="340"/>
      <c r="E42" s="315"/>
      <c r="F42" s="273"/>
      <c r="G42" s="274"/>
      <c r="H42" s="275"/>
      <c r="I42" s="276"/>
    </row>
    <row r="43" spans="2:9" x14ac:dyDescent="0.25">
      <c r="B43" s="292"/>
      <c r="C43" s="294"/>
      <c r="D43" s="340"/>
      <c r="E43" s="272"/>
      <c r="F43" s="273"/>
      <c r="G43" s="274"/>
      <c r="H43" s="275"/>
      <c r="I43" s="276"/>
    </row>
    <row r="44" spans="2:9" ht="15.75" thickBot="1" x14ac:dyDescent="0.3">
      <c r="B44" s="297"/>
      <c r="C44" s="299"/>
      <c r="D44" s="318"/>
      <c r="E44" s="319"/>
      <c r="F44" s="319"/>
      <c r="G44" s="319"/>
      <c r="H44" s="301"/>
      <c r="I44" s="289"/>
    </row>
    <row r="45" spans="2:9" ht="15.75" thickBot="1" x14ac:dyDescent="0.3">
      <c r="B45" s="262"/>
      <c r="C45" s="262"/>
      <c r="D45" s="262"/>
      <c r="E45" s="262"/>
      <c r="F45" s="262"/>
      <c r="G45" s="262"/>
      <c r="H45" s="290" t="s">
        <v>554</v>
      </c>
      <c r="I45" s="291">
        <f>ROUND(SUM(H39:H44),0)</f>
        <v>333</v>
      </c>
    </row>
    <row r="46" spans="2:9" ht="15.75" thickBot="1" x14ac:dyDescent="0.3">
      <c r="B46" s="262"/>
      <c r="C46" s="262"/>
      <c r="D46" s="262"/>
      <c r="E46" s="262"/>
      <c r="F46" s="262"/>
      <c r="G46" s="262"/>
      <c r="H46" s="320"/>
      <c r="I46" s="257"/>
    </row>
    <row r="47" spans="2:9" ht="15.75" thickBot="1" x14ac:dyDescent="0.3">
      <c r="B47" s="262"/>
      <c r="C47" s="262"/>
      <c r="D47" s="262"/>
      <c r="E47" s="262"/>
      <c r="F47" s="321" t="s">
        <v>571</v>
      </c>
      <c r="G47" s="322"/>
      <c r="H47" s="322"/>
      <c r="I47" s="291">
        <f>I19+I29+I36+I45</f>
        <v>213683</v>
      </c>
    </row>
    <row r="48" spans="2:9" ht="15.75" thickBot="1" x14ac:dyDescent="0.3">
      <c r="B48" s="263" t="s">
        <v>572</v>
      </c>
      <c r="C48" s="263"/>
      <c r="D48" s="262"/>
      <c r="E48" s="262"/>
      <c r="F48" s="262"/>
      <c r="G48" s="262"/>
      <c r="H48" s="262"/>
      <c r="I48" s="262"/>
    </row>
    <row r="49" spans="2:9" x14ac:dyDescent="0.25">
      <c r="B49" s="323" t="s">
        <v>548</v>
      </c>
      <c r="C49" s="324"/>
      <c r="D49" s="324"/>
      <c r="E49" s="324"/>
      <c r="F49" s="325"/>
      <c r="G49" s="346" t="s">
        <v>573</v>
      </c>
      <c r="H49" s="327" t="s">
        <v>574</v>
      </c>
      <c r="I49" s="268"/>
    </row>
    <row r="50" spans="2:9" x14ac:dyDescent="0.25">
      <c r="B50" s="292" t="s">
        <v>519</v>
      </c>
      <c r="C50" s="293"/>
      <c r="D50" s="293"/>
      <c r="E50" s="293"/>
      <c r="F50" s="294"/>
      <c r="G50" s="560">
        <f>+MdeObra!C7</f>
        <v>0.2</v>
      </c>
      <c r="H50" s="329">
        <f>+G50*I47</f>
        <v>42736.600000000006</v>
      </c>
      <c r="I50" s="330"/>
    </row>
    <row r="51" spans="2:9" x14ac:dyDescent="0.25">
      <c r="B51" s="292" t="s">
        <v>575</v>
      </c>
      <c r="C51" s="293"/>
      <c r="D51" s="293"/>
      <c r="E51" s="293"/>
      <c r="F51" s="294"/>
      <c r="G51" s="328">
        <f>+MdeObra!C8</f>
        <v>0.05</v>
      </c>
      <c r="H51" s="329">
        <f>+G51*I47</f>
        <v>10684.150000000001</v>
      </c>
      <c r="I51" s="330"/>
    </row>
    <row r="52" spans="2:9" ht="15.75" thickBot="1" x14ac:dyDescent="0.3">
      <c r="B52" s="297" t="s">
        <v>522</v>
      </c>
      <c r="C52" s="298"/>
      <c r="D52" s="298"/>
      <c r="E52" s="298"/>
      <c r="F52" s="299"/>
      <c r="G52" s="331">
        <f>+MdeObra!C9</f>
        <v>0.05</v>
      </c>
      <c r="H52" s="332">
        <f>+G52*I47</f>
        <v>10684.150000000001</v>
      </c>
      <c r="I52" s="289"/>
    </row>
    <row r="53" spans="2:9" ht="15.75" thickBot="1" x14ac:dyDescent="0.3">
      <c r="B53" s="262"/>
      <c r="C53" s="262"/>
      <c r="D53" s="262"/>
      <c r="E53" s="262"/>
      <c r="F53" s="262"/>
      <c r="G53" s="262"/>
      <c r="H53" s="290" t="s">
        <v>554</v>
      </c>
      <c r="I53" s="333">
        <f>ROUND(SUM(H50:H52),0)</f>
        <v>64105</v>
      </c>
    </row>
    <row r="54" spans="2:9" ht="15.75" thickBot="1" x14ac:dyDescent="0.3">
      <c r="B54" s="262"/>
      <c r="C54" s="262"/>
      <c r="D54" s="262"/>
      <c r="E54" s="262"/>
      <c r="F54" s="262"/>
      <c r="G54" s="262"/>
      <c r="H54" s="262"/>
      <c r="I54" s="262"/>
    </row>
    <row r="55" spans="2:9" ht="16.5" thickTop="1" thickBot="1" x14ac:dyDescent="0.3">
      <c r="B55" s="252"/>
      <c r="C55" s="252"/>
      <c r="D55" s="262"/>
      <c r="E55" s="321" t="s">
        <v>576</v>
      </c>
      <c r="F55" s="322"/>
      <c r="G55" s="322"/>
      <c r="H55" s="322"/>
      <c r="I55" s="334">
        <f>ROUND((I47+I53),0)</f>
        <v>277788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2">
    <mergeCell ref="B13:D13"/>
    <mergeCell ref="E2:I3"/>
    <mergeCell ref="E4:I4"/>
    <mergeCell ref="B10:D10"/>
    <mergeCell ref="B11:D11"/>
    <mergeCell ref="B12:D12"/>
    <mergeCell ref="F60:I60"/>
    <mergeCell ref="F61:I61"/>
    <mergeCell ref="B14:D14"/>
    <mergeCell ref="B17:D17"/>
    <mergeCell ref="B18:D18"/>
    <mergeCell ref="B21:D21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  <colBreaks count="1" manualBreakCount="1">
    <brk id="1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6" zoomScaleNormal="100" zoomScaleSheetLayoutView="100" workbookViewId="0"/>
  </sheetViews>
  <sheetFormatPr baseColWidth="10" defaultRowHeight="15" x14ac:dyDescent="0.25"/>
  <cols>
    <col min="1" max="1" width="8.42578125" customWidth="1"/>
    <col min="3" max="3" width="15.28515625" customWidth="1"/>
    <col min="4" max="4" width="15.42578125" customWidth="1"/>
    <col min="10" max="10" width="8.1406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3.2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165" t="s">
        <v>610</v>
      </c>
    </row>
    <row r="7" spans="2:9" x14ac:dyDescent="0.25">
      <c r="B7" s="160" t="s">
        <v>545</v>
      </c>
      <c r="C7" s="554" t="str">
        <f>+P.Detall!E33</f>
        <v>CONCRETO HIDRAULICO DE 210 KG/CM² (3.000 PSI) CLASE D, ESPESOR 0,15 M - PLACAS Y DENTELLONES</v>
      </c>
      <c r="D7" s="162"/>
      <c r="E7" s="161"/>
      <c r="F7" s="161"/>
      <c r="G7" s="161"/>
      <c r="H7" s="164" t="s">
        <v>546</v>
      </c>
      <c r="I7" s="554" t="str">
        <f>+P.Detall!F33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+Equipo!A37</f>
        <v>CORTADORA DE PAVIMENTO</v>
      </c>
      <c r="C11" s="1527"/>
      <c r="D11" s="1528"/>
      <c r="E11" s="175"/>
      <c r="F11" s="176">
        <f>+Equipo!C37</f>
        <v>12408</v>
      </c>
      <c r="G11" s="753">
        <v>3.5</v>
      </c>
      <c r="H11" s="178">
        <f t="shared" ref="H11:H16" si="0">F11/G11</f>
        <v>3545.1428571428573</v>
      </c>
      <c r="I11" s="179"/>
    </row>
    <row r="12" spans="2:9" x14ac:dyDescent="0.25">
      <c r="B12" s="1526" t="str">
        <f>+Equipo!A78</f>
        <v>REGLA VIBRATORIA L=4M</v>
      </c>
      <c r="C12" s="1527"/>
      <c r="D12" s="1528"/>
      <c r="E12" s="175"/>
      <c r="F12" s="176">
        <f>+Equipo!C78</f>
        <v>7615</v>
      </c>
      <c r="G12" s="753">
        <v>6</v>
      </c>
      <c r="H12" s="178">
        <f t="shared" si="0"/>
        <v>1269.1666666666667</v>
      </c>
      <c r="I12" s="179"/>
    </row>
    <row r="13" spans="2:9" x14ac:dyDescent="0.25">
      <c r="B13" s="1526" t="str">
        <f>+Equipo!A51</f>
        <v>FORMALETA METÁLICA (CONCRETO HIDRÁULICO)</v>
      </c>
      <c r="C13" s="1527"/>
      <c r="D13" s="1528"/>
      <c r="E13" s="175"/>
      <c r="F13" s="176">
        <f>+Equipo!C51</f>
        <v>2848</v>
      </c>
      <c r="G13" s="753">
        <v>6</v>
      </c>
      <c r="H13" s="178">
        <f t="shared" si="0"/>
        <v>474.66666666666669</v>
      </c>
      <c r="I13" s="179"/>
    </row>
    <row r="14" spans="2:9" x14ac:dyDescent="0.25">
      <c r="B14" s="1526" t="str">
        <f>+Equipo!A104</f>
        <v>VIBRADOR DE CONCRETO</v>
      </c>
      <c r="C14" s="1527"/>
      <c r="D14" s="1528"/>
      <c r="E14" s="175"/>
      <c r="F14" s="176">
        <f>+Equipo!C104</f>
        <v>15510</v>
      </c>
      <c r="G14" s="753">
        <v>6</v>
      </c>
      <c r="H14" s="178">
        <f t="shared" si="0"/>
        <v>2585</v>
      </c>
      <c r="I14" s="179"/>
    </row>
    <row r="15" spans="2:9" x14ac:dyDescent="0.25">
      <c r="B15" s="1526" t="str">
        <f>+Equipo!A35</f>
        <v>COMPRESOR (BARRIDO Y SOPLADO)</v>
      </c>
      <c r="C15" s="1527"/>
      <c r="D15" s="1528"/>
      <c r="E15" s="175"/>
      <c r="F15" s="176">
        <f>+Equipo!C35</f>
        <v>64586</v>
      </c>
      <c r="G15" s="753">
        <v>50</v>
      </c>
      <c r="H15" s="178">
        <f t="shared" si="0"/>
        <v>1291.72</v>
      </c>
      <c r="I15" s="179"/>
    </row>
    <row r="16" spans="2:9" x14ac:dyDescent="0.25">
      <c r="B16" s="1526" t="str">
        <f>+Equipo!A9</f>
        <v>ASPERSOR MANUAL</v>
      </c>
      <c r="C16" s="1527"/>
      <c r="D16" s="1528"/>
      <c r="E16" s="175"/>
      <c r="F16" s="176">
        <f>+Equipo!C9</f>
        <v>2068</v>
      </c>
      <c r="G16" s="753">
        <v>6</v>
      </c>
      <c r="H16" s="178">
        <f t="shared" si="0"/>
        <v>344.66666666666669</v>
      </c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I45*0.1</f>
        <v>449.8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9960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+Materiales!A62</f>
        <v>CONCRETO HIDRÁULICO PARA PAVIMENTO MR-43</v>
      </c>
      <c r="C22" s="200"/>
      <c r="D22" s="201"/>
      <c r="E22" s="175" t="s">
        <v>18</v>
      </c>
      <c r="F22" s="176">
        <f>+Materiales!C62</f>
        <v>430066</v>
      </c>
      <c r="G22" s="753">
        <v>1</v>
      </c>
      <c r="H22" s="178">
        <f t="shared" ref="H22:H27" si="1">+G22*F22</f>
        <v>430066</v>
      </c>
      <c r="I22" s="179"/>
    </row>
    <row r="23" spans="2:9" x14ac:dyDescent="0.25">
      <c r="B23" s="199" t="str">
        <f>+Materiales!A148</f>
        <v>SELLO DE SILICONA O SELLADOR AUTONIVELANTE</v>
      </c>
      <c r="C23" s="200"/>
      <c r="D23" s="201"/>
      <c r="E23" s="175" t="s">
        <v>15</v>
      </c>
      <c r="F23" s="176">
        <f>+Materiales!C148</f>
        <v>5609</v>
      </c>
      <c r="G23" s="753">
        <v>1.1100000000000001</v>
      </c>
      <c r="H23" s="178">
        <f t="shared" si="1"/>
        <v>6225.9900000000007</v>
      </c>
      <c r="I23" s="179"/>
    </row>
    <row r="24" spans="2:9" x14ac:dyDescent="0.25">
      <c r="B24" s="199" t="str">
        <f>+Materiales!A56</f>
        <v>CINTILLA DE POLIURETANO (SIKAROD) (PAVIMENTOS DE CONCRETO HIDRÁULICO) (ÍTEM 500)</v>
      </c>
      <c r="C24" s="200"/>
      <c r="D24" s="201"/>
      <c r="E24" s="175" t="s">
        <v>15</v>
      </c>
      <c r="F24" s="176">
        <f>+Materiales!C56</f>
        <v>948</v>
      </c>
      <c r="G24" s="753">
        <v>1.1100000000000001</v>
      </c>
      <c r="H24" s="178">
        <f t="shared" si="1"/>
        <v>1052.2800000000002</v>
      </c>
      <c r="I24" s="179"/>
    </row>
    <row r="25" spans="2:9" x14ac:dyDescent="0.25">
      <c r="B25" s="199" t="str">
        <f>+Materiales!A39</f>
        <v>BARRAS DE TRANSFERENCIA DE CARGA 1"</v>
      </c>
      <c r="C25" s="200"/>
      <c r="D25" s="201"/>
      <c r="E25" s="175" t="s">
        <v>338</v>
      </c>
      <c r="F25" s="176">
        <f>+Materiales!C39</f>
        <v>3495</v>
      </c>
      <c r="G25" s="753">
        <v>6.14</v>
      </c>
      <c r="H25" s="178">
        <f t="shared" si="1"/>
        <v>21459.3</v>
      </c>
      <c r="I25" s="179"/>
    </row>
    <row r="26" spans="2:9" x14ac:dyDescent="0.25">
      <c r="B26" s="199" t="str">
        <f>+Materiales!A40</f>
        <v>BARRAS DE UNIÓN 1/2" Y CANASTILLA</v>
      </c>
      <c r="C26" s="200"/>
      <c r="D26" s="201"/>
      <c r="E26" s="175" t="s">
        <v>338</v>
      </c>
      <c r="F26" s="176">
        <f>+Materiales!C40</f>
        <v>3340</v>
      </c>
      <c r="G26" s="753">
        <v>0.4</v>
      </c>
      <c r="H26" s="178">
        <f t="shared" si="1"/>
        <v>1336</v>
      </c>
      <c r="I26" s="179"/>
    </row>
    <row r="27" spans="2:9" x14ac:dyDescent="0.25">
      <c r="B27" s="199" t="str">
        <f>+Materiales!A32</f>
        <v>ANTISOL</v>
      </c>
      <c r="C27" s="200"/>
      <c r="D27" s="201"/>
      <c r="E27" s="175" t="s">
        <v>338</v>
      </c>
      <c r="F27" s="176">
        <f>+Materiales!C32</f>
        <v>5433</v>
      </c>
      <c r="G27" s="753">
        <v>1.1200000000000001</v>
      </c>
      <c r="H27" s="178">
        <f t="shared" si="1"/>
        <v>6084.9600000000009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466225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+B22</f>
        <v>CONCRETO HIDRÁULICO PARA PAVIMENTO MR-43</v>
      </c>
      <c r="C32" s="196"/>
      <c r="D32" s="347">
        <f>+G22</f>
        <v>1</v>
      </c>
      <c r="E32" s="309">
        <f>+'200.2'!P15</f>
        <v>80</v>
      </c>
      <c r="F32" s="347">
        <f>D32*E32</f>
        <v>80</v>
      </c>
      <c r="G32" s="216">
        <f>+Equipo!C93</f>
        <v>1241</v>
      </c>
      <c r="H32" s="178">
        <f>F32*G32</f>
        <v>99280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99280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7</v>
      </c>
      <c r="D39" s="222">
        <f>+MdeObra!C21*C39</f>
        <v>226933</v>
      </c>
      <c r="E39" s="315">
        <f>+MdeObra!C10</f>
        <v>1.85</v>
      </c>
      <c r="F39" s="176">
        <f>+E39*D39</f>
        <v>419826.05000000005</v>
      </c>
      <c r="G39" s="177">
        <v>120</v>
      </c>
      <c r="H39" s="224">
        <f>+F39/G39</f>
        <v>3498.5504166666669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120</v>
      </c>
      <c r="H40" s="224">
        <f>+F40/G40</f>
        <v>999.5704166666668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4498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579963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115992.6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28998.15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28998.15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173989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753952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3" zoomScaleNormal="100" zoomScaleSheetLayoutView="100" workbookViewId="0">
      <selection activeCell="K50" sqref="K50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2.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'!B39</f>
        <v>600.1.1</v>
      </c>
    </row>
    <row r="7" spans="2:9" x14ac:dyDescent="0.25">
      <c r="B7" s="160" t="s">
        <v>545</v>
      </c>
      <c r="C7" s="554" t="str">
        <f>+P.Detall!E39</f>
        <v>EXCAVACIONES VARIAS SIN CLASIFICAR</v>
      </c>
      <c r="D7" s="162"/>
      <c r="E7" s="161"/>
      <c r="F7" s="161"/>
      <c r="G7" s="161"/>
      <c r="H7" s="164" t="s">
        <v>546</v>
      </c>
      <c r="I7" s="554" t="str">
        <f>+P.Detall!F39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+Equipo!A85</f>
        <v>RETROCARGADOR DOBLE TRANSMISIÓN</v>
      </c>
      <c r="C11" s="1527"/>
      <c r="D11" s="1528"/>
      <c r="E11" s="175"/>
      <c r="F11" s="176">
        <f>+Equipo!C85</f>
        <v>77550</v>
      </c>
      <c r="G11" s="177">
        <v>15</v>
      </c>
      <c r="H11" s="178">
        <f>F11/G11</f>
        <v>5170</v>
      </c>
      <c r="I11" s="179"/>
    </row>
    <row r="12" spans="2:9" x14ac:dyDescent="0.25">
      <c r="B12" s="1526" t="str">
        <f>+Equipo!A33</f>
        <v>COMPRESOR 125 PIES 3 CON MARTILLO</v>
      </c>
      <c r="C12" s="1527"/>
      <c r="D12" s="1528"/>
      <c r="E12" s="175"/>
      <c r="F12" s="176">
        <f>+Equipo!C33</f>
        <v>80096</v>
      </c>
      <c r="G12" s="177">
        <v>30</v>
      </c>
      <c r="H12" s="178">
        <f>F12/G12</f>
        <v>2669.8666666666668</v>
      </c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I45*0.02</f>
        <v>47.980000000000004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7888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/>
      <c r="C22" s="200"/>
      <c r="D22" s="201"/>
      <c r="E22" s="175"/>
      <c r="F22" s="176"/>
      <c r="G22" s="177"/>
      <c r="H22" s="178">
        <f t="shared" ref="H22:H27" si="0">+G22*F22</f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x14ac:dyDescent="0.25">
      <c r="B24" s="199"/>
      <c r="C24" s="200"/>
      <c r="D24" s="201"/>
      <c r="E24" s="175"/>
      <c r="F24" s="176"/>
      <c r="G24" s="177"/>
      <c r="H24" s="178">
        <f t="shared" si="0"/>
        <v>0</v>
      </c>
      <c r="I24" s="179"/>
    </row>
    <row r="25" spans="2:9" x14ac:dyDescent="0.25">
      <c r="B25" s="199"/>
      <c r="C25" s="200"/>
      <c r="D25" s="201"/>
      <c r="E25" s="175"/>
      <c r="F25" s="176"/>
      <c r="G25" s="177"/>
      <c r="H25" s="178">
        <f t="shared" si="0"/>
        <v>0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0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92" t="s">
        <v>958</v>
      </c>
      <c r="C32" s="294"/>
      <c r="D32" s="306">
        <f>+E32*F32</f>
        <v>1.3</v>
      </c>
      <c r="E32" s="307">
        <f>+'215'!E32</f>
        <v>1</v>
      </c>
      <c r="F32" s="310">
        <v>1.3</v>
      </c>
      <c r="G32" s="308">
        <f>Equipo!C96</f>
        <v>1241</v>
      </c>
      <c r="H32" s="274">
        <f>+G32*D32</f>
        <v>1613.3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1613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2</v>
      </c>
      <c r="D39" s="222">
        <f>+MdeObra!C21*C39</f>
        <v>64838</v>
      </c>
      <c r="E39" s="315">
        <f>+MdeObra!C10</f>
        <v>1.85</v>
      </c>
      <c r="F39" s="176">
        <f>+E39*D39</f>
        <v>119950.3</v>
      </c>
      <c r="G39" s="177">
        <v>100</v>
      </c>
      <c r="H39" s="224">
        <f>+F39/G39</f>
        <v>1199.5029999999999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100</v>
      </c>
      <c r="H40" s="224">
        <f>+F40/G40</f>
        <v>1199.4845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2399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11900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2380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595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595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3570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15470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0" zoomScaleNormal="100" zoomScaleSheetLayoutView="100" workbookViewId="0">
      <selection activeCell="G1" sqref="G1"/>
    </sheetView>
  </sheetViews>
  <sheetFormatPr baseColWidth="10" defaultRowHeight="15" x14ac:dyDescent="0.25"/>
  <cols>
    <col min="3" max="3" width="20.57031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ht="22.5" customHeight="1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'!B40</f>
        <v>600.2.1</v>
      </c>
    </row>
    <row r="7" spans="2:9" x14ac:dyDescent="0.25">
      <c r="B7" s="160" t="s">
        <v>545</v>
      </c>
      <c r="C7" s="554" t="str">
        <f>+P.Detall!E40</f>
        <v>EXCAVACIONES VARIAS EN ROCA EN SECO</v>
      </c>
      <c r="D7" s="162"/>
      <c r="E7" s="161"/>
      <c r="F7" s="161"/>
      <c r="G7" s="161"/>
      <c r="H7" s="164" t="s">
        <v>546</v>
      </c>
      <c r="I7" s="554" t="str">
        <f>+P.Detall!F40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+Equipo!A33</f>
        <v>COMPRESOR 125 PIES 3 CON MARTILLO</v>
      </c>
      <c r="C11" s="1527"/>
      <c r="D11" s="1528"/>
      <c r="E11" s="175"/>
      <c r="F11" s="176">
        <f>+Equipo!C33</f>
        <v>80096</v>
      </c>
      <c r="G11" s="177">
        <v>3</v>
      </c>
      <c r="H11" s="178">
        <f>F11/G11</f>
        <v>26698.666666666668</v>
      </c>
      <c r="I11" s="179"/>
    </row>
    <row r="12" spans="2:9" x14ac:dyDescent="0.25">
      <c r="B12" s="1526" t="str">
        <f>+Equipo!A81</f>
        <v>RETROEXCAVADORA CAP. 1.5 YD³ SOBRE ORUGA</v>
      </c>
      <c r="C12" s="1527"/>
      <c r="D12" s="1528"/>
      <c r="E12" s="175"/>
      <c r="F12" s="176">
        <f>+Equipo!C81</f>
        <v>124080</v>
      </c>
      <c r="G12" s="177">
        <v>18</v>
      </c>
      <c r="H12" s="178">
        <f>F12/G12</f>
        <v>6893.333333333333</v>
      </c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251.9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33844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+Materiales!A80</f>
        <v>EXPLOSIVOS  75% (INDUGEL)</v>
      </c>
      <c r="C22" s="200"/>
      <c r="D22" s="201"/>
      <c r="E22" s="272" t="s">
        <v>423</v>
      </c>
      <c r="F22" s="176">
        <f>+Materiales!C80</f>
        <v>17527</v>
      </c>
      <c r="G22" s="753">
        <v>0.25</v>
      </c>
      <c r="H22" s="178">
        <f>+G22*F22</f>
        <v>4381.75</v>
      </c>
      <c r="I22" s="179"/>
    </row>
    <row r="23" spans="2:9" x14ac:dyDescent="0.25">
      <c r="B23" s="199" t="str">
        <f>+Materiales!A85</f>
        <v>FULMINANTES</v>
      </c>
      <c r="C23" s="200"/>
      <c r="D23" s="201"/>
      <c r="E23" s="272" t="s">
        <v>59</v>
      </c>
      <c r="F23" s="176">
        <f>+Materiales!C85</f>
        <v>1181</v>
      </c>
      <c r="G23" s="753">
        <v>1</v>
      </c>
      <c r="H23" s="178">
        <f>+G23*F23</f>
        <v>1181</v>
      </c>
      <c r="I23" s="179"/>
    </row>
    <row r="24" spans="2:9" x14ac:dyDescent="0.25">
      <c r="B24" s="199" t="str">
        <f>+Materiales!A113</f>
        <v>MECHA LENTA</v>
      </c>
      <c r="C24" s="200"/>
      <c r="D24" s="201"/>
      <c r="E24" s="272" t="s">
        <v>59</v>
      </c>
      <c r="F24" s="176">
        <f>+Materiales!C113</f>
        <v>1270</v>
      </c>
      <c r="G24" s="753">
        <v>1</v>
      </c>
      <c r="H24" s="178">
        <f>+G24*F24</f>
        <v>1270</v>
      </c>
      <c r="I24" s="179"/>
    </row>
    <row r="25" spans="2:9" x14ac:dyDescent="0.25">
      <c r="B25" s="199" t="str">
        <f>+Materiales!A63</f>
        <v>CORDÓN DETONANTE</v>
      </c>
      <c r="C25" s="200"/>
      <c r="D25" s="201"/>
      <c r="E25" s="272" t="s">
        <v>15</v>
      </c>
      <c r="F25" s="176">
        <f>+Materiales!C63</f>
        <v>1804</v>
      </c>
      <c r="G25" s="753">
        <v>2</v>
      </c>
      <c r="H25" s="178">
        <f>+G25*F25</f>
        <v>3608</v>
      </c>
      <c r="I25" s="179"/>
    </row>
    <row r="26" spans="2:9" x14ac:dyDescent="0.25">
      <c r="B26" s="199" t="s">
        <v>603</v>
      </c>
      <c r="C26" s="200"/>
      <c r="D26" s="201"/>
      <c r="E26" s="175"/>
      <c r="F26" s="176"/>
      <c r="G26" s="177"/>
      <c r="H26" s="178">
        <v>15000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25441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92" t="s">
        <v>958</v>
      </c>
      <c r="C32" s="294"/>
      <c r="D32" s="306">
        <f>+E32*F32</f>
        <v>1.3</v>
      </c>
      <c r="E32" s="307">
        <f>+'600,1,1'!E32</f>
        <v>1</v>
      </c>
      <c r="F32" s="310">
        <v>1.3</v>
      </c>
      <c r="G32" s="308">
        <f>Equipo!C96</f>
        <v>1241</v>
      </c>
      <c r="H32" s="274">
        <f>+G32*D32</f>
        <v>1613.3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1613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4</v>
      </c>
      <c r="D39" s="222">
        <f>+MdeObra!C21*C39</f>
        <v>129676</v>
      </c>
      <c r="E39" s="315">
        <f>+MdeObra!C10</f>
        <v>1.85</v>
      </c>
      <c r="F39" s="176">
        <f>+E39*D39</f>
        <v>239900.6</v>
      </c>
      <c r="G39" s="177">
        <v>100</v>
      </c>
      <c r="H39" s="224">
        <f>+F39/G39</f>
        <v>2399.0059999999999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100</v>
      </c>
      <c r="H40" s="224">
        <f>+F40/G40</f>
        <v>1199.4845</v>
      </c>
      <c r="I40" s="179"/>
    </row>
    <row r="41" spans="2:9" x14ac:dyDescent="0.25">
      <c r="B41" s="199" t="str">
        <f>+MdeObra!A20</f>
        <v>OFICIAL EXPERTO EN EXPLOSIVOS</v>
      </c>
      <c r="C41" s="201"/>
      <c r="D41" s="225">
        <f>+MdeObra!C20</f>
        <v>77805</v>
      </c>
      <c r="E41" s="315">
        <f>+MdeObra!C10</f>
        <v>1.85</v>
      </c>
      <c r="F41" s="176">
        <f>+E41*D41</f>
        <v>143939.25</v>
      </c>
      <c r="G41" s="177">
        <f>+G40</f>
        <v>100</v>
      </c>
      <c r="H41" s="224">
        <f>+F41/G41</f>
        <v>1439.3924999999999</v>
      </c>
      <c r="I41" s="179"/>
    </row>
    <row r="42" spans="2:9" x14ac:dyDescent="0.25">
      <c r="B42" s="199"/>
      <c r="C42" s="201"/>
      <c r="D42" s="225"/>
      <c r="E42" s="315">
        <f>+MdeObra!C10</f>
        <v>1.85</v>
      </c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5038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65936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13187.2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3296.8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3296.8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19781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85717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G1" sqref="G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'!B41</f>
        <v>600.2.2</v>
      </c>
    </row>
    <row r="7" spans="2:9" x14ac:dyDescent="0.25">
      <c r="B7" s="160" t="s">
        <v>545</v>
      </c>
      <c r="C7" s="554" t="str">
        <f>+P.Detall!E41</f>
        <v>EXCAVACIONES VARIAS EN ROCA BAJO AGUA</v>
      </c>
      <c r="D7" s="162"/>
      <c r="E7" s="161"/>
      <c r="F7" s="161"/>
      <c r="G7" s="161"/>
      <c r="H7" s="164" t="s">
        <v>546</v>
      </c>
      <c r="I7" s="554" t="str">
        <f>+P.Detall!F41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+Equipo!A33</f>
        <v>COMPRESOR 125 PIES 3 CON MARTILLO</v>
      </c>
      <c r="C11" s="1527"/>
      <c r="D11" s="1528"/>
      <c r="E11" s="175"/>
      <c r="F11" s="176">
        <f>+Equipo!C33</f>
        <v>80096</v>
      </c>
      <c r="G11" s="753">
        <v>2.5</v>
      </c>
      <c r="H11" s="178">
        <f>F11/G11</f>
        <v>32038.400000000001</v>
      </c>
      <c r="I11" s="179"/>
    </row>
    <row r="12" spans="2:9" x14ac:dyDescent="0.25">
      <c r="B12" s="1526" t="str">
        <f>+Equipo!A81</f>
        <v>RETROEXCAVADORA CAP. 1.5 YD³ SOBRE ORUGA</v>
      </c>
      <c r="C12" s="1527"/>
      <c r="D12" s="1528"/>
      <c r="E12" s="175"/>
      <c r="F12" s="176">
        <f>+Equipo!C81</f>
        <v>124080</v>
      </c>
      <c r="G12" s="753">
        <v>10</v>
      </c>
      <c r="H12" s="178">
        <f>F12/G12</f>
        <v>12408</v>
      </c>
      <c r="I12" s="179"/>
    </row>
    <row r="13" spans="2:9" x14ac:dyDescent="0.25">
      <c r="B13" s="1526" t="str">
        <f>+Equipo!A62</f>
        <v>MOTOBOMBA 3 PULGADAS</v>
      </c>
      <c r="C13" s="1527"/>
      <c r="D13" s="1528"/>
      <c r="E13" s="175"/>
      <c r="F13" s="176">
        <f>+Equipo!C62</f>
        <v>11124</v>
      </c>
      <c r="G13" s="753">
        <v>8</v>
      </c>
      <c r="H13" s="178">
        <f>F13/G13</f>
        <v>1390.5</v>
      </c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1144.95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46982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+Materiales!A80</f>
        <v>EXPLOSIVOS  75% (INDUGEL)</v>
      </c>
      <c r="C22" s="200"/>
      <c r="D22" s="201"/>
      <c r="E22" s="272" t="s">
        <v>423</v>
      </c>
      <c r="F22" s="176">
        <f>+Materiales!C80</f>
        <v>17527</v>
      </c>
      <c r="G22" s="753">
        <v>0.25</v>
      </c>
      <c r="H22" s="178">
        <f>+G22*F22</f>
        <v>4381.75</v>
      </c>
      <c r="I22" s="179"/>
    </row>
    <row r="23" spans="2:9" x14ac:dyDescent="0.25">
      <c r="B23" s="199" t="str">
        <f>+Materiales!A85</f>
        <v>FULMINANTES</v>
      </c>
      <c r="C23" s="200"/>
      <c r="D23" s="201"/>
      <c r="E23" s="272" t="s">
        <v>338</v>
      </c>
      <c r="F23" s="176">
        <f>+Materiales!C85</f>
        <v>1181</v>
      </c>
      <c r="G23" s="753">
        <v>1</v>
      </c>
      <c r="H23" s="178">
        <f>+G23*F23</f>
        <v>1181</v>
      </c>
      <c r="I23" s="179"/>
    </row>
    <row r="24" spans="2:9" x14ac:dyDescent="0.25">
      <c r="B24" s="199" t="str">
        <f>+Materiales!A113</f>
        <v>MECHA LENTA</v>
      </c>
      <c r="C24" s="200"/>
      <c r="D24" s="201"/>
      <c r="E24" s="272" t="s">
        <v>59</v>
      </c>
      <c r="F24" s="176">
        <f>+Materiales!C113</f>
        <v>1270</v>
      </c>
      <c r="G24" s="753">
        <v>1</v>
      </c>
      <c r="H24" s="178">
        <f>+G24*F24</f>
        <v>1270</v>
      </c>
      <c r="I24" s="179"/>
    </row>
    <row r="25" spans="2:9" x14ac:dyDescent="0.25">
      <c r="B25" s="199" t="str">
        <f>+Materiales!A63</f>
        <v>CORDÓN DETONANTE</v>
      </c>
      <c r="C25" s="200"/>
      <c r="D25" s="201"/>
      <c r="E25" s="272" t="s">
        <v>15</v>
      </c>
      <c r="F25" s="176">
        <f>+Materiales!C63</f>
        <v>1804</v>
      </c>
      <c r="G25" s="753">
        <v>2</v>
      </c>
      <c r="H25" s="178">
        <f>+G25*F25</f>
        <v>3608</v>
      </c>
      <c r="I25" s="179"/>
    </row>
    <row r="26" spans="2:9" x14ac:dyDescent="0.25">
      <c r="B26" s="199" t="s">
        <v>603</v>
      </c>
      <c r="C26" s="200"/>
      <c r="D26" s="201"/>
      <c r="E26" s="175"/>
      <c r="F26" s="176"/>
      <c r="G26" s="177"/>
      <c r="H26" s="178">
        <v>15000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25441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92" t="s">
        <v>958</v>
      </c>
      <c r="C32" s="294"/>
      <c r="D32" s="306">
        <f>+E32*F32</f>
        <v>1.3</v>
      </c>
      <c r="E32" s="307">
        <f>+'600,2,1'!E32</f>
        <v>1</v>
      </c>
      <c r="F32" s="310">
        <v>1.3</v>
      </c>
      <c r="G32" s="308">
        <f>Equipo!C96</f>
        <v>1241</v>
      </c>
      <c r="H32" s="274">
        <f>+D32*G32</f>
        <v>1613.3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1613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4</v>
      </c>
      <c r="D39" s="222">
        <f>+MdeObra!C21*C39</f>
        <v>129676</v>
      </c>
      <c r="E39" s="315">
        <f>+MdeObra!C10</f>
        <v>1.85</v>
      </c>
      <c r="F39" s="176">
        <f>+E39*D39</f>
        <v>239900.6</v>
      </c>
      <c r="G39" s="177">
        <v>22</v>
      </c>
      <c r="H39" s="224">
        <f>+F39/G39</f>
        <v>10904.572727272727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22</v>
      </c>
      <c r="H40" s="224">
        <f>+F40/G40</f>
        <v>5452.2022727272733</v>
      </c>
      <c r="I40" s="179"/>
    </row>
    <row r="41" spans="2:9" x14ac:dyDescent="0.25">
      <c r="B41" s="199" t="str">
        <f>+MdeObra!A20</f>
        <v>OFICIAL EXPERTO EN EXPLOSIVOS</v>
      </c>
      <c r="C41" s="201"/>
      <c r="D41" s="225">
        <f>+MdeObra!C20</f>
        <v>77805</v>
      </c>
      <c r="E41" s="315">
        <f>+MdeObra!C10</f>
        <v>1.85</v>
      </c>
      <c r="F41" s="176">
        <f>+E41*D41</f>
        <v>143939.25</v>
      </c>
      <c r="G41" s="177">
        <f>+G40</f>
        <v>22</v>
      </c>
      <c r="H41" s="224">
        <f>+F41/G41</f>
        <v>6542.693181818182</v>
      </c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22899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96935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19387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4846.75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4846.75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29081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126016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  <hyperlink ref="I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" zoomScaleNormal="100" zoomScaleSheetLayoutView="100" workbookViewId="0">
      <selection activeCell="G1" sqref="G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'!B42</f>
        <v>600.2.4</v>
      </c>
    </row>
    <row r="7" spans="2:9" x14ac:dyDescent="0.25">
      <c r="B7" s="160" t="s">
        <v>545</v>
      </c>
      <c r="C7" s="554" t="str">
        <f>+P.Detall!E42</f>
        <v>EXCAVACIONES VARIAS EN MATERIAL COMÚN BAJO AGUA</v>
      </c>
      <c r="D7" s="162"/>
      <c r="E7" s="161"/>
      <c r="F7" s="161"/>
      <c r="G7" s="161"/>
      <c r="H7" s="164" t="s">
        <v>546</v>
      </c>
      <c r="I7" s="335" t="str">
        <f>+'Presup '!F42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+Equipo!A80</f>
        <v>RETROCARGADOR SENCILLO 4X2</v>
      </c>
      <c r="C11" s="1527"/>
      <c r="D11" s="1528"/>
      <c r="E11" s="175"/>
      <c r="F11" s="176">
        <f>+Equipo!C80</f>
        <v>82720</v>
      </c>
      <c r="G11" s="177">
        <v>30</v>
      </c>
      <c r="H11" s="178">
        <f>F11/G11</f>
        <v>2757.3333333333335</v>
      </c>
      <c r="I11" s="179"/>
    </row>
    <row r="12" spans="2:9" x14ac:dyDescent="0.25">
      <c r="B12" s="1526" t="str">
        <f>+Equipo!A61</f>
        <v>MEZCLADORA DE CONCRETO (1 BULTO)</v>
      </c>
      <c r="C12" s="1527"/>
      <c r="D12" s="1528"/>
      <c r="E12" s="175"/>
      <c r="F12" s="176">
        <f>+Equipo!C61</f>
        <v>15510</v>
      </c>
      <c r="G12" s="177">
        <v>2</v>
      </c>
      <c r="H12" s="178">
        <f>F12/G12</f>
        <v>7755</v>
      </c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71.400000000000006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10584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/>
      <c r="C22" s="200"/>
      <c r="D22" s="201"/>
      <c r="E22" s="175"/>
      <c r="F22" s="176"/>
      <c r="G22" s="177"/>
      <c r="H22" s="178">
        <f t="shared" ref="H22:H27" si="0">+G22*F22</f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x14ac:dyDescent="0.25">
      <c r="B24" s="199"/>
      <c r="C24" s="200"/>
      <c r="D24" s="201"/>
      <c r="E24" s="175"/>
      <c r="F24" s="176"/>
      <c r="G24" s="177"/>
      <c r="H24" s="178">
        <f t="shared" si="0"/>
        <v>0</v>
      </c>
      <c r="I24" s="179"/>
    </row>
    <row r="25" spans="2:9" x14ac:dyDescent="0.25">
      <c r="B25" s="199"/>
      <c r="C25" s="200"/>
      <c r="D25" s="201"/>
      <c r="E25" s="175"/>
      <c r="F25" s="176"/>
      <c r="G25" s="177"/>
      <c r="H25" s="178">
        <f t="shared" si="0"/>
        <v>0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0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92" t="s">
        <v>958</v>
      </c>
      <c r="C32" s="294"/>
      <c r="D32" s="306">
        <f>+E32*F32</f>
        <v>1.3</v>
      </c>
      <c r="E32" s="307">
        <f>+'6002,2'!E32</f>
        <v>1</v>
      </c>
      <c r="F32" s="310">
        <v>1.3</v>
      </c>
      <c r="G32" s="308">
        <f>Equipo!C96</f>
        <v>1241</v>
      </c>
      <c r="H32" s="274">
        <f>+D32*G32</f>
        <v>1613.3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1613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2</v>
      </c>
      <c r="D39" s="222">
        <f>+MdeObra!C21*C39</f>
        <v>64838</v>
      </c>
      <c r="E39" s="315">
        <f>+MdeObra!C10</f>
        <v>1.85</v>
      </c>
      <c r="F39" s="176">
        <f>+E39*D39</f>
        <v>119950.3</v>
      </c>
      <c r="G39" s="177">
        <v>168</v>
      </c>
      <c r="H39" s="224">
        <f>+F39/G39</f>
        <v>713.98988095238099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168</v>
      </c>
      <c r="H40" s="224">
        <f>+F40/G40</f>
        <v>713.97886904761913</v>
      </c>
      <c r="I40" s="179"/>
    </row>
    <row r="41" spans="2:9" x14ac:dyDescent="0.25">
      <c r="B41" s="199"/>
      <c r="C41" s="201"/>
      <c r="D41" s="225"/>
      <c r="E41" s="315">
        <f>+MdeObra!C10</f>
        <v>1.85</v>
      </c>
      <c r="F41" s="177"/>
      <c r="G41" s="177"/>
      <c r="H41" s="178"/>
      <c r="I41" s="179"/>
    </row>
    <row r="42" spans="2:9" x14ac:dyDescent="0.25">
      <c r="B42" s="199"/>
      <c r="C42" s="201"/>
      <c r="D42" s="225"/>
      <c r="E42" s="315">
        <f>+MdeObra!C10</f>
        <v>1.85</v>
      </c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1428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13625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2725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681.25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681.25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4088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17713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1"/>
  <sheetViews>
    <sheetView view="pageBreakPreview" topLeftCell="C34" zoomScaleNormal="100" zoomScaleSheetLayoutView="100" workbookViewId="0">
      <selection activeCell="G41" sqref="G41"/>
    </sheetView>
  </sheetViews>
  <sheetFormatPr baseColWidth="10" defaultRowHeight="15" x14ac:dyDescent="0.25"/>
  <cols>
    <col min="1" max="1" width="7.42578125" customWidth="1"/>
    <col min="2" max="2" width="20.28515625" customWidth="1"/>
    <col min="3" max="3" width="19.140625" customWidth="1"/>
    <col min="4" max="4" width="16" customWidth="1"/>
    <col min="10" max="10" width="6.42578125" customWidth="1"/>
  </cols>
  <sheetData>
    <row r="1" spans="2:14" ht="15.75" thickBot="1" x14ac:dyDescent="0.3"/>
    <row r="2" spans="2:14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14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14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14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14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'!B45</f>
        <v>630.1</v>
      </c>
    </row>
    <row r="7" spans="2:14" x14ac:dyDescent="0.25">
      <c r="B7" s="160" t="s">
        <v>545</v>
      </c>
      <c r="C7" s="554" t="str">
        <f>+P.Detall!E45</f>
        <v>CONCRETO CLASE C</v>
      </c>
      <c r="D7" s="162"/>
      <c r="E7" s="161"/>
      <c r="F7" s="161"/>
      <c r="G7" s="161"/>
      <c r="H7" s="164" t="s">
        <v>546</v>
      </c>
      <c r="I7" s="335" t="str">
        <f>+'Presup '!F45</f>
        <v>M3</v>
      </c>
    </row>
    <row r="8" spans="2:14" x14ac:dyDescent="0.25">
      <c r="B8" s="168"/>
      <c r="C8" s="168"/>
      <c r="D8" s="169"/>
      <c r="E8" s="168"/>
      <c r="F8" s="168"/>
      <c r="G8" s="168"/>
      <c r="H8" s="168"/>
      <c r="I8" s="169"/>
    </row>
    <row r="9" spans="2:14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14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14" x14ac:dyDescent="0.25">
      <c r="B11" s="1526" t="str">
        <f>+Equipo!A61</f>
        <v>MEZCLADORA DE CONCRETO (1 BULTO)</v>
      </c>
      <c r="C11" s="1527"/>
      <c r="D11" s="1528"/>
      <c r="E11" s="175"/>
      <c r="F11" s="176">
        <f>+Equipo!C61</f>
        <v>15510</v>
      </c>
      <c r="G11" s="177">
        <v>1.5</v>
      </c>
      <c r="H11" s="178">
        <f>F11/G11</f>
        <v>10340</v>
      </c>
      <c r="I11" s="179"/>
      <c r="K11" t="s">
        <v>625</v>
      </c>
      <c r="L11">
        <v>89.2</v>
      </c>
      <c r="M11" t="s">
        <v>785</v>
      </c>
      <c r="N11">
        <v>89.2</v>
      </c>
    </row>
    <row r="12" spans="2:14" x14ac:dyDescent="0.25">
      <c r="B12" s="1526" t="str">
        <f>+Equipo!A104</f>
        <v>VIBRADOR DE CONCRETO</v>
      </c>
      <c r="C12" s="1527"/>
      <c r="D12" s="1528"/>
      <c r="E12" s="175"/>
      <c r="F12" s="176">
        <f>+Equipo!C104</f>
        <v>15510</v>
      </c>
      <c r="G12" s="177">
        <v>2</v>
      </c>
      <c r="H12" s="178">
        <f>F12/G12</f>
        <v>7755</v>
      </c>
      <c r="I12" s="179"/>
      <c r="K12" t="s">
        <v>626</v>
      </c>
      <c r="L12">
        <v>3.7360000000000002</v>
      </c>
      <c r="M12" t="s">
        <v>784</v>
      </c>
      <c r="N12">
        <v>12.2</v>
      </c>
    </row>
    <row r="13" spans="2:14" x14ac:dyDescent="0.25">
      <c r="B13" s="1526"/>
      <c r="C13" s="1527"/>
      <c r="D13" s="1528"/>
      <c r="E13" s="175"/>
      <c r="F13" s="176"/>
      <c r="G13" s="177"/>
      <c r="H13" s="178"/>
      <c r="I13" s="179"/>
      <c r="K13" t="s">
        <v>786</v>
      </c>
      <c r="L13">
        <f>+L12/2</f>
        <v>1.8680000000000001</v>
      </c>
      <c r="M13" t="s">
        <v>787</v>
      </c>
      <c r="N13">
        <v>6.0359999999999996</v>
      </c>
    </row>
    <row r="14" spans="2:14" x14ac:dyDescent="0.25">
      <c r="B14" s="1526"/>
      <c r="C14" s="1527"/>
      <c r="D14" s="1528"/>
      <c r="E14" s="175"/>
      <c r="F14" s="176"/>
      <c r="G14" s="177"/>
      <c r="H14" s="178"/>
      <c r="I14" s="179"/>
      <c r="K14" t="s">
        <v>627</v>
      </c>
      <c r="L14" s="372">
        <f>+ROUND(L11-L13,1)</f>
        <v>87.3</v>
      </c>
      <c r="M14" t="s">
        <v>788</v>
      </c>
      <c r="N14">
        <f>+N13/2</f>
        <v>3.0179999999999998</v>
      </c>
    </row>
    <row r="15" spans="2:14" x14ac:dyDescent="0.25">
      <c r="B15" s="1526"/>
      <c r="C15" s="1527"/>
      <c r="D15" s="1528"/>
      <c r="E15" s="175"/>
      <c r="F15" s="176"/>
      <c r="G15" s="177"/>
      <c r="H15" s="178"/>
      <c r="I15" s="179"/>
      <c r="M15" t="s">
        <v>627</v>
      </c>
      <c r="N15">
        <f>+N11+N12+N14</f>
        <v>104.41800000000001</v>
      </c>
    </row>
    <row r="16" spans="2:14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I45*0.1</f>
        <v>5997.5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24093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+Materiales!A15</f>
        <v>AGREGADO PARA CONCRETO HIDRÁULICO 1" EN PLANTA</v>
      </c>
      <c r="C22" s="200"/>
      <c r="D22" s="201"/>
      <c r="E22" s="272" t="s">
        <v>18</v>
      </c>
      <c r="F22" s="176">
        <f>+Materiales!C15</f>
        <v>62040</v>
      </c>
      <c r="G22" s="274">
        <v>0.77200000000000002</v>
      </c>
      <c r="H22" s="178">
        <f>+G22*F22</f>
        <v>47894.880000000005</v>
      </c>
      <c r="I22" s="179"/>
    </row>
    <row r="23" spans="2:9" x14ac:dyDescent="0.25">
      <c r="B23" s="199" t="str">
        <f>+Materiales!A25</f>
        <v>AGUA</v>
      </c>
      <c r="C23" s="200"/>
      <c r="D23" s="201"/>
      <c r="E23" s="272" t="s">
        <v>368</v>
      </c>
      <c r="F23" s="176">
        <f>+Materiales!C25</f>
        <v>44</v>
      </c>
      <c r="G23" s="274">
        <v>22</v>
      </c>
      <c r="H23" s="178">
        <f>+G23*F23</f>
        <v>968</v>
      </c>
      <c r="I23" s="179"/>
    </row>
    <row r="24" spans="2:9" x14ac:dyDescent="0.25">
      <c r="B24" s="199" t="str">
        <f>+Materiales!A37</f>
        <v>ARENA LAVADA</v>
      </c>
      <c r="C24" s="200"/>
      <c r="D24" s="201"/>
      <c r="E24" s="272" t="s">
        <v>18</v>
      </c>
      <c r="F24" s="176">
        <f>+Materiales!C37</f>
        <v>46758</v>
      </c>
      <c r="G24" s="274">
        <v>0.47</v>
      </c>
      <c r="H24" s="178">
        <f>+G24*F24</f>
        <v>21976.26</v>
      </c>
      <c r="I24" s="179"/>
    </row>
    <row r="25" spans="2:9" x14ac:dyDescent="0.25">
      <c r="B25" s="199" t="str">
        <f>+Materiales!A53</f>
        <v>CEMENTO GRIS</v>
      </c>
      <c r="C25" s="200"/>
      <c r="D25" s="201"/>
      <c r="E25" s="272" t="s">
        <v>338</v>
      </c>
      <c r="F25" s="176">
        <f>+Materiales!C53</f>
        <v>558</v>
      </c>
      <c r="G25" s="274">
        <v>455</v>
      </c>
      <c r="H25" s="178">
        <f>+G25*F25</f>
        <v>253890</v>
      </c>
      <c r="I25" s="179"/>
    </row>
    <row r="26" spans="2:9" x14ac:dyDescent="0.25">
      <c r="B26" s="199" t="str">
        <f>+Materiales!A82</f>
        <v>FORMALETA CONCRETO CLASE A,B Y C</v>
      </c>
      <c r="C26" s="200"/>
      <c r="D26" s="201"/>
      <c r="E26" s="272" t="s">
        <v>23</v>
      </c>
      <c r="F26" s="176">
        <f>+Materiales!C82</f>
        <v>16855</v>
      </c>
      <c r="G26" s="274">
        <v>4.5999999999999996</v>
      </c>
      <c r="H26" s="178">
        <f>+G26*F26</f>
        <v>77533</v>
      </c>
      <c r="I26" s="179"/>
    </row>
    <row r="27" spans="2:9" x14ac:dyDescent="0.25">
      <c r="B27" s="199" t="s">
        <v>620</v>
      </c>
      <c r="C27" s="200"/>
      <c r="D27" s="201"/>
      <c r="E27" s="175"/>
      <c r="F27" s="176"/>
      <c r="G27" s="177"/>
      <c r="H27" s="178">
        <f>+SUM(H22:H25)*0.02</f>
        <v>6494.5828000000001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408757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+Equipo!A94</f>
        <v>TARIFA DE TRANSPORTE DE ARENA</v>
      </c>
      <c r="C32" s="196"/>
      <c r="D32" s="347">
        <v>0.5</v>
      </c>
      <c r="E32" s="309">
        <f>+'200.2'!P15</f>
        <v>80</v>
      </c>
      <c r="F32" s="347">
        <f>D32*E32</f>
        <v>40</v>
      </c>
      <c r="G32" s="216">
        <f>+Equipo!C94</f>
        <v>1241</v>
      </c>
      <c r="H32" s="178">
        <f>F32*G32</f>
        <v>49640</v>
      </c>
      <c r="I32" s="179"/>
    </row>
    <row r="33" spans="2:9" x14ac:dyDescent="0.25">
      <c r="B33" s="199" t="str">
        <f>+Equipo!A95</f>
        <v>TARIFA DE TRANSPORTE DE AGREGADO PARA CONCRETO</v>
      </c>
      <c r="C33" s="201"/>
      <c r="D33" s="350">
        <v>0.8</v>
      </c>
      <c r="E33" s="309">
        <f>+'200.2'!P15</f>
        <v>80</v>
      </c>
      <c r="F33" s="347">
        <f>D33*E33</f>
        <v>64</v>
      </c>
      <c r="G33" s="352">
        <f>+Equipo!D95</f>
        <v>1200</v>
      </c>
      <c r="H33" s="178">
        <f>F33*G33</f>
        <v>76800</v>
      </c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126440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10</v>
      </c>
      <c r="D39" s="222">
        <f>+MdeObra!C21*C39</f>
        <v>324190</v>
      </c>
      <c r="E39" s="315">
        <f>+MdeObra!C10</f>
        <v>1.85</v>
      </c>
      <c r="F39" s="176">
        <f>+E39*D39</f>
        <v>599751.5</v>
      </c>
      <c r="G39" s="177">
        <f>+G40</f>
        <v>12</v>
      </c>
      <c r="H39" s="224">
        <f>+F39/G39</f>
        <v>49979.291666666664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v>12</v>
      </c>
      <c r="H40" s="224">
        <f>+F40/G40</f>
        <v>9995.7041666666682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59975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619265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123853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30963.25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30963.25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185780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805045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  <colBreaks count="1" manualBreakCount="1">
    <brk id="10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B34" zoomScaleNormal="100" zoomScaleSheetLayoutView="100" workbookViewId="0">
      <selection activeCell="G40" sqref="G40"/>
    </sheetView>
  </sheetViews>
  <sheetFormatPr baseColWidth="10" defaultRowHeight="15" x14ac:dyDescent="0.25"/>
  <cols>
    <col min="2" max="2" width="17.42578125" customWidth="1"/>
    <col min="3" max="3" width="21.42578125" customWidth="1"/>
    <col min="4" max="4" width="17.425781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'!B46</f>
        <v>630.20000000000005</v>
      </c>
    </row>
    <row r="7" spans="2:9" x14ac:dyDescent="0.25">
      <c r="B7" s="160" t="s">
        <v>545</v>
      </c>
      <c r="C7" s="554" t="str">
        <f>+P.Detall!E46</f>
        <v>CONCRETO CLASE D</v>
      </c>
      <c r="D7" s="162"/>
      <c r="E7" s="161"/>
      <c r="F7" s="161"/>
      <c r="G7" s="161"/>
      <c r="H7" s="164" t="s">
        <v>546</v>
      </c>
      <c r="I7" s="335" t="str">
        <f>+'Presup '!F46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+Equipo!A61</f>
        <v>MEZCLADORA DE CONCRETO (1 BULTO)</v>
      </c>
      <c r="C11" s="1527"/>
      <c r="D11" s="1528"/>
      <c r="E11" s="175"/>
      <c r="F11" s="176">
        <f>+Equipo!C61</f>
        <v>15510</v>
      </c>
      <c r="G11" s="177">
        <v>1</v>
      </c>
      <c r="H11" s="178">
        <f>F11/G11</f>
        <v>15510</v>
      </c>
      <c r="I11" s="179"/>
    </row>
    <row r="12" spans="2:9" x14ac:dyDescent="0.25">
      <c r="B12" s="1526" t="str">
        <f>+Equipo!A104</f>
        <v>VIBRADOR DE CONCRETO</v>
      </c>
      <c r="C12" s="1527"/>
      <c r="D12" s="1528"/>
      <c r="E12" s="175"/>
      <c r="F12" s="176">
        <f>+Equipo!C104</f>
        <v>15510</v>
      </c>
      <c r="G12" s="177">
        <v>2</v>
      </c>
      <c r="H12" s="178">
        <f>F12/G12</f>
        <v>7755</v>
      </c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I45*0.1</f>
        <v>4997.9000000000005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28263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+Materiales!A15</f>
        <v>AGREGADO PARA CONCRETO HIDRÁULICO 1" EN PLANTA</v>
      </c>
      <c r="C22" s="200"/>
      <c r="D22" s="201"/>
      <c r="E22" s="272" t="s">
        <v>18</v>
      </c>
      <c r="F22" s="176">
        <f>+Materiales!C15</f>
        <v>62040</v>
      </c>
      <c r="G22" s="177">
        <v>0.86</v>
      </c>
      <c r="H22" s="178">
        <f>+G22*F22</f>
        <v>53354.400000000001</v>
      </c>
      <c r="I22" s="179"/>
    </row>
    <row r="23" spans="2:9" x14ac:dyDescent="0.25">
      <c r="B23" s="199" t="str">
        <f>+Materiales!A25</f>
        <v>AGUA</v>
      </c>
      <c r="C23" s="200"/>
      <c r="D23" s="201"/>
      <c r="E23" s="272" t="s">
        <v>368</v>
      </c>
      <c r="F23" s="176">
        <f>+Materiales!C25</f>
        <v>44</v>
      </c>
      <c r="G23" s="177">
        <v>160</v>
      </c>
      <c r="H23" s="178">
        <f>+G23*F23</f>
        <v>7040</v>
      </c>
      <c r="I23" s="179"/>
    </row>
    <row r="24" spans="2:9" x14ac:dyDescent="0.25">
      <c r="B24" s="199" t="str">
        <f>+Materiales!A37</f>
        <v>ARENA LAVADA</v>
      </c>
      <c r="C24" s="200"/>
      <c r="D24" s="201"/>
      <c r="E24" s="272" t="s">
        <v>18</v>
      </c>
      <c r="F24" s="176">
        <f>+Materiales!C37</f>
        <v>46758</v>
      </c>
      <c r="G24" s="177">
        <v>0.56000000000000005</v>
      </c>
      <c r="H24" s="178">
        <f>+G24*F24</f>
        <v>26184.480000000003</v>
      </c>
      <c r="I24" s="179"/>
    </row>
    <row r="25" spans="2:9" x14ac:dyDescent="0.25">
      <c r="B25" s="199" t="str">
        <f>+Materiales!A53</f>
        <v>CEMENTO GRIS</v>
      </c>
      <c r="C25" s="200"/>
      <c r="D25" s="201"/>
      <c r="E25" s="272" t="s">
        <v>338</v>
      </c>
      <c r="F25" s="176">
        <f>+Materiales!C53</f>
        <v>558</v>
      </c>
      <c r="G25" s="177">
        <v>350</v>
      </c>
      <c r="H25" s="178">
        <f>+G25*F25</f>
        <v>195300</v>
      </c>
      <c r="I25" s="179"/>
    </row>
    <row r="26" spans="2:9" x14ac:dyDescent="0.25">
      <c r="B26" s="199" t="str">
        <f>+Materiales!A82</f>
        <v>FORMALETA CONCRETO CLASE A,B Y C</v>
      </c>
      <c r="C26" s="200"/>
      <c r="D26" s="201"/>
      <c r="E26" s="272" t="s">
        <v>23</v>
      </c>
      <c r="F26" s="176">
        <f>+Materiales!C82</f>
        <v>16855</v>
      </c>
      <c r="G26" s="177">
        <v>4.5999999999999996</v>
      </c>
      <c r="H26" s="178">
        <f>+G26*F26</f>
        <v>77533</v>
      </c>
      <c r="I26" s="179"/>
    </row>
    <row r="27" spans="2:9" x14ac:dyDescent="0.25">
      <c r="B27" s="199" t="s">
        <v>620</v>
      </c>
      <c r="C27" s="200"/>
      <c r="D27" s="201"/>
      <c r="E27" s="175"/>
      <c r="F27" s="176"/>
      <c r="G27" s="177"/>
      <c r="H27" s="178">
        <f>SUM(H22:H25)*0.02</f>
        <v>5637.5776000000005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365049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355" t="str">
        <f>+Equipo!A94</f>
        <v>TARIFA DE TRANSPORTE DE ARENA</v>
      </c>
      <c r="C32" s="196"/>
      <c r="D32" s="347">
        <v>0.6</v>
      </c>
      <c r="E32" s="309">
        <f>+'630,1'!E32</f>
        <v>80</v>
      </c>
      <c r="F32" s="347">
        <f>D32*E32</f>
        <v>48</v>
      </c>
      <c r="G32" s="216">
        <f>+Equipo!C94</f>
        <v>1241</v>
      </c>
      <c r="H32" s="178">
        <f>F32*G32</f>
        <v>59568</v>
      </c>
      <c r="I32" s="179"/>
    </row>
    <row r="33" spans="2:9" x14ac:dyDescent="0.25">
      <c r="B33" s="355" t="str">
        <f>+Equipo!A95</f>
        <v>TARIFA DE TRANSPORTE DE AGREGADO PARA CONCRETO</v>
      </c>
      <c r="C33" s="201"/>
      <c r="D33" s="350">
        <v>0.9</v>
      </c>
      <c r="E33" s="309">
        <f>+'630,1'!E33</f>
        <v>80</v>
      </c>
      <c r="F33" s="347">
        <f>D33*E33</f>
        <v>72</v>
      </c>
      <c r="G33" s="352">
        <f>+Equipo!C95</f>
        <v>1241</v>
      </c>
      <c r="H33" s="178">
        <f>F33*G33</f>
        <v>89352</v>
      </c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148920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6</v>
      </c>
      <c r="D39" s="222">
        <f>+MdeObra!C21*C39</f>
        <v>194514</v>
      </c>
      <c r="E39" s="315">
        <f>+MdeObra!C10</f>
        <v>1.85</v>
      </c>
      <c r="F39" s="176">
        <f>+E39*D39</f>
        <v>359850.9</v>
      </c>
      <c r="G39" s="177">
        <v>12</v>
      </c>
      <c r="H39" s="224">
        <f>+F39/G39</f>
        <v>29987.575000000001</v>
      </c>
      <c r="I39" s="179"/>
    </row>
    <row r="40" spans="2:9" x14ac:dyDescent="0.25">
      <c r="B40" s="199" t="str">
        <f>+MdeObra!A22</f>
        <v>OFICIAL</v>
      </c>
      <c r="C40" s="221">
        <v>2</v>
      </c>
      <c r="D40" s="222">
        <f>+MdeObra!C22*C40</f>
        <v>129674</v>
      </c>
      <c r="E40" s="315">
        <f>+MdeObra!C10</f>
        <v>1.85</v>
      </c>
      <c r="F40" s="176">
        <f>+E40*D40</f>
        <v>239896.90000000002</v>
      </c>
      <c r="G40" s="177">
        <f>+G39</f>
        <v>12</v>
      </c>
      <c r="H40" s="224">
        <f>+F40/G40</f>
        <v>19991.408333333336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49979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592211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118442.20000000001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29610.550000000003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29610.550000000003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177663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769874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C34" zoomScaleNormal="100" zoomScaleSheetLayoutView="100" workbookViewId="0">
      <selection activeCell="G41" sqref="G41"/>
    </sheetView>
  </sheetViews>
  <sheetFormatPr baseColWidth="10" defaultRowHeight="15" x14ac:dyDescent="0.25"/>
  <cols>
    <col min="2" max="4" width="18.57031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'!B47</f>
        <v>630.29999999999995</v>
      </c>
    </row>
    <row r="7" spans="2:9" x14ac:dyDescent="0.25">
      <c r="B7" s="160" t="s">
        <v>545</v>
      </c>
      <c r="C7" s="554" t="str">
        <f>+P.Detall!E47</f>
        <v>CONCRETO CLASE F</v>
      </c>
      <c r="D7" s="162"/>
      <c r="E7" s="161"/>
      <c r="F7" s="161"/>
      <c r="G7" s="161"/>
      <c r="H7" s="164" t="s">
        <v>546</v>
      </c>
      <c r="I7" s="335" t="str">
        <f>+'Presup '!F47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+Equipo!A61</f>
        <v>MEZCLADORA DE CONCRETO (1 BULTO)</v>
      </c>
      <c r="C11" s="1527"/>
      <c r="D11" s="1528"/>
      <c r="E11" s="175"/>
      <c r="F11" s="176">
        <f>+Equipo!C61</f>
        <v>15510</v>
      </c>
      <c r="G11" s="177">
        <v>1</v>
      </c>
      <c r="H11" s="178">
        <f>F11/G11</f>
        <v>15510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I45*0.1</f>
        <v>4997.9000000000005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20508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+Materiales!A15</f>
        <v>AGREGADO PARA CONCRETO HIDRÁULICO 1" EN PLANTA</v>
      </c>
      <c r="C22" s="200"/>
      <c r="D22" s="201"/>
      <c r="E22" s="272" t="s">
        <v>18</v>
      </c>
      <c r="F22" s="176">
        <f>+Materiales!C15</f>
        <v>62040</v>
      </c>
      <c r="G22" s="177">
        <v>0.84</v>
      </c>
      <c r="H22" s="178">
        <f>+G22*F22</f>
        <v>52113.599999999999</v>
      </c>
      <c r="I22" s="179"/>
    </row>
    <row r="23" spans="2:9" x14ac:dyDescent="0.25">
      <c r="B23" s="199" t="str">
        <f>+Materiales!A25</f>
        <v>AGUA</v>
      </c>
      <c r="C23" s="200"/>
      <c r="D23" s="201"/>
      <c r="E23" s="272" t="s">
        <v>368</v>
      </c>
      <c r="F23" s="176">
        <f>+Materiales!C25</f>
        <v>44</v>
      </c>
      <c r="G23" s="177">
        <v>185</v>
      </c>
      <c r="H23" s="178">
        <f>+G23*F23</f>
        <v>8140</v>
      </c>
      <c r="I23" s="179"/>
    </row>
    <row r="24" spans="2:9" x14ac:dyDescent="0.25">
      <c r="B24" s="199" t="str">
        <f>+Materiales!A37</f>
        <v>ARENA LAVADA</v>
      </c>
      <c r="C24" s="200"/>
      <c r="D24" s="201"/>
      <c r="E24" s="272" t="s">
        <v>18</v>
      </c>
      <c r="F24" s="176">
        <f>+Materiales!C37</f>
        <v>46758</v>
      </c>
      <c r="G24" s="177">
        <v>0.63</v>
      </c>
      <c r="H24" s="178">
        <f>+G24*F24</f>
        <v>29457.54</v>
      </c>
      <c r="I24" s="179"/>
    </row>
    <row r="25" spans="2:9" x14ac:dyDescent="0.25">
      <c r="B25" s="199" t="str">
        <f>+Materiales!A53</f>
        <v>CEMENTO GRIS</v>
      </c>
      <c r="C25" s="200"/>
      <c r="D25" s="201"/>
      <c r="E25" s="272" t="s">
        <v>338</v>
      </c>
      <c r="F25" s="176">
        <f>+Materiales!C53</f>
        <v>558</v>
      </c>
      <c r="G25" s="177">
        <v>260</v>
      </c>
      <c r="H25" s="178">
        <f>+G25*F25</f>
        <v>145080</v>
      </c>
      <c r="I25" s="179"/>
    </row>
    <row r="26" spans="2:9" x14ac:dyDescent="0.25">
      <c r="B26" s="199" t="str">
        <f>+Materiales!A82</f>
        <v>FORMALETA CONCRETO CLASE A,B Y C</v>
      </c>
      <c r="C26" s="200"/>
      <c r="D26" s="201"/>
      <c r="E26" s="272" t="s">
        <v>23</v>
      </c>
      <c r="F26" s="176">
        <f>+Materiales!C82</f>
        <v>16855</v>
      </c>
      <c r="G26" s="177">
        <v>0.5</v>
      </c>
      <c r="H26" s="178">
        <f>+G26*F26</f>
        <v>8427.5</v>
      </c>
      <c r="I26" s="179"/>
    </row>
    <row r="27" spans="2:9" x14ac:dyDescent="0.25">
      <c r="B27" s="199" t="s">
        <v>620</v>
      </c>
      <c r="C27" s="200"/>
      <c r="D27" s="201"/>
      <c r="E27" s="175"/>
      <c r="F27" s="176"/>
      <c r="G27" s="177"/>
      <c r="H27" s="178">
        <f>SUM(H22:H25)*0.02</f>
        <v>4695.8228000000008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247914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+Equipo!A94</f>
        <v>TARIFA DE TRANSPORTE DE ARENA</v>
      </c>
      <c r="C32" s="196"/>
      <c r="D32" s="347">
        <v>0.6</v>
      </c>
      <c r="E32" s="309">
        <f>+'630,2'!E32</f>
        <v>80</v>
      </c>
      <c r="F32" s="347">
        <f>D32*E32</f>
        <v>48</v>
      </c>
      <c r="G32" s="216">
        <f>+Equipo!C94</f>
        <v>1241</v>
      </c>
      <c r="H32" s="178">
        <f>F32*G32</f>
        <v>59568</v>
      </c>
      <c r="I32" s="179"/>
    </row>
    <row r="33" spans="2:9" x14ac:dyDescent="0.25">
      <c r="B33" s="199" t="str">
        <f>+Equipo!A95</f>
        <v>TARIFA DE TRANSPORTE DE AGREGADO PARA CONCRETO</v>
      </c>
      <c r="C33" s="201"/>
      <c r="D33" s="350">
        <v>0.8</v>
      </c>
      <c r="E33" s="309">
        <f>+'630,2'!E33</f>
        <v>80</v>
      </c>
      <c r="F33" s="347">
        <f>D33*E33</f>
        <v>64</v>
      </c>
      <c r="G33" s="352">
        <f>+Equipo!C95</f>
        <v>1241</v>
      </c>
      <c r="H33" s="178">
        <f>F33*G33</f>
        <v>79424</v>
      </c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138992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6</v>
      </c>
      <c r="D39" s="222">
        <f>+MdeObra!C21*C39</f>
        <v>194514</v>
      </c>
      <c r="E39" s="315">
        <f>+MdeObra!C10</f>
        <v>1.85</v>
      </c>
      <c r="F39" s="176">
        <f>+E39*D39</f>
        <v>359850.9</v>
      </c>
      <c r="G39" s="177">
        <v>12</v>
      </c>
      <c r="H39" s="224">
        <f>+F39/G39</f>
        <v>29987.575000000001</v>
      </c>
      <c r="I39" s="179"/>
    </row>
    <row r="40" spans="2:9" x14ac:dyDescent="0.25">
      <c r="B40" s="199" t="str">
        <f>+MdeObra!A22</f>
        <v>OFICIAL</v>
      </c>
      <c r="C40" s="221">
        <v>2</v>
      </c>
      <c r="D40" s="222">
        <f>+MdeObra!C22*C40</f>
        <v>129674</v>
      </c>
      <c r="E40" s="315">
        <f>+MdeObra!C10</f>
        <v>1.85</v>
      </c>
      <c r="F40" s="176">
        <f>+E40*D40</f>
        <v>239896.90000000002</v>
      </c>
      <c r="G40" s="177">
        <f>+G39</f>
        <v>12</v>
      </c>
      <c r="H40" s="224">
        <f>+F40/G40</f>
        <v>19991.408333333336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49979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457393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91478.6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22869.65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22869.65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137218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594611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C34" zoomScaleNormal="100" zoomScaleSheetLayoutView="100" workbookViewId="0">
      <selection activeCell="G23" sqref="G23"/>
    </sheetView>
  </sheetViews>
  <sheetFormatPr baseColWidth="10" defaultRowHeight="15" x14ac:dyDescent="0.25"/>
  <cols>
    <col min="1" max="1" width="8" customWidth="1"/>
    <col min="2" max="4" width="17" customWidth="1"/>
    <col min="10" max="10" width="7.285156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'!B48</f>
        <v>630.4</v>
      </c>
    </row>
    <row r="7" spans="2:9" x14ac:dyDescent="0.25">
      <c r="B7" s="160" t="s">
        <v>545</v>
      </c>
      <c r="C7" s="554" t="str">
        <f>+P.Detall!E48</f>
        <v>CONCRETO CLASE G</v>
      </c>
      <c r="D7" s="162"/>
      <c r="E7" s="161"/>
      <c r="F7" s="161"/>
      <c r="G7" s="161"/>
      <c r="H7" s="164" t="s">
        <v>546</v>
      </c>
      <c r="I7" s="335" t="str">
        <f>+'Presup '!F48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2998.75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2999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">
        <v>40</v>
      </c>
      <c r="C22" s="200"/>
      <c r="D22" s="201"/>
      <c r="E22" s="175" t="s">
        <v>18</v>
      </c>
      <c r="F22" s="176">
        <f>+'630,3'!I29</f>
        <v>247914</v>
      </c>
      <c r="G22" s="177">
        <f>0.6*1.1</f>
        <v>0.66</v>
      </c>
      <c r="H22" s="178">
        <f>+G22*F22</f>
        <v>163623.24000000002</v>
      </c>
      <c r="I22" s="179"/>
    </row>
    <row r="23" spans="2:9" x14ac:dyDescent="0.25">
      <c r="B23" s="199" t="str">
        <f>+Materiales!A130</f>
        <v>PIEDRA PARA CONCRETO CICLÓPEO (RAJÓN O CANTO RODADO)</v>
      </c>
      <c r="C23" s="200"/>
      <c r="D23" s="201"/>
      <c r="E23" s="175" t="s">
        <v>18</v>
      </c>
      <c r="F23" s="176">
        <f>+Materiales!C130</f>
        <v>31020</v>
      </c>
      <c r="G23" s="177">
        <f>0.4</f>
        <v>0.4</v>
      </c>
      <c r="H23" s="178">
        <f>+G23*F23</f>
        <v>12408</v>
      </c>
      <c r="I23" s="179"/>
    </row>
    <row r="24" spans="2:9" x14ac:dyDescent="0.25">
      <c r="B24" s="199" t="str">
        <f>+Materiales!A82</f>
        <v>FORMALETA CONCRETO CLASE A,B Y C</v>
      </c>
      <c r="C24" s="200"/>
      <c r="D24" s="201"/>
      <c r="E24" s="175" t="s">
        <v>23</v>
      </c>
      <c r="F24" s="176">
        <f>+Materiales!C82</f>
        <v>16855</v>
      </c>
      <c r="G24" s="177">
        <v>1</v>
      </c>
      <c r="H24" s="178">
        <f>+G24*F24</f>
        <v>16855</v>
      </c>
      <c r="I24" s="179"/>
    </row>
    <row r="25" spans="2:9" x14ac:dyDescent="0.25">
      <c r="B25" s="199" t="s">
        <v>620</v>
      </c>
      <c r="C25" s="200"/>
      <c r="D25" s="201"/>
      <c r="E25" s="175"/>
      <c r="F25" s="176"/>
      <c r="G25" s="177"/>
      <c r="H25" s="178">
        <f>SUM(H23)*0.02</f>
        <v>248.16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193134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+Equipo!A97</f>
        <v>TARIFA DE TRANSPORTE DE MATERIAL PARA CICLÓPEO</v>
      </c>
      <c r="C32" s="196"/>
      <c r="D32" s="347">
        <v>0.4</v>
      </c>
      <c r="E32" s="309">
        <f>+'200.2'!P16</f>
        <v>6</v>
      </c>
      <c r="F32" s="347">
        <f>D32*E32</f>
        <v>2.4000000000000004</v>
      </c>
      <c r="G32" s="216">
        <f>+Equipo!C97</f>
        <v>1241</v>
      </c>
      <c r="H32" s="178">
        <f>F32*G32</f>
        <v>2978.4000000000005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2978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8</v>
      </c>
      <c r="D39" s="222">
        <f>+MdeObra!C21*C39</f>
        <v>259352</v>
      </c>
      <c r="E39" s="315">
        <f>+MdeObra!C10</f>
        <v>1.85</v>
      </c>
      <c r="F39" s="176">
        <f>+E39*D39</f>
        <v>479801.2</v>
      </c>
      <c r="G39" s="177">
        <v>10</v>
      </c>
      <c r="H39" s="224">
        <f>+F39/G39</f>
        <v>47980.12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+MdeObra!C22*C40</f>
        <v>64837</v>
      </c>
      <c r="E40" s="315">
        <f>+MdeObra!C10</f>
        <v>1.85</v>
      </c>
      <c r="F40" s="176">
        <f>+E40*D40</f>
        <v>119948.45000000001</v>
      </c>
      <c r="G40" s="177">
        <f>+G39</f>
        <v>10</v>
      </c>
      <c r="H40" s="224">
        <f>+F40/G40</f>
        <v>11994.845000000001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59975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259086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51817.200000000004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12954.300000000001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12954.300000000001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77726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336812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6" zoomScaleNormal="100" zoomScaleSheetLayoutView="100" workbookViewId="0">
      <selection activeCell="G40" sqref="G40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'!B51</f>
        <v>640.1</v>
      </c>
    </row>
    <row r="7" spans="2:9" x14ac:dyDescent="0.25">
      <c r="B7" s="160" t="s">
        <v>545</v>
      </c>
      <c r="C7" s="554" t="str">
        <f>+P.Detall!E51</f>
        <v>ACERO DE REFUERZO fy 412 Mpa</v>
      </c>
      <c r="D7" s="162"/>
      <c r="E7" s="161"/>
      <c r="F7" s="161"/>
      <c r="G7" s="161"/>
      <c r="H7" s="164" t="s">
        <v>546</v>
      </c>
      <c r="I7" s="335" t="str">
        <f>+'Presup '!F51</f>
        <v>KG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+Equipo!A26</f>
        <v>CIZALLA MANUAL</v>
      </c>
      <c r="C11" s="1527"/>
      <c r="D11" s="1528"/>
      <c r="E11" s="175"/>
      <c r="F11" s="176">
        <f>+Equipo!C26</f>
        <v>1046</v>
      </c>
      <c r="G11" s="177">
        <v>38</v>
      </c>
      <c r="H11" s="178">
        <f>F11/G11</f>
        <v>27.526315789473685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621</v>
      </c>
      <c r="C17" s="1527"/>
      <c r="D17" s="1528"/>
      <c r="E17" s="175"/>
      <c r="F17" s="176"/>
      <c r="G17" s="177"/>
      <c r="H17" s="178">
        <f>I45*0.02</f>
        <v>18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46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+Materiales!A11</f>
        <v>ACERO PDR-60</v>
      </c>
      <c r="C22" s="200"/>
      <c r="D22" s="201"/>
      <c r="E22" s="175" t="s">
        <v>18</v>
      </c>
      <c r="F22" s="176">
        <f>+Materiales!C11</f>
        <v>5336</v>
      </c>
      <c r="G22" s="177">
        <v>1.05</v>
      </c>
      <c r="H22" s="178">
        <f t="shared" ref="H22:H27" si="0">+G22*F22</f>
        <v>5602.8</v>
      </c>
      <c r="I22" s="179"/>
    </row>
    <row r="23" spans="2:9" x14ac:dyDescent="0.25">
      <c r="B23" s="199" t="str">
        <f>+Materiales!A28</f>
        <v>ALAMBRE NEGRO PARA AMARRE</v>
      </c>
      <c r="C23" s="200"/>
      <c r="D23" s="201"/>
      <c r="E23" s="175" t="s">
        <v>15</v>
      </c>
      <c r="F23" s="176">
        <f>+Materiales!C28</f>
        <v>4964</v>
      </c>
      <c r="G23" s="177">
        <v>0.03</v>
      </c>
      <c r="H23" s="178">
        <f t="shared" si="0"/>
        <v>148.91999999999999</v>
      </c>
      <c r="I23" s="179"/>
    </row>
    <row r="24" spans="2:9" x14ac:dyDescent="0.25">
      <c r="B24" s="199" t="s">
        <v>956</v>
      </c>
      <c r="C24" s="200"/>
      <c r="D24" s="201"/>
      <c r="E24" s="175" t="s">
        <v>960</v>
      </c>
      <c r="F24" s="176">
        <v>125000</v>
      </c>
      <c r="G24" s="202">
        <v>1E-3</v>
      </c>
      <c r="H24" s="178">
        <f>F24*G24</f>
        <v>125</v>
      </c>
      <c r="I24" s="179"/>
    </row>
    <row r="25" spans="2:9" x14ac:dyDescent="0.25">
      <c r="B25" s="199"/>
      <c r="C25" s="200"/>
      <c r="D25" s="201"/>
      <c r="E25" s="175"/>
      <c r="F25" s="176"/>
      <c r="G25" s="177"/>
      <c r="H25" s="178">
        <f t="shared" si="0"/>
        <v>0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5877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/>
      <c r="C32" s="196"/>
      <c r="D32" s="347"/>
      <c r="E32" s="347"/>
      <c r="F32" s="347"/>
      <c r="G32" s="216"/>
      <c r="H32" s="178">
        <f>F32*G32</f>
        <v>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1</v>
      </c>
      <c r="D39" s="222">
        <f>+MdeObra!C21</f>
        <v>32419</v>
      </c>
      <c r="E39" s="315">
        <f>+MdeObra!C10</f>
        <v>1.85</v>
      </c>
      <c r="F39" s="176">
        <f>+E39*D39</f>
        <v>59975.15</v>
      </c>
      <c r="G39" s="177">
        <v>200</v>
      </c>
      <c r="H39" s="224">
        <f>+F39/G39</f>
        <v>299.87574999999998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200</v>
      </c>
      <c r="H40" s="224">
        <f>+F40/G40</f>
        <v>599.74225000000001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900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6823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1364.6000000000001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341.15000000000003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341.15000000000003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2047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8870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3" zoomScaleNormal="100" zoomScaleSheetLayoutView="100" workbookViewId="0">
      <selection activeCell="G1" sqref="G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'!B52</f>
        <v>610.1</v>
      </c>
    </row>
    <row r="7" spans="2:9" x14ac:dyDescent="0.25">
      <c r="B7" s="160" t="s">
        <v>545</v>
      </c>
      <c r="C7" s="554" t="str">
        <f>+P.Detall!E52</f>
        <v>RELLENO PARA ESTRUCTURAS CON RECEBO</v>
      </c>
      <c r="D7" s="162"/>
      <c r="E7" s="161"/>
      <c r="F7" s="161"/>
      <c r="G7" s="161"/>
      <c r="H7" s="164" t="s">
        <v>546</v>
      </c>
      <c r="I7" s="335" t="str">
        <f>+'Presup '!F52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+Equipo!A30</f>
        <v>COMPACTADOR MANUAL VIBRATORIO (CANGURO) (APISONADORES)</v>
      </c>
      <c r="C11" s="1527"/>
      <c r="D11" s="1528"/>
      <c r="E11" s="175"/>
      <c r="F11" s="176">
        <f>+Equipo!C30</f>
        <v>7691</v>
      </c>
      <c r="G11" s="177">
        <v>2.5</v>
      </c>
      <c r="H11" s="178">
        <f>F11/G11</f>
        <v>3076.4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599.75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3676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+Materiales!A110</f>
        <v>MATERIAL DE RECEBO PARA RELLENO</v>
      </c>
      <c r="C22" s="200"/>
      <c r="D22" s="201"/>
      <c r="E22" s="175" t="s">
        <v>18</v>
      </c>
      <c r="F22" s="176">
        <f>+Materiales!C110</f>
        <v>25850</v>
      </c>
      <c r="G22" s="177">
        <v>1.3</v>
      </c>
      <c r="H22" s="178">
        <f>+G22*F22</f>
        <v>33605</v>
      </c>
      <c r="I22" s="179"/>
    </row>
    <row r="23" spans="2:9" x14ac:dyDescent="0.25">
      <c r="B23" s="199" t="str">
        <f>+Materiales!A25</f>
        <v>AGUA</v>
      </c>
      <c r="C23" s="200"/>
      <c r="D23" s="201"/>
      <c r="E23" s="175" t="s">
        <v>368</v>
      </c>
      <c r="F23" s="176">
        <f>+Materiales!C25</f>
        <v>44</v>
      </c>
      <c r="G23" s="177">
        <v>30</v>
      </c>
      <c r="H23" s="178">
        <f>+G23*F23</f>
        <v>1320</v>
      </c>
      <c r="I23" s="179"/>
    </row>
    <row r="24" spans="2:9" x14ac:dyDescent="0.25">
      <c r="B24" s="199"/>
      <c r="C24" s="200"/>
      <c r="D24" s="201"/>
      <c r="E24" s="175"/>
      <c r="F24" s="176"/>
      <c r="G24" s="177"/>
      <c r="H24" s="178"/>
      <c r="I24" s="179"/>
    </row>
    <row r="25" spans="2:9" x14ac:dyDescent="0.25">
      <c r="B25" s="199"/>
      <c r="C25" s="200"/>
      <c r="D25" s="201"/>
      <c r="E25" s="175"/>
      <c r="F25" s="176"/>
      <c r="G25" s="177"/>
      <c r="H25" s="178"/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34925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+Equipo!A92</f>
        <v>TARIFA DE TRANSPORTE DE AFIRMADO</v>
      </c>
      <c r="C32" s="196"/>
      <c r="D32" s="347">
        <f>+G22</f>
        <v>1.3</v>
      </c>
      <c r="E32" s="309">
        <f>+'200.2'!P16</f>
        <v>6</v>
      </c>
      <c r="F32" s="347">
        <f>D32*E32</f>
        <v>7.8000000000000007</v>
      </c>
      <c r="G32" s="216">
        <f>+Equipo!C92</f>
        <v>1241</v>
      </c>
      <c r="H32" s="178">
        <f>F32*G32</f>
        <v>9679.8000000000011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9680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2</v>
      </c>
      <c r="D39" s="222">
        <f>+MdeObra!C21*C39</f>
        <v>64838</v>
      </c>
      <c r="E39" s="315">
        <f>+MdeObra!C10</f>
        <v>1.85</v>
      </c>
      <c r="F39" s="176">
        <f>+E39*D39</f>
        <v>119950.3</v>
      </c>
      <c r="G39" s="177">
        <v>20</v>
      </c>
      <c r="H39" s="224">
        <f>+F39/G39</f>
        <v>5997.5150000000003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20</v>
      </c>
      <c r="H40" s="224">
        <f>+F40/G40</f>
        <v>5997.4225000000006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11995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60276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12055.2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3013.8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3013.8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18083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78359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6" zoomScaleNormal="100" zoomScaleSheetLayoutView="100" workbookViewId="0">
      <selection activeCell="E41" sqref="E41:E43"/>
    </sheetView>
  </sheetViews>
  <sheetFormatPr baseColWidth="10" defaultRowHeight="15" x14ac:dyDescent="0.25"/>
  <cols>
    <col min="2" max="2" width="13.5703125" customWidth="1"/>
    <col min="3" max="3" width="15.42578125" customWidth="1"/>
    <col min="4" max="4" width="13.57031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'!B53</f>
        <v>661.1</v>
      </c>
    </row>
    <row r="7" spans="2:9" ht="24" customHeight="1" x14ac:dyDescent="0.25">
      <c r="B7" s="160" t="s">
        <v>545</v>
      </c>
      <c r="C7" s="554" t="str">
        <f>+P.Detall!E53</f>
        <v>TUBERÍA DE CONCRETO REFORZADO 900 MM DIÁMETRO INTERIOR (TIPO 1)</v>
      </c>
      <c r="D7" s="554"/>
      <c r="E7" s="554"/>
      <c r="F7" s="554"/>
      <c r="G7" s="554"/>
      <c r="H7" s="164" t="s">
        <v>546</v>
      </c>
      <c r="I7" s="335" t="str">
        <f>+'Presup '!F53</f>
        <v>ML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+Equipo!A38</f>
        <v>DIFERENCIAL DE 2 TON.</v>
      </c>
      <c r="C11" s="1527"/>
      <c r="D11" s="1528"/>
      <c r="E11" s="175"/>
      <c r="F11" s="176">
        <f>+Equipo!C38</f>
        <v>3749</v>
      </c>
      <c r="G11" s="177">
        <v>1.5</v>
      </c>
      <c r="H11" s="178">
        <f>F11/G11</f>
        <v>2499.3333333333335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I45*0.1</f>
        <v>1499.4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3999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+Materiales!A121</f>
        <v>MORTERO 1:3  PARA ANILLOS</v>
      </c>
      <c r="C22" s="200"/>
      <c r="D22" s="201"/>
      <c r="E22" s="175" t="s">
        <v>18</v>
      </c>
      <c r="F22" s="176">
        <f>+Materiales!C121</f>
        <v>406421</v>
      </c>
      <c r="G22" s="177">
        <v>0.02</v>
      </c>
      <c r="H22" s="178">
        <f t="shared" ref="H22:H27" si="0">+G22*F22</f>
        <v>8128.42</v>
      </c>
      <c r="I22" s="179"/>
    </row>
    <row r="23" spans="2:9" x14ac:dyDescent="0.25">
      <c r="B23" s="199" t="str">
        <f>+Materiales!A110</f>
        <v>MATERIAL DE RECEBO PARA RELLENO</v>
      </c>
      <c r="C23" s="200"/>
      <c r="D23" s="201"/>
      <c r="E23" s="175" t="s">
        <v>18</v>
      </c>
      <c r="F23" s="176">
        <f>+Materiales!C110</f>
        <v>25850</v>
      </c>
      <c r="G23" s="177">
        <v>0.46</v>
      </c>
      <c r="H23" s="178">
        <f t="shared" si="0"/>
        <v>11891</v>
      </c>
      <c r="I23" s="179"/>
    </row>
    <row r="24" spans="2:9" x14ac:dyDescent="0.25">
      <c r="B24" s="199" t="str">
        <f>+Materiales!A176</f>
        <v>TUBO CONCRETO REFORZADO 900mm TIPO 1</v>
      </c>
      <c r="C24" s="200"/>
      <c r="D24" s="201"/>
      <c r="E24" s="175" t="s">
        <v>15</v>
      </c>
      <c r="F24" s="176">
        <f>+Materiales!C176</f>
        <v>356834</v>
      </c>
      <c r="G24" s="177">
        <v>1</v>
      </c>
      <c r="H24" s="178">
        <f t="shared" si="0"/>
        <v>356834</v>
      </c>
      <c r="I24" s="179"/>
    </row>
    <row r="25" spans="2:9" x14ac:dyDescent="0.25">
      <c r="B25" s="199"/>
      <c r="C25" s="200"/>
      <c r="D25" s="201"/>
      <c r="E25" s="175"/>
      <c r="F25" s="176"/>
      <c r="G25" s="177"/>
      <c r="H25" s="178">
        <f t="shared" si="0"/>
        <v>0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376853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+Equipo!A93</f>
        <v>TARIFA DE TRANSPORTE DE CONCRETO</v>
      </c>
      <c r="C32" s="196"/>
      <c r="D32" s="347">
        <v>1.2</v>
      </c>
      <c r="E32" s="309">
        <f>+'200.2'!P15</f>
        <v>80</v>
      </c>
      <c r="F32" s="347">
        <f>D32*E32</f>
        <v>96</v>
      </c>
      <c r="G32" s="216">
        <f>+Equipo!C93</f>
        <v>1241</v>
      </c>
      <c r="H32" s="178">
        <f>F32*G32</f>
        <v>119136</v>
      </c>
      <c r="I32" s="179"/>
    </row>
    <row r="33" spans="2:9" x14ac:dyDescent="0.25">
      <c r="B33" s="199" t="str">
        <f>+Equipo!A92</f>
        <v>TARIFA DE TRANSPORTE DE AFIRMADO</v>
      </c>
      <c r="C33" s="201"/>
      <c r="D33" s="350">
        <v>0.5</v>
      </c>
      <c r="E33" s="309">
        <f>+E32</f>
        <v>80</v>
      </c>
      <c r="F33" s="347">
        <f>D33*E33</f>
        <v>40</v>
      </c>
      <c r="G33" s="352">
        <f>+Equipo!C92</f>
        <v>1241</v>
      </c>
      <c r="H33" s="178">
        <f>F33*G33</f>
        <v>49640</v>
      </c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168776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4</v>
      </c>
      <c r="D39" s="222">
        <f>+MdeObra!C21*C39</f>
        <v>129676</v>
      </c>
      <c r="E39" s="315">
        <f>+MdeObra!C10</f>
        <v>1.85</v>
      </c>
      <c r="F39" s="176">
        <f>+E39*D39</f>
        <v>239900.6</v>
      </c>
      <c r="G39" s="177">
        <v>24</v>
      </c>
      <c r="H39" s="224">
        <f>+F39/G39</f>
        <v>9995.8583333333336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24</v>
      </c>
      <c r="H40" s="224">
        <f>+F40/G40</f>
        <v>4997.8520833333341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14994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564622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112924.40000000001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28231.100000000002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28231.100000000002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169387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734009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E33" sqref="E33"/>
    </sheetView>
  </sheetViews>
  <sheetFormatPr baseColWidth="10" defaultRowHeight="15" x14ac:dyDescent="0.25"/>
  <cols>
    <col min="3" max="3" width="16.42578125" customWidth="1"/>
    <col min="4" max="4" width="16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'!B56</f>
        <v>660.1</v>
      </c>
    </row>
    <row r="7" spans="2:9" x14ac:dyDescent="0.25">
      <c r="B7" s="160" t="s">
        <v>545</v>
      </c>
      <c r="C7" s="554" t="str">
        <f>+P.Detall!E56</f>
        <v>CUNETA DE CONCRETO FUNDIDA EN EL LUGAR</v>
      </c>
      <c r="D7" s="554"/>
      <c r="E7" s="554"/>
      <c r="F7" s="554"/>
      <c r="G7" s="554"/>
      <c r="H7" s="164" t="s">
        <v>546</v>
      </c>
      <c r="I7" s="335" t="str">
        <f>+'Presup '!F56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1199.5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1200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s="743" customFormat="1" x14ac:dyDescent="0.25">
      <c r="B22" s="199" t="s">
        <v>40</v>
      </c>
      <c r="C22" s="200"/>
      <c r="D22" s="201"/>
      <c r="E22" s="175" t="s">
        <v>18</v>
      </c>
      <c r="F22" s="176">
        <f>'630,3'!I47</f>
        <v>457393</v>
      </c>
      <c r="G22" s="753">
        <v>1</v>
      </c>
      <c r="H22" s="178">
        <f>+G22*F22</f>
        <v>457393</v>
      </c>
      <c r="I22" s="179"/>
    </row>
    <row r="23" spans="2:9" x14ac:dyDescent="0.25">
      <c r="B23" s="199" t="str">
        <f>+Materiales!A81</f>
        <v>FORMALETA (GAVIONES, BORDILLOS, CUNETAS)</v>
      </c>
      <c r="C23" s="200"/>
      <c r="D23" s="201"/>
      <c r="E23" s="175" t="s">
        <v>23</v>
      </c>
      <c r="F23" s="176">
        <f>+Materiales!C81</f>
        <v>4870</v>
      </c>
      <c r="G23" s="177">
        <v>0.3</v>
      </c>
      <c r="H23" s="178">
        <f>+G23*F23</f>
        <v>1461</v>
      </c>
      <c r="I23" s="179"/>
    </row>
    <row r="24" spans="2:9" x14ac:dyDescent="0.25">
      <c r="B24" s="199" t="str">
        <f>+Materiales!A108</f>
        <v>MATERIAL DE SUB- BASE CBR=40%</v>
      </c>
      <c r="C24" s="200"/>
      <c r="D24" s="201"/>
      <c r="E24" s="175" t="s">
        <v>18</v>
      </c>
      <c r="F24" s="176">
        <f>+Materiales!C108</f>
        <v>41360</v>
      </c>
      <c r="G24" s="177">
        <v>1</v>
      </c>
      <c r="H24" s="178">
        <f>+G24*F24</f>
        <v>41360</v>
      </c>
      <c r="I24" s="179"/>
    </row>
    <row r="25" spans="2:9" x14ac:dyDescent="0.25">
      <c r="B25" s="199" t="str">
        <f>+Materiales!A147</f>
        <v>SELLO DE JUNTAS</v>
      </c>
      <c r="C25" s="200"/>
      <c r="D25" s="201"/>
      <c r="E25" s="175" t="s">
        <v>338</v>
      </c>
      <c r="F25" s="176">
        <f>+Materiales!C147</f>
        <v>3206</v>
      </c>
      <c r="G25" s="177">
        <v>0.5</v>
      </c>
      <c r="H25" s="178">
        <f>+G25*F25</f>
        <v>1603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501817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+Equipo!A91</f>
        <v>TARIFA DE TRANSPORTE DE SUBBASE</v>
      </c>
      <c r="C32" s="196"/>
      <c r="D32" s="347">
        <f>+G22</f>
        <v>1</v>
      </c>
      <c r="E32" s="309">
        <f>+'200.2'!P15</f>
        <v>80</v>
      </c>
      <c r="F32" s="540">
        <f>D32*E32</f>
        <v>80</v>
      </c>
      <c r="G32" s="216">
        <f>+Equipo!C91</f>
        <v>1241</v>
      </c>
      <c r="H32" s="178">
        <f>F32*G32</f>
        <v>99280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99280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2</v>
      </c>
      <c r="D39" s="222">
        <f>+MdeObra!C21*C39</f>
        <v>64838</v>
      </c>
      <c r="E39" s="315">
        <f>+MdeObra!C10</f>
        <v>1.85</v>
      </c>
      <c r="F39" s="176">
        <f>+E39*D39</f>
        <v>119950.3</v>
      </c>
      <c r="G39" s="177">
        <v>10</v>
      </c>
      <c r="H39" s="224">
        <f>+F39/G39</f>
        <v>11995.03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10</v>
      </c>
      <c r="H40" s="224">
        <f>+F40/G40</f>
        <v>11994.845000000001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23990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626287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125257.40000000001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31314.350000000002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31314.350000000002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187886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814173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D1" sqref="D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'!B57</f>
        <v>672.1</v>
      </c>
    </row>
    <row r="7" spans="2:9" x14ac:dyDescent="0.25">
      <c r="B7" s="160" t="s">
        <v>545</v>
      </c>
      <c r="C7" s="554" t="str">
        <f>+P.Detall!E57</f>
        <v>BORDILLOS DE CONCRETO</v>
      </c>
      <c r="D7" s="554"/>
      <c r="E7" s="554"/>
      <c r="F7" s="554"/>
      <c r="G7" s="554"/>
      <c r="H7" s="164" t="s">
        <v>546</v>
      </c>
      <c r="I7" s="335" t="str">
        <f>+'Presup '!F57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187.4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187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">
        <v>38</v>
      </c>
      <c r="C22" s="200"/>
      <c r="D22" s="201"/>
      <c r="E22" s="175" t="s">
        <v>18</v>
      </c>
      <c r="F22" s="176">
        <f>+'630,2'!I47</f>
        <v>592211</v>
      </c>
      <c r="G22" s="177">
        <v>0.06</v>
      </c>
      <c r="H22" s="178">
        <f t="shared" ref="H22:H27" si="0">+G22*F22</f>
        <v>35532.659999999996</v>
      </c>
      <c r="I22" s="179"/>
    </row>
    <row r="23" spans="2:9" x14ac:dyDescent="0.25">
      <c r="B23" s="199" t="str">
        <f>+Materiales!A81</f>
        <v>FORMALETA (GAVIONES, BORDILLOS, CUNETAS)</v>
      </c>
      <c r="C23" s="200"/>
      <c r="D23" s="201"/>
      <c r="E23" s="175" t="s">
        <v>23</v>
      </c>
      <c r="F23" s="176">
        <f>+Materiales!C81</f>
        <v>4870</v>
      </c>
      <c r="G23" s="177">
        <v>0.3</v>
      </c>
      <c r="H23" s="178">
        <f t="shared" si="0"/>
        <v>1461</v>
      </c>
      <c r="I23" s="179"/>
    </row>
    <row r="24" spans="2:9" x14ac:dyDescent="0.25">
      <c r="B24" s="199" t="str">
        <f>+Materiales!A147</f>
        <v>SELLO DE JUNTAS</v>
      </c>
      <c r="C24" s="200"/>
      <c r="D24" s="201"/>
      <c r="E24" s="175" t="s">
        <v>338</v>
      </c>
      <c r="F24" s="176">
        <f>+Materiales!C147</f>
        <v>3206</v>
      </c>
      <c r="G24" s="177">
        <v>0.3</v>
      </c>
      <c r="H24" s="178">
        <f t="shared" si="0"/>
        <v>961.8</v>
      </c>
      <c r="I24" s="179"/>
    </row>
    <row r="25" spans="2:9" x14ac:dyDescent="0.25">
      <c r="B25" s="199"/>
      <c r="C25" s="200"/>
      <c r="D25" s="201"/>
      <c r="E25" s="175"/>
      <c r="F25" s="176"/>
      <c r="G25" s="177"/>
      <c r="H25" s="178">
        <f t="shared" si="0"/>
        <v>0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37955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/>
      <c r="C32" s="196"/>
      <c r="D32" s="347"/>
      <c r="E32" s="347"/>
      <c r="F32" s="347"/>
      <c r="G32" s="216"/>
      <c r="H32" s="178">
        <f>F32*G32</f>
        <v>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SUM(H32:H35)</f>
        <v>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3</v>
      </c>
      <c r="D39" s="222">
        <f>+MdeObra!C21*C39</f>
        <v>97257</v>
      </c>
      <c r="E39" s="315">
        <f>+MdeObra!C10</f>
        <v>1.85</v>
      </c>
      <c r="F39" s="176">
        <f>+E39*D39</f>
        <v>179925.45</v>
      </c>
      <c r="G39" s="177">
        <v>80</v>
      </c>
      <c r="H39" s="224">
        <f>+F39/G39</f>
        <v>2249.0681250000002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80</v>
      </c>
      <c r="H40" s="224">
        <f>+F40/G40</f>
        <v>1499.3556250000001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3748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41890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8378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2094.5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2094.5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12567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54457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F1" sqref="F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'!B60</f>
        <v>673.1</v>
      </c>
    </row>
    <row r="7" spans="2:9" x14ac:dyDescent="0.25">
      <c r="B7" s="160" t="s">
        <v>545</v>
      </c>
      <c r="C7" s="554" t="str">
        <f>+P.Detall!E60</f>
        <v xml:space="preserve">GEOTEXTIL </v>
      </c>
      <c r="D7" s="162"/>
      <c r="E7" s="161"/>
      <c r="F7" s="161"/>
      <c r="G7" s="161"/>
      <c r="H7" s="164" t="s">
        <v>546</v>
      </c>
      <c r="I7" s="335" t="str">
        <f>+'Presup '!F60</f>
        <v>M2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623</v>
      </c>
      <c r="C17" s="1527"/>
      <c r="D17" s="1528"/>
      <c r="E17" s="175"/>
      <c r="F17" s="176"/>
      <c r="G17" s="177"/>
      <c r="H17" s="178"/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0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+Materiales!A88</f>
        <v xml:space="preserve">GEOTEXTIL T2500 O SIMILAR </v>
      </c>
      <c r="C22" s="200"/>
      <c r="D22" s="201"/>
      <c r="E22" s="175" t="s">
        <v>23</v>
      </c>
      <c r="F22" s="176">
        <f>+Materiales!C88</f>
        <v>7343</v>
      </c>
      <c r="G22" s="177">
        <v>1.1000000000000001</v>
      </c>
      <c r="H22" s="178">
        <f>+G22*F22</f>
        <v>8077.3000000000011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/>
      <c r="I23" s="179"/>
    </row>
    <row r="24" spans="2:9" x14ac:dyDescent="0.25">
      <c r="B24" s="199"/>
      <c r="C24" s="200"/>
      <c r="D24" s="201"/>
      <c r="E24" s="175"/>
      <c r="F24" s="176"/>
      <c r="G24" s="177"/>
      <c r="H24" s="178"/>
      <c r="I24" s="179"/>
    </row>
    <row r="25" spans="2:9" x14ac:dyDescent="0.25">
      <c r="B25" s="199"/>
      <c r="C25" s="200"/>
      <c r="D25" s="201"/>
      <c r="E25" s="175"/>
      <c r="F25" s="176"/>
      <c r="G25" s="177"/>
      <c r="H25" s="178"/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8077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/>
      <c r="C32" s="196"/>
      <c r="D32" s="347"/>
      <c r="E32" s="347"/>
      <c r="F32" s="347"/>
      <c r="G32" s="216"/>
      <c r="H32" s="178">
        <f>F32*G32</f>
        <v>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2</v>
      </c>
      <c r="D39" s="222">
        <f>+C39*MdeObra!C21</f>
        <v>64838</v>
      </c>
      <c r="E39" s="315">
        <f>+MdeObra!C10</f>
        <v>1.85</v>
      </c>
      <c r="F39" s="176">
        <f>+E39*D39</f>
        <v>119950.3</v>
      </c>
      <c r="G39" s="177">
        <v>300</v>
      </c>
      <c r="H39" s="224">
        <f>+F39/G39</f>
        <v>399.83433333333335</v>
      </c>
      <c r="I39" s="179"/>
    </row>
    <row r="40" spans="2:9" x14ac:dyDescent="0.25">
      <c r="B40" s="199"/>
      <c r="C40" s="221"/>
      <c r="D40" s="222"/>
      <c r="E40" s="315"/>
      <c r="F40" s="176"/>
      <c r="G40" s="177"/>
      <c r="H40" s="224"/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400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8477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1695.4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423.85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423.85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2543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11020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/>
  </sheetViews>
  <sheetFormatPr baseColWidth="10" defaultRowHeight="15" x14ac:dyDescent="0.25"/>
  <cols>
    <col min="3" max="4" width="16.42578125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'!B61</f>
        <v>673.2</v>
      </c>
    </row>
    <row r="7" spans="2:9" x14ac:dyDescent="0.25">
      <c r="B7" s="160" t="s">
        <v>545</v>
      </c>
      <c r="C7" s="554" t="str">
        <f>+P.Detall!E61</f>
        <v>MATERIAL GRANULAR FILTRANTE</v>
      </c>
      <c r="D7" s="162"/>
      <c r="E7" s="161"/>
      <c r="F7" s="161"/>
      <c r="G7" s="161"/>
      <c r="H7" s="164" t="s">
        <v>546</v>
      </c>
      <c r="I7" s="335" t="str">
        <f>+'Presup '!F61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I45*0.1</f>
        <v>749.7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750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+Materiales!A111</f>
        <v>MATERIAL DRENANTE (TAMAÑO MÁXIMO 3") (ÍTEM 673.2)</v>
      </c>
      <c r="C22" s="200"/>
      <c r="D22" s="201"/>
      <c r="E22" s="175" t="s">
        <v>18</v>
      </c>
      <c r="F22" s="176">
        <f>+Materiales!C111</f>
        <v>51700</v>
      </c>
      <c r="G22" s="177">
        <v>1</v>
      </c>
      <c r="H22" s="178">
        <f>+G22*F22</f>
        <v>51700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/>
      <c r="I23" s="179"/>
    </row>
    <row r="24" spans="2:9" x14ac:dyDescent="0.25">
      <c r="B24" s="199"/>
      <c r="C24" s="200"/>
      <c r="D24" s="201"/>
      <c r="E24" s="175"/>
      <c r="F24" s="176"/>
      <c r="G24" s="177"/>
      <c r="H24" s="178"/>
      <c r="I24" s="179"/>
    </row>
    <row r="25" spans="2:9" x14ac:dyDescent="0.25">
      <c r="B25" s="199"/>
      <c r="C25" s="200"/>
      <c r="D25" s="201"/>
      <c r="E25" s="175"/>
      <c r="F25" s="176"/>
      <c r="G25" s="177"/>
      <c r="H25" s="178"/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51700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+Equipo!A95</f>
        <v>TARIFA DE TRANSPORTE DE AGREGADO PARA CONCRETO</v>
      </c>
      <c r="C32" s="196"/>
      <c r="D32" s="347">
        <f>+G22</f>
        <v>1</v>
      </c>
      <c r="E32" s="309">
        <f>+'200.2'!P15</f>
        <v>80</v>
      </c>
      <c r="F32" s="347">
        <f>D32*E32</f>
        <v>80</v>
      </c>
      <c r="G32" s="216">
        <f>+Equipo!C95</f>
        <v>1241</v>
      </c>
      <c r="H32" s="178">
        <f>F32*G32</f>
        <v>99280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99280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3</v>
      </c>
      <c r="D39" s="222">
        <f>+MdeObra!C21*C39</f>
        <v>97257</v>
      </c>
      <c r="E39" s="315">
        <f>+MdeObra!C10</f>
        <v>1.85</v>
      </c>
      <c r="F39" s="176">
        <f>+E39*D39</f>
        <v>179925.45</v>
      </c>
      <c r="G39" s="177">
        <v>40</v>
      </c>
      <c r="H39" s="224">
        <f>+F39/G39</f>
        <v>4498.1362500000005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40</v>
      </c>
      <c r="H40" s="224">
        <f>+F40/G40</f>
        <v>2998.7112500000003</v>
      </c>
      <c r="I40" s="179"/>
    </row>
    <row r="41" spans="2:9" x14ac:dyDescent="0.25">
      <c r="B41" s="199"/>
      <c r="C41" s="201"/>
      <c r="D41" s="225"/>
      <c r="E41" s="315">
        <f>+MdeObra!C10</f>
        <v>1.85</v>
      </c>
      <c r="F41" s="177"/>
      <c r="G41" s="177"/>
      <c r="H41" s="178"/>
      <c r="I41" s="179"/>
    </row>
    <row r="42" spans="2:9" x14ac:dyDescent="0.25">
      <c r="B42" s="199"/>
      <c r="C42" s="201"/>
      <c r="D42" s="225"/>
      <c r="E42" s="315">
        <f>+MdeObra!C10</f>
        <v>1.85</v>
      </c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7497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159227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31845.4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7961.35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7961.35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47768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206995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zoomScaleNormal="100" zoomScaleSheetLayoutView="100" workbookViewId="0">
      <selection activeCell="F1" sqref="F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'!B62</f>
        <v>674.2</v>
      </c>
    </row>
    <row r="7" spans="2:9" x14ac:dyDescent="0.25">
      <c r="B7" s="160" t="s">
        <v>545</v>
      </c>
      <c r="C7" s="554" t="str">
        <f>+P.Detall!E62</f>
        <v>DREN HORIZONTAL DE LONGITUD MAYOR A DIEZ METROS</v>
      </c>
      <c r="D7" s="162"/>
      <c r="E7" s="161"/>
      <c r="F7" s="161"/>
      <c r="G7" s="161"/>
      <c r="H7" s="164" t="s">
        <v>546</v>
      </c>
      <c r="I7" s="335" t="str">
        <f>+'Presup '!F62</f>
        <v>ML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+Equipo!A42</f>
        <v>EQUIPO DE PERFORACIÓN (TRACKDRILL)</v>
      </c>
      <c r="C11" s="1527"/>
      <c r="D11" s="1528"/>
      <c r="E11" s="175"/>
      <c r="F11" s="176">
        <f>+Equipo!C42</f>
        <v>124080</v>
      </c>
      <c r="G11" s="753">
        <v>2.5</v>
      </c>
      <c r="H11" s="178">
        <f>F11/G11</f>
        <v>49632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621</v>
      </c>
      <c r="C17" s="1527"/>
      <c r="D17" s="1528"/>
      <c r="E17" s="175"/>
      <c r="F17" s="176"/>
      <c r="G17" s="177"/>
      <c r="H17" s="178">
        <f>I45*0.02</f>
        <v>179.92000000000002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49812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+Materiales!A173</f>
        <v>TUBERÍA PERFORADA EN PVC DE 2" (DRENES HORIZONTALES DE 2")</v>
      </c>
      <c r="C22" s="200"/>
      <c r="D22" s="201"/>
      <c r="E22" s="175" t="s">
        <v>15</v>
      </c>
      <c r="F22" s="176">
        <f>+Materiales!C173</f>
        <v>8101</v>
      </c>
      <c r="G22" s="357">
        <v>1</v>
      </c>
      <c r="H22" s="178">
        <f>+G22*F22</f>
        <v>8101</v>
      </c>
      <c r="I22" s="179"/>
    </row>
    <row r="23" spans="2:9" x14ac:dyDescent="0.25">
      <c r="B23" s="199" t="str">
        <f>+Materiales!A182</f>
        <v>UNIÓN EN PVC D=2" (ACCESORIO PARA DRENES HORIZONTALES DE 2")</v>
      </c>
      <c r="C23" s="200"/>
      <c r="D23" s="201"/>
      <c r="E23" s="175" t="s">
        <v>59</v>
      </c>
      <c r="F23" s="176">
        <f>+Materiales!C182</f>
        <v>3749</v>
      </c>
      <c r="G23" s="357">
        <v>0.2</v>
      </c>
      <c r="H23" s="178">
        <f>+G23*F23</f>
        <v>749.80000000000007</v>
      </c>
      <c r="I23" s="179"/>
    </row>
    <row r="24" spans="2:9" x14ac:dyDescent="0.25">
      <c r="B24" s="199" t="str">
        <f>+Materiales!A145</f>
        <v>SALIDA EN PVC D=2" (ACCESORIO PARA DRENES HORIZONTALES DE 2")</v>
      </c>
      <c r="C24" s="200"/>
      <c r="D24" s="201"/>
      <c r="E24" s="175" t="s">
        <v>59</v>
      </c>
      <c r="F24" s="176">
        <f>+Materiales!C145</f>
        <v>1958</v>
      </c>
      <c r="G24" s="357">
        <v>0.5</v>
      </c>
      <c r="H24" s="178">
        <f>+G24*F24</f>
        <v>979</v>
      </c>
      <c r="I24" s="179"/>
    </row>
    <row r="25" spans="2:9" x14ac:dyDescent="0.25">
      <c r="B25" s="199" t="str">
        <f>+Materiales!A88</f>
        <v xml:space="preserve">GEOTEXTIL T2500 O SIMILAR </v>
      </c>
      <c r="C25" s="200"/>
      <c r="D25" s="201"/>
      <c r="E25" s="175" t="s">
        <v>23</v>
      </c>
      <c r="F25" s="176">
        <f>+Materiales!C88</f>
        <v>7343</v>
      </c>
      <c r="G25" s="357">
        <v>0.4</v>
      </c>
      <c r="H25" s="178">
        <f>+G25*F25</f>
        <v>2937.2000000000003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12767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/>
      <c r="C32" s="196"/>
      <c r="D32" s="347"/>
      <c r="E32" s="347"/>
      <c r="F32" s="347"/>
      <c r="G32" s="216"/>
      <c r="H32" s="178">
        <f>F32*G32</f>
        <v>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1</v>
      </c>
      <c r="D39" s="222">
        <f>+MdeObra!C21*C39</f>
        <v>32419</v>
      </c>
      <c r="E39" s="315">
        <f>+MdeObra!C10</f>
        <v>1.85</v>
      </c>
      <c r="F39" s="176">
        <f>+E39*D39</f>
        <v>59975.15</v>
      </c>
      <c r="G39" s="177">
        <v>20</v>
      </c>
      <c r="H39" s="224">
        <f>+F39/G39</f>
        <v>2998.7575000000002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20</v>
      </c>
      <c r="H40" s="224">
        <f>+F40/G40</f>
        <v>5997.4225000000006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8996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71575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14315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3578.75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3578.75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21473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93048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3" zoomScaleNormal="100" zoomScaleSheetLayoutView="100" workbookViewId="0">
      <selection activeCell="F24" sqref="F24"/>
    </sheetView>
  </sheetViews>
  <sheetFormatPr baseColWidth="10" defaultRowHeight="15" x14ac:dyDescent="0.25"/>
  <cols>
    <col min="3" max="3" width="23" customWidth="1"/>
  </cols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'!B66</f>
        <v>681.1</v>
      </c>
    </row>
    <row r="7" spans="2:9" x14ac:dyDescent="0.25">
      <c r="B7" s="160" t="s">
        <v>545</v>
      </c>
      <c r="C7" s="554" t="str">
        <f>+P.Detall!E66</f>
        <v>GAVIÓN</v>
      </c>
      <c r="D7" s="162"/>
      <c r="E7" s="161"/>
      <c r="F7" s="161"/>
      <c r="G7" s="161"/>
      <c r="H7" s="164" t="s">
        <v>546</v>
      </c>
      <c r="I7" s="335" t="str">
        <f>+'Presup '!F66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619</v>
      </c>
      <c r="C17" s="1527"/>
      <c r="D17" s="1528"/>
      <c r="E17" s="175"/>
      <c r="F17" s="176"/>
      <c r="G17" s="177"/>
      <c r="H17" s="178">
        <f>I45*0.05</f>
        <v>749.7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750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 t="str">
        <f>+Materiales!A27</f>
        <v>ALAMBRE GALVANIZADO No. 12</v>
      </c>
      <c r="C22" s="200"/>
      <c r="D22" s="201"/>
      <c r="E22" s="175" t="s">
        <v>338</v>
      </c>
      <c r="F22" s="176">
        <f>+Materiales!C27</f>
        <v>5538</v>
      </c>
      <c r="G22" s="177">
        <v>1.5</v>
      </c>
      <c r="H22" s="178">
        <f t="shared" ref="H22:H27" si="0">+G22*F22</f>
        <v>8307</v>
      </c>
      <c r="I22" s="179"/>
    </row>
    <row r="23" spans="2:9" x14ac:dyDescent="0.25">
      <c r="B23" s="199" t="str">
        <f>+Materiales!A98</f>
        <v>MALLA PARA GAVIONES (2 m3) CALIBRE 12</v>
      </c>
      <c r="C23" s="200"/>
      <c r="D23" s="201"/>
      <c r="E23" s="175" t="s">
        <v>59</v>
      </c>
      <c r="F23" s="176">
        <f>+Materiales!C98</f>
        <v>82573</v>
      </c>
      <c r="G23" s="177">
        <v>0.5</v>
      </c>
      <c r="H23" s="178">
        <f t="shared" si="0"/>
        <v>41286.5</v>
      </c>
      <c r="I23" s="179"/>
    </row>
    <row r="24" spans="2:9" x14ac:dyDescent="0.25">
      <c r="B24" s="199" t="str">
        <f>+Materiales!A131</f>
        <v>PIEDRA PARA GAVIÓN</v>
      </c>
      <c r="C24" s="200"/>
      <c r="D24" s="201"/>
      <c r="E24" s="175" t="s">
        <v>18</v>
      </c>
      <c r="F24" s="176">
        <f>+Materiales!C131</f>
        <v>36190</v>
      </c>
      <c r="G24" s="177">
        <v>1.05</v>
      </c>
      <c r="H24" s="178">
        <f t="shared" si="0"/>
        <v>37999.5</v>
      </c>
      <c r="I24" s="179"/>
    </row>
    <row r="25" spans="2:9" x14ac:dyDescent="0.25">
      <c r="B25" s="199" t="str">
        <f>+Materiales!A83</f>
        <v>FORMALETA PARA BARANDA DE CONCRETO</v>
      </c>
      <c r="C25" s="200"/>
      <c r="D25" s="201"/>
      <c r="E25" s="175" t="s">
        <v>23</v>
      </c>
      <c r="F25" s="176">
        <f>+Materiales!C83</f>
        <v>19346</v>
      </c>
      <c r="G25" s="177">
        <v>2</v>
      </c>
      <c r="H25" s="178">
        <f t="shared" si="0"/>
        <v>38692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126285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 t="str">
        <f>+Equipo!A97</f>
        <v>TARIFA DE TRANSPORTE DE MATERIAL PARA CICLÓPEO</v>
      </c>
      <c r="C32" s="196"/>
      <c r="D32" s="347">
        <v>1.1000000000000001</v>
      </c>
      <c r="E32" s="309">
        <f>+'200.2'!P16</f>
        <v>6</v>
      </c>
      <c r="F32" s="347">
        <f>+D32*E32</f>
        <v>6.6000000000000005</v>
      </c>
      <c r="G32" s="216">
        <f>+Equipo!C97</f>
        <v>1241</v>
      </c>
      <c r="H32" s="178">
        <f>F32*G32</f>
        <v>8190.6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8191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3</v>
      </c>
      <c r="D39" s="222">
        <f>+MdeObra!C21*C39</f>
        <v>97257</v>
      </c>
      <c r="E39" s="315">
        <f>+MdeObra!C10</f>
        <v>1.85</v>
      </c>
      <c r="F39" s="176">
        <f>+E39*D39</f>
        <v>179925.45</v>
      </c>
      <c r="G39" s="177">
        <v>20</v>
      </c>
      <c r="H39" s="224">
        <f>+F39/G39</f>
        <v>8996.2725000000009</v>
      </c>
      <c r="I39" s="179"/>
    </row>
    <row r="40" spans="2:9" x14ac:dyDescent="0.25">
      <c r="B40" s="199" t="str">
        <f>+MdeObra!A22</f>
        <v>OFICIAL</v>
      </c>
      <c r="C40" s="221">
        <v>1</v>
      </c>
      <c r="D40" s="222">
        <f>+MdeObra!C22</f>
        <v>64837</v>
      </c>
      <c r="E40" s="315">
        <f>+MdeObra!C10</f>
        <v>1.85</v>
      </c>
      <c r="F40" s="176">
        <f>+E40*D40</f>
        <v>119948.45000000001</v>
      </c>
      <c r="G40" s="177">
        <f>+G39</f>
        <v>20</v>
      </c>
      <c r="H40" s="224">
        <f>+F40/G40</f>
        <v>5997.4225000000006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14994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150220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30044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7511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7511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45066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195286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52" zoomScaleNormal="100" zoomScaleSheetLayoutView="100" workbookViewId="0">
      <selection activeCell="F1" sqref="F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>
        <f>+'Presup '!B76</f>
        <v>0</v>
      </c>
    </row>
    <row r="7" spans="2:9" x14ac:dyDescent="0.25">
      <c r="B7" s="160" t="s">
        <v>545</v>
      </c>
      <c r="C7" s="554" t="str">
        <f>+P.Detall!E79</f>
        <v>CONFORMACION DE DEPÓSITO DE MATERIAL SOBRANTE</v>
      </c>
      <c r="D7" s="162"/>
      <c r="E7" s="161"/>
      <c r="F7" s="161"/>
      <c r="G7" s="161"/>
      <c r="H7" s="164" t="s">
        <v>546</v>
      </c>
      <c r="I7" s="335" t="str">
        <f>+'Presup '!F76</f>
        <v>M3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+Equipo!A15</f>
        <v>BULDOZER D6</v>
      </c>
      <c r="C11" s="1527"/>
      <c r="D11" s="1528"/>
      <c r="E11" s="175"/>
      <c r="F11" s="176">
        <f>+Equipo!C15</f>
        <v>134420</v>
      </c>
      <c r="G11" s="177">
        <v>60</v>
      </c>
      <c r="H11" s="178">
        <f>F11/G11</f>
        <v>2240.3333333333335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624</v>
      </c>
      <c r="C17" s="1527"/>
      <c r="D17" s="1528"/>
      <c r="E17" s="175"/>
      <c r="F17" s="176"/>
      <c r="G17" s="177"/>
      <c r="H17" s="178">
        <f>I45*0.3</f>
        <v>75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2315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/>
      <c r="C22" s="200"/>
      <c r="D22" s="201"/>
      <c r="E22" s="175"/>
      <c r="F22" s="176"/>
      <c r="G22" s="177"/>
      <c r="H22" s="178"/>
      <c r="I22" s="179"/>
    </row>
    <row r="23" spans="2:9" x14ac:dyDescent="0.25">
      <c r="B23" s="199"/>
      <c r="C23" s="200"/>
      <c r="D23" s="201"/>
      <c r="E23" s="175"/>
      <c r="F23" s="176"/>
      <c r="G23" s="177"/>
      <c r="H23" s="178"/>
      <c r="I23" s="179"/>
    </row>
    <row r="24" spans="2:9" x14ac:dyDescent="0.25">
      <c r="B24" s="199"/>
      <c r="C24" s="200"/>
      <c r="D24" s="201"/>
      <c r="E24" s="175"/>
      <c r="F24" s="176"/>
      <c r="G24" s="177"/>
      <c r="H24" s="178"/>
      <c r="I24" s="179"/>
    </row>
    <row r="25" spans="2:9" x14ac:dyDescent="0.25">
      <c r="B25" s="199"/>
      <c r="C25" s="200"/>
      <c r="D25" s="201"/>
      <c r="E25" s="175"/>
      <c r="F25" s="176"/>
      <c r="G25" s="177"/>
      <c r="H25" s="178"/>
      <c r="I25" s="179"/>
    </row>
    <row r="26" spans="2:9" x14ac:dyDescent="0.25">
      <c r="B26" s="199"/>
      <c r="C26" s="200"/>
      <c r="D26" s="201"/>
      <c r="E26" s="175"/>
      <c r="F26" s="176"/>
      <c r="G26" s="177"/>
      <c r="H26" s="178"/>
      <c r="I26" s="179"/>
    </row>
    <row r="27" spans="2:9" x14ac:dyDescent="0.25">
      <c r="B27" s="199"/>
      <c r="C27" s="200"/>
      <c r="D27" s="201"/>
      <c r="E27" s="175"/>
      <c r="F27" s="176"/>
      <c r="G27" s="177"/>
      <c r="H27" s="178"/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0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/>
      <c r="C32" s="196"/>
      <c r="D32" s="347"/>
      <c r="E32" s="347"/>
      <c r="F32" s="347"/>
      <c r="G32" s="216"/>
      <c r="H32" s="178">
        <f>F32*G32</f>
        <v>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 t="str">
        <f>+MdeObra!A21</f>
        <v>OBREROS</v>
      </c>
      <c r="C39" s="221">
        <v>2</v>
      </c>
      <c r="D39" s="222">
        <f>+MdeObra!C21*C39</f>
        <v>64838</v>
      </c>
      <c r="E39" s="315">
        <f>+MdeObra!C10</f>
        <v>1.85</v>
      </c>
      <c r="F39" s="176">
        <f>+E39*D39</f>
        <v>119950.3</v>
      </c>
      <c r="G39" s="177">
        <v>480</v>
      </c>
      <c r="H39" s="224">
        <f>+F39/G39</f>
        <v>249.89645833333333</v>
      </c>
      <c r="I39" s="179"/>
    </row>
    <row r="40" spans="2:9" x14ac:dyDescent="0.25">
      <c r="B40" s="199"/>
      <c r="C40" s="221">
        <v>0</v>
      </c>
      <c r="D40" s="222"/>
      <c r="E40" s="315">
        <f>+MdeObra!C10</f>
        <v>1.85</v>
      </c>
      <c r="F40" s="176">
        <f>+E40*D40</f>
        <v>0</v>
      </c>
      <c r="G40" s="177">
        <f>+G39</f>
        <v>480</v>
      </c>
      <c r="H40" s="224">
        <f>+F40/G40</f>
        <v>0</v>
      </c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250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2565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513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128.25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128.25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770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3335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4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</mergeCells>
  <hyperlinks>
    <hyperlink ref="C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1"/>
  <sheetViews>
    <sheetView view="pageBreakPreview" topLeftCell="A43" zoomScaleNormal="100" zoomScaleSheetLayoutView="100" workbookViewId="0">
      <selection activeCell="B11" sqref="B11:D11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542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 t="str">
        <f>+'Presup '!D81</f>
        <v>900-13</v>
      </c>
    </row>
    <row r="7" spans="2:9" ht="56.25" customHeight="1" x14ac:dyDescent="0.25">
      <c r="B7" s="160" t="s">
        <v>545</v>
      </c>
      <c r="C7" s="1558" t="str">
        <f>+P.Detall!E84</f>
        <v>TRANSPORTE DE MATERIALES PROVENIENTES DE LA EXCAVACIÓN DE LA EXPLANACIÓN, CANALES Y PRÉSTAMOS PARA DISTANCIAS MAYORES DE MIL METROS (1000 M), MEDIDO A PARTIR DE CIEN METROS (100M).</v>
      </c>
      <c r="D7" s="1558"/>
      <c r="E7" s="1558"/>
      <c r="F7" s="1558"/>
      <c r="G7" s="1558"/>
      <c r="H7" s="164" t="s">
        <v>546</v>
      </c>
      <c r="I7" s="335" t="str">
        <f>+'Presup '!F81</f>
        <v>M3-KM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 t="str">
        <f>+Equipo!A106</f>
        <v>VOLQUETA 7 M3</v>
      </c>
      <c r="C11" s="1527"/>
      <c r="D11" s="1528"/>
      <c r="E11" s="175"/>
      <c r="F11" s="176">
        <f>+Equipo!C106</f>
        <v>71647</v>
      </c>
      <c r="G11" s="177">
        <v>66</v>
      </c>
      <c r="H11" s="178">
        <f>F11/G11</f>
        <v>1085.560606060606</v>
      </c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/>
      <c r="C13" s="1527"/>
      <c r="D13" s="1528"/>
      <c r="E13" s="175"/>
      <c r="F13" s="176"/>
      <c r="G13" s="177"/>
      <c r="H13" s="178"/>
      <c r="I13" s="179"/>
    </row>
    <row r="14" spans="2:9" x14ac:dyDescent="0.25">
      <c r="B14" s="1526"/>
      <c r="C14" s="1527"/>
      <c r="D14" s="1528"/>
      <c r="E14" s="175"/>
      <c r="F14" s="176"/>
      <c r="G14" s="177"/>
      <c r="H14" s="178"/>
      <c r="I14" s="179"/>
    </row>
    <row r="15" spans="2:9" x14ac:dyDescent="0.25">
      <c r="B15" s="1526"/>
      <c r="C15" s="1527"/>
      <c r="D15" s="1528"/>
      <c r="E15" s="175"/>
      <c r="F15" s="176"/>
      <c r="G15" s="177"/>
      <c r="H15" s="178"/>
      <c r="I15" s="179"/>
    </row>
    <row r="16" spans="2:9" x14ac:dyDescent="0.25">
      <c r="B16" s="1526"/>
      <c r="C16" s="1527"/>
      <c r="D16" s="1528"/>
      <c r="E16" s="175"/>
      <c r="F16" s="176"/>
      <c r="G16" s="177"/>
      <c r="H16" s="178"/>
      <c r="I16" s="179"/>
    </row>
    <row r="17" spans="2:9" x14ac:dyDescent="0.25">
      <c r="B17" s="1526" t="s">
        <v>553</v>
      </c>
      <c r="C17" s="1527"/>
      <c r="D17" s="1528"/>
      <c r="E17" s="175"/>
      <c r="F17" s="176"/>
      <c r="G17" s="177"/>
      <c r="H17" s="178">
        <f>I45*0.1</f>
        <v>0</v>
      </c>
      <c r="I17" s="179"/>
    </row>
    <row r="18" spans="2:9" ht="15.75" thickBot="1" x14ac:dyDescent="0.3">
      <c r="B18" s="1511"/>
      <c r="C18" s="1512"/>
      <c r="D18" s="1513"/>
      <c r="E18" s="187"/>
      <c r="F18" s="188"/>
      <c r="G18" s="189"/>
      <c r="H18" s="190"/>
      <c r="I18" s="191"/>
    </row>
    <row r="19" spans="2:9" ht="15.75" thickBot="1" x14ac:dyDescent="0.3">
      <c r="B19" s="169"/>
      <c r="C19" s="169"/>
      <c r="D19" s="169"/>
      <c r="E19" s="169"/>
      <c r="F19" s="169"/>
      <c r="G19" s="169"/>
      <c r="H19" s="192" t="s">
        <v>554</v>
      </c>
      <c r="I19" s="193">
        <f>ROUND(SUM(H11:H18),0)</f>
        <v>1086</v>
      </c>
    </row>
    <row r="20" spans="2:9" ht="15.75" thickBot="1" x14ac:dyDescent="0.3">
      <c r="B20" s="170" t="s">
        <v>555</v>
      </c>
      <c r="C20" s="170"/>
      <c r="D20" s="169"/>
      <c r="E20" s="169"/>
      <c r="F20" s="169"/>
      <c r="G20" s="169"/>
      <c r="H20" s="169"/>
      <c r="I20" s="169"/>
    </row>
    <row r="21" spans="2:9" x14ac:dyDescent="0.25">
      <c r="B21" s="1514" t="s">
        <v>548</v>
      </c>
      <c r="C21" s="1515"/>
      <c r="D21" s="1516"/>
      <c r="E21" s="250" t="s">
        <v>556</v>
      </c>
      <c r="F21" s="250" t="s">
        <v>557</v>
      </c>
      <c r="G21" s="250" t="s">
        <v>558</v>
      </c>
      <c r="H21" s="249" t="s">
        <v>552</v>
      </c>
      <c r="I21" s="174"/>
    </row>
    <row r="22" spans="2:9" x14ac:dyDescent="0.25">
      <c r="B22" s="199"/>
      <c r="C22" s="200"/>
      <c r="D22" s="201"/>
      <c r="E22" s="175"/>
      <c r="F22" s="176"/>
      <c r="G22" s="177"/>
      <c r="H22" s="178">
        <f t="shared" ref="H22:H27" si="0">+G22*F22</f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x14ac:dyDescent="0.25">
      <c r="B24" s="199"/>
      <c r="C24" s="200"/>
      <c r="D24" s="201"/>
      <c r="E24" s="175"/>
      <c r="F24" s="176"/>
      <c r="G24" s="177"/>
      <c r="H24" s="178">
        <f t="shared" si="0"/>
        <v>0</v>
      </c>
      <c r="I24" s="179"/>
    </row>
    <row r="25" spans="2:9" x14ac:dyDescent="0.25">
      <c r="B25" s="199"/>
      <c r="C25" s="200"/>
      <c r="D25" s="201"/>
      <c r="E25" s="175"/>
      <c r="F25" s="176"/>
      <c r="G25" s="177"/>
      <c r="H25" s="178">
        <f t="shared" si="0"/>
        <v>0</v>
      </c>
      <c r="I25" s="179"/>
    </row>
    <row r="26" spans="2:9" x14ac:dyDescent="0.25">
      <c r="B26" s="199"/>
      <c r="C26" s="200"/>
      <c r="D26" s="201"/>
      <c r="E26" s="175"/>
      <c r="F26" s="176"/>
      <c r="G26" s="177"/>
      <c r="H26" s="178">
        <f t="shared" si="0"/>
        <v>0</v>
      </c>
      <c r="I26" s="179"/>
    </row>
    <row r="27" spans="2:9" x14ac:dyDescent="0.25">
      <c r="B27" s="199"/>
      <c r="C27" s="200"/>
      <c r="D27" s="201"/>
      <c r="E27" s="175"/>
      <c r="F27" s="176"/>
      <c r="G27" s="177"/>
      <c r="H27" s="178">
        <f t="shared" si="0"/>
        <v>0</v>
      </c>
      <c r="I27" s="179"/>
    </row>
    <row r="28" spans="2:9" ht="15.75" thickBot="1" x14ac:dyDescent="0.3">
      <c r="B28" s="205"/>
      <c r="C28" s="206"/>
      <c r="D28" s="207"/>
      <c r="E28" s="187"/>
      <c r="F28" s="188"/>
      <c r="G28" s="189"/>
      <c r="H28" s="190"/>
      <c r="I28" s="191"/>
    </row>
    <row r="29" spans="2:9" ht="15.75" thickBot="1" x14ac:dyDescent="0.3">
      <c r="B29" s="169"/>
      <c r="C29" s="169"/>
      <c r="D29" s="169"/>
      <c r="E29" s="169"/>
      <c r="F29" s="169"/>
      <c r="G29" s="169"/>
      <c r="H29" s="192" t="s">
        <v>554</v>
      </c>
      <c r="I29" s="193">
        <f>ROUND(SUM(H22:H27),0)</f>
        <v>0</v>
      </c>
    </row>
    <row r="30" spans="2:9" ht="15.75" thickBot="1" x14ac:dyDescent="0.3">
      <c r="B30" s="208" t="s">
        <v>559</v>
      </c>
      <c r="C30" s="208"/>
      <c r="D30" s="209"/>
      <c r="E30" s="169"/>
      <c r="F30" s="169"/>
      <c r="G30" s="169"/>
      <c r="H30" s="169"/>
      <c r="I30" s="169"/>
    </row>
    <row r="31" spans="2:9" x14ac:dyDescent="0.25">
      <c r="B31" s="210" t="s">
        <v>560</v>
      </c>
      <c r="C31" s="211"/>
      <c r="D31" s="347" t="s">
        <v>561</v>
      </c>
      <c r="E31" s="348" t="s">
        <v>562</v>
      </c>
      <c r="F31" s="348" t="s">
        <v>563</v>
      </c>
      <c r="G31" s="349" t="s">
        <v>564</v>
      </c>
      <c r="H31" s="213" t="s">
        <v>552</v>
      </c>
      <c r="I31" s="174"/>
    </row>
    <row r="32" spans="2:9" x14ac:dyDescent="0.25">
      <c r="B32" s="251"/>
      <c r="C32" s="196"/>
      <c r="D32" s="347">
        <v>1.3</v>
      </c>
      <c r="E32" s="309">
        <v>0</v>
      </c>
      <c r="F32" s="347">
        <f>+D32*E32</f>
        <v>0</v>
      </c>
      <c r="G32" s="216">
        <v>1108</v>
      </c>
      <c r="H32" s="178">
        <f>+G32*F32</f>
        <v>0</v>
      </c>
      <c r="I32" s="179"/>
    </row>
    <row r="33" spans="2:9" x14ac:dyDescent="0.25">
      <c r="B33" s="199"/>
      <c r="C33" s="201"/>
      <c r="D33" s="350"/>
      <c r="E33" s="351"/>
      <c r="F33" s="351"/>
      <c r="G33" s="352"/>
      <c r="H33" s="185"/>
      <c r="I33" s="179"/>
    </row>
    <row r="34" spans="2:9" x14ac:dyDescent="0.25">
      <c r="B34" s="199"/>
      <c r="C34" s="201"/>
      <c r="D34" s="350"/>
      <c r="E34" s="351"/>
      <c r="F34" s="351"/>
      <c r="G34" s="352"/>
      <c r="H34" s="185"/>
      <c r="I34" s="179"/>
    </row>
    <row r="35" spans="2:9" ht="15.75" thickBot="1" x14ac:dyDescent="0.3">
      <c r="B35" s="205"/>
      <c r="C35" s="207"/>
      <c r="D35" s="219"/>
      <c r="E35" s="188"/>
      <c r="F35" s="189"/>
      <c r="G35" s="190"/>
      <c r="H35" s="187"/>
      <c r="I35" s="179"/>
    </row>
    <row r="36" spans="2:9" ht="15.75" thickBot="1" x14ac:dyDescent="0.3">
      <c r="B36" s="169"/>
      <c r="C36" s="169"/>
      <c r="D36" s="169"/>
      <c r="E36" s="169"/>
      <c r="F36" s="169"/>
      <c r="G36" s="169"/>
      <c r="H36" s="192" t="s">
        <v>554</v>
      </c>
      <c r="I36" s="193">
        <f>ROUND(SUM(H32:H35),0)</f>
        <v>0</v>
      </c>
    </row>
    <row r="37" spans="2:9" ht="15.75" thickBot="1" x14ac:dyDescent="0.3">
      <c r="B37" s="208" t="s">
        <v>566</v>
      </c>
      <c r="C37" s="208"/>
      <c r="D37" s="169"/>
      <c r="E37" s="169"/>
      <c r="F37" s="169"/>
      <c r="G37" s="169"/>
      <c r="H37" s="169"/>
      <c r="I37" s="169"/>
    </row>
    <row r="38" spans="2:9" x14ac:dyDescent="0.25">
      <c r="B38" s="210" t="s">
        <v>567</v>
      </c>
      <c r="C38" s="211"/>
      <c r="D38" s="250" t="s">
        <v>568</v>
      </c>
      <c r="E38" s="250" t="s">
        <v>569</v>
      </c>
      <c r="F38" s="172" t="s">
        <v>570</v>
      </c>
      <c r="G38" s="220" t="s">
        <v>551</v>
      </c>
      <c r="H38" s="249" t="s">
        <v>552</v>
      </c>
      <c r="I38" s="174"/>
    </row>
    <row r="39" spans="2:9" x14ac:dyDescent="0.25">
      <c r="B39" s="199"/>
      <c r="C39" s="221">
        <v>0</v>
      </c>
      <c r="D39" s="222"/>
      <c r="E39" s="315">
        <f>+MdeObra!C10</f>
        <v>1.85</v>
      </c>
      <c r="F39" s="176"/>
      <c r="G39" s="177"/>
      <c r="H39" s="224"/>
      <c r="I39" s="179"/>
    </row>
    <row r="40" spans="2:9" x14ac:dyDescent="0.25">
      <c r="B40" s="199"/>
      <c r="C40" s="221">
        <v>0</v>
      </c>
      <c r="D40" s="222"/>
      <c r="E40" s="315">
        <f>+MdeObra!C10</f>
        <v>1.85</v>
      </c>
      <c r="F40" s="176"/>
      <c r="G40" s="177"/>
      <c r="H40" s="224"/>
      <c r="I40" s="179"/>
    </row>
    <row r="41" spans="2:9" x14ac:dyDescent="0.25">
      <c r="B41" s="199"/>
      <c r="C41" s="201"/>
      <c r="D41" s="225"/>
      <c r="E41" s="315"/>
      <c r="F41" s="177"/>
      <c r="G41" s="177"/>
      <c r="H41" s="178"/>
      <c r="I41" s="179"/>
    </row>
    <row r="42" spans="2:9" x14ac:dyDescent="0.25">
      <c r="B42" s="199"/>
      <c r="C42" s="201"/>
      <c r="D42" s="225"/>
      <c r="E42" s="315"/>
      <c r="F42" s="177"/>
      <c r="G42" s="177"/>
      <c r="H42" s="178"/>
      <c r="I42" s="179"/>
    </row>
    <row r="43" spans="2:9" x14ac:dyDescent="0.25">
      <c r="B43" s="199"/>
      <c r="C43" s="201"/>
      <c r="D43" s="353"/>
      <c r="E43" s="175"/>
      <c r="F43" s="176"/>
      <c r="G43" s="177"/>
      <c r="H43" s="178"/>
      <c r="I43" s="179"/>
    </row>
    <row r="44" spans="2:9" ht="15.75" thickBot="1" x14ac:dyDescent="0.3">
      <c r="B44" s="205"/>
      <c r="C44" s="207"/>
      <c r="D44" s="226"/>
      <c r="E44" s="227"/>
      <c r="F44" s="227"/>
      <c r="G44" s="227"/>
      <c r="H44" s="209"/>
      <c r="I44" s="191"/>
    </row>
    <row r="45" spans="2:9" ht="15.75" thickBot="1" x14ac:dyDescent="0.3">
      <c r="B45" s="169"/>
      <c r="C45" s="169"/>
      <c r="D45" s="169"/>
      <c r="E45" s="169"/>
      <c r="F45" s="169"/>
      <c r="G45" s="169"/>
      <c r="H45" s="192" t="s">
        <v>554</v>
      </c>
      <c r="I45" s="193">
        <f>ROUND(SUM(H39:H44),0)</f>
        <v>0</v>
      </c>
    </row>
    <row r="46" spans="2:9" ht="15.75" thickBot="1" x14ac:dyDescent="0.3">
      <c r="B46" s="169"/>
      <c r="C46" s="169"/>
      <c r="D46" s="169"/>
      <c r="E46" s="169"/>
      <c r="F46" s="169"/>
      <c r="G46" s="169"/>
      <c r="H46" s="228"/>
      <c r="I46" s="162"/>
    </row>
    <row r="47" spans="2:9" ht="15.75" thickBot="1" x14ac:dyDescent="0.3">
      <c r="B47" s="169"/>
      <c r="C47" s="169"/>
      <c r="D47" s="169"/>
      <c r="E47" s="169"/>
      <c r="F47" s="229" t="s">
        <v>571</v>
      </c>
      <c r="G47" s="230"/>
      <c r="H47" s="230"/>
      <c r="I47" s="193">
        <f>I19+I29+I36+I45</f>
        <v>1086</v>
      </c>
    </row>
    <row r="48" spans="2:9" ht="15.75" thickBot="1" x14ac:dyDescent="0.3">
      <c r="B48" s="170" t="s">
        <v>572</v>
      </c>
      <c r="C48" s="170"/>
      <c r="D48" s="169"/>
      <c r="E48" s="169"/>
      <c r="F48" s="169"/>
      <c r="G48" s="169"/>
      <c r="H48" s="169"/>
      <c r="I48" s="169"/>
    </row>
    <row r="49" spans="2:9" x14ac:dyDescent="0.25">
      <c r="B49" s="231" t="s">
        <v>548</v>
      </c>
      <c r="C49" s="232"/>
      <c r="D49" s="232"/>
      <c r="E49" s="232"/>
      <c r="F49" s="233"/>
      <c r="G49" s="234" t="s">
        <v>573</v>
      </c>
      <c r="H49" s="235" t="s">
        <v>574</v>
      </c>
      <c r="I49" s="174"/>
    </row>
    <row r="50" spans="2:9" x14ac:dyDescent="0.25">
      <c r="B50" s="199" t="s">
        <v>519</v>
      </c>
      <c r="C50" s="200"/>
      <c r="D50" s="200"/>
      <c r="E50" s="200"/>
      <c r="F50" s="201"/>
      <c r="G50" s="560">
        <f>+MdeObra!C7</f>
        <v>0.2</v>
      </c>
      <c r="H50" s="237">
        <f>+G50*I47</f>
        <v>217.20000000000002</v>
      </c>
      <c r="I50" s="238"/>
    </row>
    <row r="51" spans="2:9" x14ac:dyDescent="0.25">
      <c r="B51" s="199" t="s">
        <v>575</v>
      </c>
      <c r="C51" s="200"/>
      <c r="D51" s="200"/>
      <c r="E51" s="200"/>
      <c r="F51" s="201"/>
      <c r="G51" s="328">
        <f>+MdeObra!C8</f>
        <v>0.05</v>
      </c>
      <c r="H51" s="237">
        <f>+G51*I47</f>
        <v>54.300000000000004</v>
      </c>
      <c r="I51" s="238"/>
    </row>
    <row r="52" spans="2:9" ht="15.75" thickBot="1" x14ac:dyDescent="0.3">
      <c r="B52" s="205" t="s">
        <v>522</v>
      </c>
      <c r="C52" s="206"/>
      <c r="D52" s="206"/>
      <c r="E52" s="206"/>
      <c r="F52" s="207"/>
      <c r="G52" s="331">
        <f>+MdeObra!C9</f>
        <v>0.05</v>
      </c>
      <c r="H52" s="240">
        <f>+G52*I47</f>
        <v>54.300000000000004</v>
      </c>
      <c r="I52" s="191"/>
    </row>
    <row r="53" spans="2:9" ht="15.75" thickBot="1" x14ac:dyDescent="0.3">
      <c r="B53" s="169"/>
      <c r="C53" s="169"/>
      <c r="D53" s="169"/>
      <c r="E53" s="169"/>
      <c r="F53" s="169"/>
      <c r="G53" s="169"/>
      <c r="H53" s="192" t="s">
        <v>554</v>
      </c>
      <c r="I53" s="241">
        <f>ROUND(SUM(H50:H52),0)</f>
        <v>326</v>
      </c>
    </row>
    <row r="54" spans="2:9" ht="15.75" thickBot="1" x14ac:dyDescent="0.3">
      <c r="B54" s="169"/>
      <c r="C54" s="169"/>
      <c r="D54" s="169"/>
      <c r="E54" s="169"/>
      <c r="F54" s="169"/>
      <c r="G54" s="169"/>
      <c r="H54" s="169"/>
      <c r="I54" s="169"/>
    </row>
    <row r="55" spans="2:9" ht="16.5" thickTop="1" thickBot="1" x14ac:dyDescent="0.3">
      <c r="B55" s="139"/>
      <c r="C55" s="139"/>
      <c r="D55" s="169"/>
      <c r="E55" s="229" t="s">
        <v>576</v>
      </c>
      <c r="F55" s="230"/>
      <c r="G55" s="230"/>
      <c r="H55" s="230"/>
      <c r="I55" s="354">
        <f>ROUND((I47+I53),0)</f>
        <v>1412</v>
      </c>
    </row>
    <row r="56" spans="2:9" ht="15.75" thickTop="1" x14ac:dyDescent="0.25"/>
    <row r="59" spans="2:9" hidden="1" x14ac:dyDescent="0.25"/>
    <row r="60" spans="2:9" hidden="1" x14ac:dyDescent="0.25">
      <c r="F60" s="1542" t="str">
        <f>+'Presup '!F118</f>
        <v xml:space="preserve">ING. MIGUEL ANTONIO VILLACRES MARTINEZ. </v>
      </c>
      <c r="G60" s="1542"/>
      <c r="H60" s="1542"/>
      <c r="I60" s="1542"/>
    </row>
    <row r="61" spans="2:9" hidden="1" x14ac:dyDescent="0.25">
      <c r="F61" s="1543" t="str">
        <f>+'Presup '!F119</f>
        <v>M.P. 52202-090508 NRÑ</v>
      </c>
      <c r="G61" s="1543"/>
      <c r="H61" s="1543"/>
      <c r="I61" s="1543"/>
    </row>
  </sheetData>
  <mergeCells count="15">
    <mergeCell ref="F60:I60"/>
    <mergeCell ref="F61:I61"/>
    <mergeCell ref="B21:D21"/>
    <mergeCell ref="E2:I3"/>
    <mergeCell ref="E4:I4"/>
    <mergeCell ref="B10:D10"/>
    <mergeCell ref="B11:D11"/>
    <mergeCell ref="B12:D12"/>
    <mergeCell ref="B13:D13"/>
    <mergeCell ref="C7:G7"/>
    <mergeCell ref="B14:D14"/>
    <mergeCell ref="B15:D15"/>
    <mergeCell ref="B16:D16"/>
    <mergeCell ref="B17:D17"/>
    <mergeCell ref="B18:D18"/>
  </mergeCells>
  <hyperlinks>
    <hyperlink ref="C7:G7" location="Presup.Detallado!A1" display="Presup.Detallado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0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topLeftCell="A26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554" t="str">
        <f>+PLMT!B13</f>
        <v>Aislamiento en polisombra</v>
      </c>
      <c r="D7" s="162"/>
      <c r="E7" s="161"/>
      <c r="F7" s="161"/>
      <c r="G7" s="161"/>
      <c r="H7" s="164" t="s">
        <v>546</v>
      </c>
      <c r="I7" s="335" t="str">
        <f>+PLMT!C13</f>
        <v>Ml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250" t="s">
        <v>549</v>
      </c>
      <c r="F10" s="172" t="s">
        <v>550</v>
      </c>
      <c r="G10" s="250" t="s">
        <v>551</v>
      </c>
      <c r="H10" s="249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250" t="s">
        <v>556</v>
      </c>
      <c r="F17" s="250" t="s">
        <v>557</v>
      </c>
      <c r="G17" s="250" t="s">
        <v>558</v>
      </c>
      <c r="H17" s="249" t="s">
        <v>552</v>
      </c>
      <c r="I17" s="174"/>
    </row>
    <row r="18" spans="2:9" x14ac:dyDescent="0.25">
      <c r="B18" s="199" t="str">
        <f>+Materiales!A137</f>
        <v>POLISOMBRA VERDE DE 2,1 MTS DE ANCHO</v>
      </c>
      <c r="C18" s="200"/>
      <c r="D18" s="201"/>
      <c r="E18" s="175" t="str">
        <f>+Materiales!B137</f>
        <v>ML</v>
      </c>
      <c r="F18" s="176">
        <f>+Materiales!D137</f>
        <v>2200</v>
      </c>
      <c r="G18" s="177">
        <v>1</v>
      </c>
      <c r="H18" s="178">
        <f t="shared" ref="H18:H23" si="0">+G18*F18</f>
        <v>2200</v>
      </c>
      <c r="I18" s="179"/>
    </row>
    <row r="19" spans="2:9" x14ac:dyDescent="0.25">
      <c r="B19" s="199" t="str">
        <f>+Materiales!A93</f>
        <v>GRAPAS</v>
      </c>
      <c r="C19" s="200"/>
      <c r="D19" s="201"/>
      <c r="E19" s="175" t="str">
        <f>+Materiales!B93</f>
        <v>KG</v>
      </c>
      <c r="F19" s="216">
        <f>+Materiales!D93</f>
        <v>7140</v>
      </c>
      <c r="G19" s="177">
        <v>0.04</v>
      </c>
      <c r="H19" s="178">
        <f t="shared" si="0"/>
        <v>285.60000000000002</v>
      </c>
      <c r="I19" s="179"/>
    </row>
    <row r="20" spans="2:9" x14ac:dyDescent="0.25">
      <c r="B20" s="199" t="str">
        <f>+Materiales!A138</f>
        <v>POSTE DE MADERA PARA CERCAS</v>
      </c>
      <c r="C20" s="200"/>
      <c r="D20" s="201"/>
      <c r="E20" s="175" t="str">
        <f>+Materiales!B138</f>
        <v>U</v>
      </c>
      <c r="F20" s="216">
        <f>+Materiales!D138</f>
        <v>10515</v>
      </c>
      <c r="G20" s="177">
        <v>0.4</v>
      </c>
      <c r="H20" s="178">
        <f t="shared" si="0"/>
        <v>4206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ROUND(SUM(H17:H24),0)</f>
        <v>6692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251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250" t="s">
        <v>568</v>
      </c>
      <c r="E34" s="250" t="s">
        <v>569</v>
      </c>
      <c r="F34" s="172" t="s">
        <v>570</v>
      </c>
      <c r="G34" s="220" t="s">
        <v>551</v>
      </c>
      <c r="H34" s="249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7572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1514.4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378.6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378.6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2272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9844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0">
    <mergeCell ref="F56:I56"/>
    <mergeCell ref="F57:I57"/>
    <mergeCell ref="B17:D17"/>
    <mergeCell ref="E2:I3"/>
    <mergeCell ref="E4:I4"/>
    <mergeCell ref="B10:D10"/>
    <mergeCell ref="B11:D11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topLeftCell="A13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ht="29.25" customHeight="1" x14ac:dyDescent="0.25">
      <c r="B7" s="160" t="s">
        <v>545</v>
      </c>
      <c r="C7" s="1558" t="str">
        <f>+PLMT!B14</f>
        <v>Señales preventivas (SP) manual de señalización de transito cap. 4 y 5 móvil</v>
      </c>
      <c r="D7" s="1558"/>
      <c r="E7" s="1558"/>
      <c r="F7" s="1558"/>
      <c r="G7" s="1558"/>
      <c r="H7" s="164" t="s">
        <v>546</v>
      </c>
      <c r="I7" s="335" t="str">
        <f>+PLMT!C14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58" t="s">
        <v>549</v>
      </c>
      <c r="F10" s="172" t="s">
        <v>550</v>
      </c>
      <c r="G10" s="658" t="s">
        <v>551</v>
      </c>
      <c r="H10" s="657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58" t="s">
        <v>556</v>
      </c>
      <c r="F17" s="658" t="s">
        <v>557</v>
      </c>
      <c r="G17" s="658" t="s">
        <v>558</v>
      </c>
      <c r="H17" s="657" t="s">
        <v>552</v>
      </c>
      <c r="I17" s="174"/>
    </row>
    <row r="18" spans="2:9" x14ac:dyDescent="0.25">
      <c r="B18" s="199" t="s">
        <v>490</v>
      </c>
      <c r="C18" s="200"/>
      <c r="D18" s="201"/>
      <c r="E18" s="175" t="s">
        <v>59</v>
      </c>
      <c r="F18" s="177">
        <f>+Materiales!D157/1.829735</f>
        <v>155760.26036557206</v>
      </c>
      <c r="G18" s="177">
        <v>1</v>
      </c>
      <c r="H18" s="178">
        <f t="shared" ref="H18:H23" si="0">+G18*F18</f>
        <v>155760.26036557206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155760.26036557206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59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58" t="s">
        <v>568</v>
      </c>
      <c r="E34" s="658" t="s">
        <v>569</v>
      </c>
      <c r="F34" s="172" t="s">
        <v>570</v>
      </c>
      <c r="G34" s="220" t="s">
        <v>551</v>
      </c>
      <c r="H34" s="657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156640.26036557206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31328.052073114413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7832.0130182786033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7832.0130182786033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46992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203632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F57:I57"/>
    <mergeCell ref="C7:G7"/>
    <mergeCell ref="B12:D12"/>
    <mergeCell ref="B13:D13"/>
    <mergeCell ref="B14:D14"/>
    <mergeCell ref="B17:D17"/>
    <mergeCell ref="E2:I3"/>
    <mergeCell ref="E4:I4"/>
    <mergeCell ref="B10:D10"/>
    <mergeCell ref="B11:D11"/>
    <mergeCell ref="F56:I56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topLeftCell="A10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ht="29.25" customHeight="1" x14ac:dyDescent="0.25">
      <c r="B7" s="160" t="s">
        <v>545</v>
      </c>
      <c r="C7" s="1558" t="str">
        <f>+PLMT!B15</f>
        <v>Señales reglamentarias (SR) manual de señalización de transito cap. 4 y 5 móvil</v>
      </c>
      <c r="D7" s="1558"/>
      <c r="E7" s="1558"/>
      <c r="F7" s="1558"/>
      <c r="G7" s="1558"/>
      <c r="H7" s="164" t="s">
        <v>546</v>
      </c>
      <c r="I7" s="335" t="str">
        <f>+PLMT!C15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58" t="s">
        <v>549</v>
      </c>
      <c r="F10" s="172" t="s">
        <v>550</v>
      </c>
      <c r="G10" s="658" t="s">
        <v>551</v>
      </c>
      <c r="H10" s="657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58" t="s">
        <v>556</v>
      </c>
      <c r="F17" s="658" t="s">
        <v>557</v>
      </c>
      <c r="G17" s="658" t="s">
        <v>558</v>
      </c>
      <c r="H17" s="657" t="s">
        <v>552</v>
      </c>
      <c r="I17" s="174"/>
    </row>
    <row r="18" spans="2:9" x14ac:dyDescent="0.25">
      <c r="B18" s="199" t="s">
        <v>490</v>
      </c>
      <c r="C18" s="200"/>
      <c r="D18" s="201"/>
      <c r="E18" s="175" t="s">
        <v>59</v>
      </c>
      <c r="F18" s="177">
        <f>+Materiales!D157/1.829735</f>
        <v>155760.26036557206</v>
      </c>
      <c r="G18" s="177">
        <v>1</v>
      </c>
      <c r="H18" s="178">
        <f t="shared" ref="H18:H23" si="0">+G18*F18</f>
        <v>155760.26036557206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155760.26036557206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59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58" t="s">
        <v>568</v>
      </c>
      <c r="E34" s="658" t="s">
        <v>569</v>
      </c>
      <c r="F34" s="172" t="s">
        <v>570</v>
      </c>
      <c r="G34" s="220" t="s">
        <v>551</v>
      </c>
      <c r="H34" s="657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156640.26036557206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31328.052073114413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7832.0130182786033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7832.0130182786033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46992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203632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B17:D17"/>
    <mergeCell ref="F56:I56"/>
    <mergeCell ref="F57:I57"/>
    <mergeCell ref="B12:D12"/>
    <mergeCell ref="B13:D13"/>
    <mergeCell ref="B14:D14"/>
    <mergeCell ref="E2:I3"/>
    <mergeCell ref="E4:I4"/>
    <mergeCell ref="C7:G7"/>
    <mergeCell ref="B10:D10"/>
    <mergeCell ref="B11:D11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ht="29.25" customHeight="1" x14ac:dyDescent="0.25">
      <c r="B7" s="160" t="s">
        <v>545</v>
      </c>
      <c r="C7" s="1558" t="str">
        <f>+PLMT!B16</f>
        <v>Señales Informativas (SI) manual de señalización de transito cap. 4 y 5 móvil</v>
      </c>
      <c r="D7" s="1558"/>
      <c r="E7" s="1558"/>
      <c r="F7" s="1558"/>
      <c r="G7" s="1558"/>
      <c r="H7" s="164" t="s">
        <v>546</v>
      </c>
      <c r="I7" s="335" t="str">
        <f>+PLMT!C16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58" t="s">
        <v>549</v>
      </c>
      <c r="F10" s="172" t="s">
        <v>550</v>
      </c>
      <c r="G10" s="658" t="s">
        <v>551</v>
      </c>
      <c r="H10" s="657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58" t="s">
        <v>556</v>
      </c>
      <c r="F17" s="658" t="s">
        <v>557</v>
      </c>
      <c r="G17" s="658" t="s">
        <v>558</v>
      </c>
      <c r="H17" s="657" t="s">
        <v>552</v>
      </c>
      <c r="I17" s="174"/>
    </row>
    <row r="18" spans="2:9" x14ac:dyDescent="0.25">
      <c r="B18" s="199" t="s">
        <v>490</v>
      </c>
      <c r="C18" s="200"/>
      <c r="D18" s="201"/>
      <c r="E18" s="175" t="s">
        <v>59</v>
      </c>
      <c r="F18" s="177">
        <f>+Materiales!D157/1.829735</f>
        <v>155760.26036557206</v>
      </c>
      <c r="G18" s="177">
        <v>1</v>
      </c>
      <c r="H18" s="178">
        <f t="shared" ref="H18:H23" si="0">+G18*F18</f>
        <v>155760.26036557206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155760.26036557206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59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58" t="s">
        <v>568</v>
      </c>
      <c r="E34" s="658" t="s">
        <v>569</v>
      </c>
      <c r="F34" s="172" t="s">
        <v>570</v>
      </c>
      <c r="G34" s="220" t="s">
        <v>551</v>
      </c>
      <c r="H34" s="657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156640.26036557206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31328.052073114413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7832.0130182786033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7832.0130182786033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46992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203632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B17:D17"/>
    <mergeCell ref="F56:I56"/>
    <mergeCell ref="F57:I57"/>
    <mergeCell ref="B12:D12"/>
    <mergeCell ref="B13:D13"/>
    <mergeCell ref="B14:D14"/>
    <mergeCell ref="E2:I3"/>
    <mergeCell ref="E4:I4"/>
    <mergeCell ref="C7:G7"/>
    <mergeCell ref="B10:D10"/>
    <mergeCell ref="B11:D11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1558" t="str">
        <f>+PLMT!B17</f>
        <v>Barricadas metálica, manual de señalización de transito cap. 4</v>
      </c>
      <c r="D7" s="1558"/>
      <c r="E7" s="1558"/>
      <c r="F7" s="1558"/>
      <c r="G7" s="1558"/>
      <c r="H7" s="164" t="s">
        <v>546</v>
      </c>
      <c r="I7" s="335" t="str">
        <f>+PLMT!C17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58" t="s">
        <v>549</v>
      </c>
      <c r="F10" s="172" t="s">
        <v>550</v>
      </c>
      <c r="G10" s="658" t="s">
        <v>551</v>
      </c>
      <c r="H10" s="657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58" t="s">
        <v>556</v>
      </c>
      <c r="F17" s="658" t="s">
        <v>557</v>
      </c>
      <c r="G17" s="658" t="s">
        <v>558</v>
      </c>
      <c r="H17" s="657" t="s">
        <v>552</v>
      </c>
      <c r="I17" s="174"/>
    </row>
    <row r="18" spans="2:9" x14ac:dyDescent="0.25">
      <c r="B18" s="199" t="s">
        <v>854</v>
      </c>
      <c r="C18" s="200"/>
      <c r="D18" s="201"/>
      <c r="E18" s="175" t="s">
        <v>59</v>
      </c>
      <c r="F18" s="177">
        <f>+Materiales!D157/1.523421</f>
        <v>187078.94928585074</v>
      </c>
      <c r="G18" s="177">
        <v>1</v>
      </c>
      <c r="H18" s="178">
        <f t="shared" ref="H18:H23" si="0">+G18*F18</f>
        <v>187078.94928585074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187078.94928585074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59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58" t="s">
        <v>568</v>
      </c>
      <c r="E34" s="658" t="s">
        <v>569</v>
      </c>
      <c r="F34" s="172" t="s">
        <v>570</v>
      </c>
      <c r="G34" s="220" t="s">
        <v>551</v>
      </c>
      <c r="H34" s="657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187958.94928585074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37591.789857170152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9397.9474642925379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9397.9474642925379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56388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244347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B17:D17"/>
    <mergeCell ref="F56:I56"/>
    <mergeCell ref="F57:I57"/>
    <mergeCell ref="B12:D12"/>
    <mergeCell ref="B13:D13"/>
    <mergeCell ref="B14:D14"/>
    <mergeCell ref="E2:I3"/>
    <mergeCell ref="E4:I4"/>
    <mergeCell ref="C7:G7"/>
    <mergeCell ref="B10:D10"/>
    <mergeCell ref="B11:D11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1558" t="str">
        <f>+PLMT!B18</f>
        <v xml:space="preserve">Valla informativa </v>
      </c>
      <c r="D7" s="1558"/>
      <c r="E7" s="1558"/>
      <c r="F7" s="1558"/>
      <c r="G7" s="1558"/>
      <c r="H7" s="164" t="s">
        <v>546</v>
      </c>
      <c r="I7" s="335" t="str">
        <f>+PLMT!C18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61" t="s">
        <v>549</v>
      </c>
      <c r="F10" s="172" t="s">
        <v>550</v>
      </c>
      <c r="G10" s="661" t="s">
        <v>551</v>
      </c>
      <c r="H10" s="660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61" t="s">
        <v>556</v>
      </c>
      <c r="F17" s="661" t="s">
        <v>557</v>
      </c>
      <c r="G17" s="661" t="s">
        <v>558</v>
      </c>
      <c r="H17" s="660" t="s">
        <v>552</v>
      </c>
      <c r="I17" s="174"/>
    </row>
    <row r="18" spans="2:9" x14ac:dyDescent="0.25">
      <c r="B18" s="199" t="s">
        <v>855</v>
      </c>
      <c r="C18" s="200"/>
      <c r="D18" s="201"/>
      <c r="E18" s="175" t="s">
        <v>15</v>
      </c>
      <c r="F18" s="177">
        <v>30000</v>
      </c>
      <c r="G18" s="177">
        <v>4</v>
      </c>
      <c r="H18" s="178">
        <f t="shared" ref="H18:H23" si="0">+G18*F18</f>
        <v>120000</v>
      </c>
      <c r="I18" s="179"/>
    </row>
    <row r="19" spans="2:9" x14ac:dyDescent="0.25">
      <c r="B19" s="199" t="s">
        <v>856</v>
      </c>
      <c r="C19" s="200"/>
      <c r="D19" s="201"/>
      <c r="E19" s="175" t="s">
        <v>15</v>
      </c>
      <c r="F19" s="177">
        <v>30000</v>
      </c>
      <c r="G19" s="177">
        <v>4</v>
      </c>
      <c r="H19" s="178">
        <f t="shared" si="0"/>
        <v>120000</v>
      </c>
      <c r="I19" s="179"/>
    </row>
    <row r="20" spans="2:9" x14ac:dyDescent="0.25">
      <c r="B20" s="199" t="s">
        <v>857</v>
      </c>
      <c r="C20" s="200"/>
      <c r="D20" s="201"/>
      <c r="E20" s="175" t="s">
        <v>15</v>
      </c>
      <c r="F20" s="177">
        <v>20000</v>
      </c>
      <c r="G20" s="177">
        <v>8</v>
      </c>
      <c r="H20" s="178">
        <f t="shared" si="0"/>
        <v>160000</v>
      </c>
      <c r="I20" s="179"/>
    </row>
    <row r="21" spans="2:9" x14ac:dyDescent="0.25">
      <c r="B21" s="199" t="s">
        <v>858</v>
      </c>
      <c r="C21" s="200"/>
      <c r="D21" s="201"/>
      <c r="E21" s="175" t="s">
        <v>23</v>
      </c>
      <c r="F21" s="177">
        <v>50000</v>
      </c>
      <c r="G21" s="177">
        <v>4</v>
      </c>
      <c r="H21" s="178">
        <f t="shared" si="0"/>
        <v>200000</v>
      </c>
      <c r="I21" s="179"/>
    </row>
    <row r="22" spans="2:9" x14ac:dyDescent="0.25">
      <c r="B22" s="199" t="s">
        <v>859</v>
      </c>
      <c r="C22" s="200"/>
      <c r="D22" s="201"/>
      <c r="E22" s="175" t="s">
        <v>15</v>
      </c>
      <c r="F22" s="177">
        <v>40923.333333333336</v>
      </c>
      <c r="G22" s="177">
        <v>6</v>
      </c>
      <c r="H22" s="178">
        <f t="shared" si="0"/>
        <v>245540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845540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62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61" t="s">
        <v>568</v>
      </c>
      <c r="E34" s="661" t="s">
        <v>569</v>
      </c>
      <c r="F34" s="172" t="s">
        <v>570</v>
      </c>
      <c r="G34" s="220" t="s">
        <v>551</v>
      </c>
      <c r="H34" s="660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846420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169284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42321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42321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253926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1100346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E2:I3"/>
    <mergeCell ref="E4:I4"/>
    <mergeCell ref="C7:G7"/>
    <mergeCell ref="B10:D10"/>
    <mergeCell ref="B11:D11"/>
    <mergeCell ref="B17:D17"/>
    <mergeCell ref="F56:I56"/>
    <mergeCell ref="F57:I57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1558" t="str">
        <f>+PLMT!B19</f>
        <v>Cono anaranjado en material plástico</v>
      </c>
      <c r="D7" s="1558"/>
      <c r="E7" s="1558"/>
      <c r="F7" s="1558"/>
      <c r="G7" s="1558"/>
      <c r="H7" s="164" t="s">
        <v>546</v>
      </c>
      <c r="I7" s="335" t="str">
        <f>+PLMT!C19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61" t="s">
        <v>549</v>
      </c>
      <c r="F10" s="172" t="s">
        <v>550</v>
      </c>
      <c r="G10" s="661" t="s">
        <v>551</v>
      </c>
      <c r="H10" s="660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40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40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61" t="s">
        <v>556</v>
      </c>
      <c r="F17" s="661" t="s">
        <v>557</v>
      </c>
      <c r="G17" s="661" t="s">
        <v>558</v>
      </c>
      <c r="H17" s="660" t="s">
        <v>552</v>
      </c>
      <c r="I17" s="174"/>
    </row>
    <row r="18" spans="2:9" x14ac:dyDescent="0.25">
      <c r="B18" s="199" t="s">
        <v>860</v>
      </c>
      <c r="C18" s="200"/>
      <c r="D18" s="201"/>
      <c r="E18" s="175" t="s">
        <v>556</v>
      </c>
      <c r="F18" s="177">
        <v>42000.769230769234</v>
      </c>
      <c r="G18" s="177">
        <v>1</v>
      </c>
      <c r="H18" s="178">
        <f t="shared" ref="H18:H23" si="0">+G18*F18</f>
        <v>42000.769230769234</v>
      </c>
      <c r="I18" s="179"/>
    </row>
    <row r="19" spans="2:9" x14ac:dyDescent="0.25">
      <c r="B19" s="199"/>
      <c r="C19" s="200"/>
      <c r="D19" s="201"/>
      <c r="E19" s="175"/>
      <c r="F19" s="177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177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7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7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42000.769230769234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62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61" t="s">
        <v>568</v>
      </c>
      <c r="E34" s="661" t="s">
        <v>569</v>
      </c>
      <c r="F34" s="172" t="s">
        <v>570</v>
      </c>
      <c r="G34" s="220" t="s">
        <v>551</v>
      </c>
      <c r="H34" s="660" t="s">
        <v>552</v>
      </c>
      <c r="I34" s="174"/>
    </row>
    <row r="35" spans="2:9" x14ac:dyDescent="0.25">
      <c r="B35" s="199" t="str">
        <f>+MdeObra!A21</f>
        <v>OBREROS</v>
      </c>
      <c r="C35" s="221">
        <v>1</v>
      </c>
      <c r="D35" s="222">
        <f>+C35*MdeObra!C21</f>
        <v>32419</v>
      </c>
      <c r="E35" s="315">
        <f>+MdeObra!C10</f>
        <v>1.85</v>
      </c>
      <c r="F35" s="176">
        <f>+E35*D35</f>
        <v>59975.15</v>
      </c>
      <c r="G35" s="177">
        <v>150</v>
      </c>
      <c r="H35" s="224">
        <f>+F35/G35</f>
        <v>399.83433333333335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400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42440.769230769234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8488.1538461538476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2122.0384615384619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2122.0384615384619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12732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55173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E2:I3"/>
    <mergeCell ref="E4:I4"/>
    <mergeCell ref="C7:G7"/>
    <mergeCell ref="B10:D10"/>
    <mergeCell ref="B11:D11"/>
    <mergeCell ref="B17:D17"/>
    <mergeCell ref="F56:I56"/>
    <mergeCell ref="F57:I57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ht="28.5" customHeight="1" x14ac:dyDescent="0.25">
      <c r="B7" s="160" t="s">
        <v>545</v>
      </c>
      <c r="C7" s="1558" t="str">
        <f>+PLMT!B20</f>
        <v>Barreras plásticas flexibles (Maletines) Altura 60cm x Largo 70cm x Ancho 40cm</v>
      </c>
      <c r="D7" s="1558"/>
      <c r="E7" s="1558"/>
      <c r="F7" s="1558"/>
      <c r="G7" s="1558"/>
      <c r="H7" s="164" t="s">
        <v>546</v>
      </c>
      <c r="I7" s="335" t="str">
        <f>+PLMT!C20</f>
        <v>Und</v>
      </c>
    </row>
    <row r="8" spans="2:9" ht="3.75" customHeight="1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61" t="s">
        <v>549</v>
      </c>
      <c r="F10" s="172" t="s">
        <v>550</v>
      </c>
      <c r="G10" s="661" t="s">
        <v>551</v>
      </c>
      <c r="H10" s="660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80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80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61" t="s">
        <v>556</v>
      </c>
      <c r="F17" s="661" t="s">
        <v>557</v>
      </c>
      <c r="G17" s="661" t="s">
        <v>558</v>
      </c>
      <c r="H17" s="660" t="s">
        <v>552</v>
      </c>
      <c r="I17" s="174"/>
    </row>
    <row r="18" spans="2:9" x14ac:dyDescent="0.25">
      <c r="B18" s="199" t="s">
        <v>861</v>
      </c>
      <c r="C18" s="200"/>
      <c r="D18" s="201"/>
      <c r="E18" s="175" t="s">
        <v>59</v>
      </c>
      <c r="F18" s="177">
        <f>+Materiales!D157/1.523421</f>
        <v>187078.94928585074</v>
      </c>
      <c r="G18" s="177">
        <v>1</v>
      </c>
      <c r="H18" s="178">
        <f t="shared" ref="H18:H23" si="0">+G18*F18</f>
        <v>187078.94928585074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187078.94928585074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62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61" t="s">
        <v>568</v>
      </c>
      <c r="E34" s="661" t="s">
        <v>569</v>
      </c>
      <c r="F34" s="172" t="s">
        <v>570</v>
      </c>
      <c r="G34" s="220" t="s">
        <v>551</v>
      </c>
      <c r="H34" s="660" t="s">
        <v>552</v>
      </c>
      <c r="I34" s="174"/>
    </row>
    <row r="35" spans="2:9" x14ac:dyDescent="0.25">
      <c r="B35" s="199" t="str">
        <f>+MdeObra!A21</f>
        <v>OBREROS</v>
      </c>
      <c r="C35" s="221">
        <v>2</v>
      </c>
      <c r="D35" s="222">
        <f>+C35*MdeObra!C21</f>
        <v>64838</v>
      </c>
      <c r="E35" s="315">
        <f>+MdeObra!C10</f>
        <v>1.85</v>
      </c>
      <c r="F35" s="176">
        <f>+E35*D35</f>
        <v>119950.3</v>
      </c>
      <c r="G35" s="177">
        <v>150</v>
      </c>
      <c r="H35" s="224">
        <f>+F35/G35</f>
        <v>799.6686666666667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800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187958.94928585074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37591.789857170152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9397.9474642925379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9397.9474642925379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56388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244347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E2:I3"/>
    <mergeCell ref="E4:I4"/>
    <mergeCell ref="C7:G7"/>
    <mergeCell ref="B10:D10"/>
    <mergeCell ref="B11:D11"/>
    <mergeCell ref="B17:D17"/>
    <mergeCell ref="F56:I56"/>
    <mergeCell ref="F57:I57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1558" t="str">
        <f>+PLMT!B21</f>
        <v>Paletas pare - siga.</v>
      </c>
      <c r="D7" s="1558"/>
      <c r="E7" s="1558"/>
      <c r="F7" s="1558"/>
      <c r="G7" s="1558"/>
      <c r="H7" s="164" t="s">
        <v>546</v>
      </c>
      <c r="I7" s="335" t="str">
        <f>+PLMT!C21</f>
        <v>Und</v>
      </c>
    </row>
    <row r="8" spans="2:9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61" t="s">
        <v>549</v>
      </c>
      <c r="F10" s="172" t="s">
        <v>550</v>
      </c>
      <c r="G10" s="661" t="s">
        <v>551</v>
      </c>
      <c r="H10" s="660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40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40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61" t="s">
        <v>556</v>
      </c>
      <c r="F17" s="661" t="s">
        <v>557</v>
      </c>
      <c r="G17" s="661" t="s">
        <v>558</v>
      </c>
      <c r="H17" s="660" t="s">
        <v>552</v>
      </c>
      <c r="I17" s="174"/>
    </row>
    <row r="18" spans="2:9" x14ac:dyDescent="0.25">
      <c r="B18" s="199" t="s">
        <v>862</v>
      </c>
      <c r="C18" s="200"/>
      <c r="D18" s="201"/>
      <c r="E18" s="175" t="s">
        <v>556</v>
      </c>
      <c r="F18" s="177">
        <v>38256.153846153844</v>
      </c>
      <c r="G18" s="177">
        <v>1</v>
      </c>
      <c r="H18" s="178">
        <f t="shared" ref="H18:H23" si="0">+G18*F18</f>
        <v>38256.153846153844</v>
      </c>
      <c r="I18" s="179"/>
    </row>
    <row r="19" spans="2:9" x14ac:dyDescent="0.25">
      <c r="B19" s="199"/>
      <c r="C19" s="200"/>
      <c r="D19" s="201"/>
      <c r="E19" s="175"/>
      <c r="F19" s="177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177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7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7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38256.153846153844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62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61" t="s">
        <v>568</v>
      </c>
      <c r="E34" s="661" t="s">
        <v>569</v>
      </c>
      <c r="F34" s="172" t="s">
        <v>570</v>
      </c>
      <c r="G34" s="220" t="s">
        <v>551</v>
      </c>
      <c r="H34" s="660" t="s">
        <v>552</v>
      </c>
      <c r="I34" s="174"/>
    </row>
    <row r="35" spans="2:9" x14ac:dyDescent="0.25">
      <c r="B35" s="199" t="str">
        <f>+MdeObra!A21</f>
        <v>OBREROS</v>
      </c>
      <c r="C35" s="221">
        <v>1</v>
      </c>
      <c r="D35" s="222">
        <f>+C35*MdeObra!C21</f>
        <v>32419</v>
      </c>
      <c r="E35" s="315">
        <f>+MdeObra!C10</f>
        <v>1.85</v>
      </c>
      <c r="F35" s="176">
        <f>+E35*D35</f>
        <v>59975.15</v>
      </c>
      <c r="G35" s="177">
        <v>150</v>
      </c>
      <c r="H35" s="224">
        <f>+F35/G35</f>
        <v>399.83433333333335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400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38696.153846153844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7739.2307692307695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1934.8076923076924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1934.8076923076924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11609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50305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E2:I3"/>
    <mergeCell ref="E4:I4"/>
    <mergeCell ref="C7:G7"/>
    <mergeCell ref="B10:D10"/>
    <mergeCell ref="B11:D11"/>
    <mergeCell ref="B17:D17"/>
    <mergeCell ref="F56:I56"/>
    <mergeCell ref="F57:I57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topLeftCell="A46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1558" t="str">
        <f>+PLMT!B22</f>
        <v xml:space="preserve">Señalizador (colombina), h= 1,3m </v>
      </c>
      <c r="D7" s="1558"/>
      <c r="E7" s="1558"/>
      <c r="F7" s="1558"/>
      <c r="G7" s="1558"/>
      <c r="H7" s="164" t="s">
        <v>546</v>
      </c>
      <c r="I7" s="335" t="str">
        <f>+PLMT!C22</f>
        <v>Und</v>
      </c>
    </row>
    <row r="8" spans="2:9" ht="3.75" customHeight="1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61" t="s">
        <v>549</v>
      </c>
      <c r="F10" s="172" t="s">
        <v>550</v>
      </c>
      <c r="G10" s="661" t="s">
        <v>551</v>
      </c>
      <c r="H10" s="660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40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40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61" t="s">
        <v>556</v>
      </c>
      <c r="F17" s="661" t="s">
        <v>557</v>
      </c>
      <c r="G17" s="661" t="s">
        <v>558</v>
      </c>
      <c r="H17" s="660" t="s">
        <v>552</v>
      </c>
      <c r="I17" s="174"/>
    </row>
    <row r="18" spans="2:9" x14ac:dyDescent="0.25">
      <c r="B18" s="199" t="s">
        <v>863</v>
      </c>
      <c r="C18" s="200"/>
      <c r="D18" s="201"/>
      <c r="E18" s="175" t="s">
        <v>59</v>
      </c>
      <c r="F18" s="177">
        <v>33154.615384615383</v>
      </c>
      <c r="G18" s="177">
        <v>1</v>
      </c>
      <c r="H18" s="178">
        <f t="shared" ref="H18:H23" si="0">+G18*F18</f>
        <v>33154.615384615383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33154.615384615383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62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61" t="s">
        <v>568</v>
      </c>
      <c r="E34" s="661" t="s">
        <v>569</v>
      </c>
      <c r="F34" s="172" t="s">
        <v>570</v>
      </c>
      <c r="G34" s="220" t="s">
        <v>551</v>
      </c>
      <c r="H34" s="660" t="s">
        <v>552</v>
      </c>
      <c r="I34" s="174"/>
    </row>
    <row r="35" spans="2:9" x14ac:dyDescent="0.25">
      <c r="B35" s="199" t="str">
        <f>+MdeObra!A21</f>
        <v>OBREROS</v>
      </c>
      <c r="C35" s="221">
        <v>1</v>
      </c>
      <c r="D35" s="222">
        <f>+C35*MdeObra!C21</f>
        <v>32419</v>
      </c>
      <c r="E35" s="315">
        <f>+MdeObra!C10</f>
        <v>1.85</v>
      </c>
      <c r="F35" s="176">
        <f>+E35*D35</f>
        <v>59975.15</v>
      </c>
      <c r="G35" s="177">
        <v>150</v>
      </c>
      <c r="H35" s="224">
        <f>+F35/G35</f>
        <v>399.83433333333335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150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400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33594.615384615383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6718.9230769230771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1679.7307692307693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1679.7307692307693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10078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43673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E2:I3"/>
    <mergeCell ref="E4:I4"/>
    <mergeCell ref="C7:G7"/>
    <mergeCell ref="B10:D10"/>
    <mergeCell ref="B11:D11"/>
    <mergeCell ref="B17:D17"/>
    <mergeCell ref="F56:I56"/>
    <mergeCell ref="F57:I57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7"/>
  <sheetViews>
    <sheetView view="pageBreakPreview" zoomScaleNormal="100" zoomScaleSheetLayoutView="100" workbookViewId="0">
      <selection activeCell="EW5" sqref="EW5:FZ5"/>
    </sheetView>
  </sheetViews>
  <sheetFormatPr baseColWidth="10" defaultRowHeight="15" x14ac:dyDescent="0.25"/>
  <sheetData>
    <row r="1" spans="2:9" ht="15.75" thickBot="1" x14ac:dyDescent="0.3"/>
    <row r="2" spans="2:9" ht="24.75" customHeight="1" thickTop="1" x14ac:dyDescent="0.25">
      <c r="B2" s="149" t="s">
        <v>0</v>
      </c>
      <c r="C2" s="150"/>
      <c r="D2" s="151"/>
      <c r="E2" s="1517" t="str">
        <f>+'Presup '!B5</f>
        <v>MEJORAMIENTO VÍA LA LAGUNA, SALINAS, LOS OLIVOS</v>
      </c>
      <c r="F2" s="1518"/>
      <c r="G2" s="1518"/>
      <c r="H2" s="1518"/>
      <c r="I2" s="1519"/>
    </row>
    <row r="3" spans="2:9" x14ac:dyDescent="0.25">
      <c r="B3" s="152" t="s">
        <v>1</v>
      </c>
      <c r="C3" s="153"/>
      <c r="D3" s="154"/>
      <c r="E3" s="1520"/>
      <c r="F3" s="1521"/>
      <c r="G3" s="1521"/>
      <c r="H3" s="1521"/>
      <c r="I3" s="1522"/>
    </row>
    <row r="4" spans="2:9" ht="15.75" thickBot="1" x14ac:dyDescent="0.3">
      <c r="B4" s="155" t="str">
        <f>+'200.2'!B4</f>
        <v>ALCALDÍA MUNICIPAL DE SAN LORENZO</v>
      </c>
      <c r="C4" s="156"/>
      <c r="D4" s="157"/>
      <c r="E4" s="1523" t="s">
        <v>853</v>
      </c>
      <c r="F4" s="1524"/>
      <c r="G4" s="1524"/>
      <c r="H4" s="1524"/>
      <c r="I4" s="1525"/>
    </row>
    <row r="5" spans="2:9" ht="15.75" thickTop="1" x14ac:dyDescent="0.25">
      <c r="B5" s="158"/>
      <c r="C5" s="159"/>
      <c r="D5" s="159"/>
      <c r="E5" s="159"/>
      <c r="F5" s="159"/>
      <c r="G5" s="159"/>
      <c r="H5" s="159"/>
      <c r="I5" s="159"/>
    </row>
    <row r="6" spans="2:9" x14ac:dyDescent="0.25">
      <c r="B6" s="160" t="s">
        <v>543</v>
      </c>
      <c r="C6" s="557" t="str">
        <f>+'Presup '!B7</f>
        <v>Via  LA LAGUNA, SALINAS, LOS OLIVOS</v>
      </c>
      <c r="D6" s="162"/>
      <c r="E6" s="163"/>
      <c r="F6" s="161"/>
      <c r="G6" s="163"/>
      <c r="H6" s="164" t="s">
        <v>544</v>
      </c>
      <c r="I6" s="356"/>
    </row>
    <row r="7" spans="2:9" x14ac:dyDescent="0.25">
      <c r="B7" s="160" t="s">
        <v>545</v>
      </c>
      <c r="C7" s="1558" t="str">
        <f>+PLMT!B23</f>
        <v>Cinta reflectiva de alta intensidad,</v>
      </c>
      <c r="D7" s="1558"/>
      <c r="E7" s="1558"/>
      <c r="F7" s="1558"/>
      <c r="G7" s="1558"/>
      <c r="H7" s="164" t="s">
        <v>546</v>
      </c>
      <c r="I7" s="335" t="str">
        <f>+PLMT!C23</f>
        <v>ML</v>
      </c>
    </row>
    <row r="8" spans="2:9" ht="3.75" customHeight="1" x14ac:dyDescent="0.25">
      <c r="B8" s="168"/>
      <c r="C8" s="168"/>
      <c r="D8" s="169"/>
      <c r="E8" s="168"/>
      <c r="F8" s="168"/>
      <c r="G8" s="168"/>
      <c r="H8" s="168"/>
      <c r="I8" s="169"/>
    </row>
    <row r="9" spans="2:9" ht="15.75" thickBot="1" x14ac:dyDescent="0.3">
      <c r="B9" s="170" t="s">
        <v>547</v>
      </c>
      <c r="C9" s="170"/>
      <c r="D9" s="169"/>
      <c r="E9" s="169"/>
      <c r="F9" s="169"/>
      <c r="G9" s="169"/>
      <c r="H9" s="169"/>
      <c r="I9" s="169"/>
    </row>
    <row r="10" spans="2:9" x14ac:dyDescent="0.25">
      <c r="B10" s="1514" t="s">
        <v>548</v>
      </c>
      <c r="C10" s="1515"/>
      <c r="D10" s="1516"/>
      <c r="E10" s="661" t="s">
        <v>549</v>
      </c>
      <c r="F10" s="172" t="s">
        <v>550</v>
      </c>
      <c r="G10" s="661" t="s">
        <v>551</v>
      </c>
      <c r="H10" s="660" t="s">
        <v>552</v>
      </c>
      <c r="I10" s="174"/>
    </row>
    <row r="11" spans="2:9" x14ac:dyDescent="0.25">
      <c r="B11" s="1526"/>
      <c r="C11" s="1527"/>
      <c r="D11" s="1528"/>
      <c r="E11" s="175"/>
      <c r="F11" s="176"/>
      <c r="G11" s="177"/>
      <c r="H11" s="178"/>
      <c r="I11" s="179"/>
    </row>
    <row r="12" spans="2:9" x14ac:dyDescent="0.25">
      <c r="B12" s="1526"/>
      <c r="C12" s="1527"/>
      <c r="D12" s="1528"/>
      <c r="E12" s="175"/>
      <c r="F12" s="176"/>
      <c r="G12" s="177"/>
      <c r="H12" s="178"/>
      <c r="I12" s="179"/>
    </row>
    <row r="13" spans="2:9" x14ac:dyDescent="0.25">
      <c r="B13" s="1526" t="s">
        <v>553</v>
      </c>
      <c r="C13" s="1527"/>
      <c r="D13" s="1528"/>
      <c r="E13" s="175"/>
      <c r="F13" s="176"/>
      <c r="G13" s="177"/>
      <c r="H13" s="178">
        <f>I41*0.1</f>
        <v>23.5</v>
      </c>
      <c r="I13" s="179"/>
    </row>
    <row r="14" spans="2:9" ht="15.75" thickBot="1" x14ac:dyDescent="0.3">
      <c r="B14" s="1511"/>
      <c r="C14" s="1512"/>
      <c r="D14" s="1513"/>
      <c r="E14" s="187"/>
      <c r="F14" s="188"/>
      <c r="G14" s="189"/>
      <c r="H14" s="190"/>
      <c r="I14" s="191"/>
    </row>
    <row r="15" spans="2:9" ht="15.75" thickBot="1" x14ac:dyDescent="0.3">
      <c r="B15" s="169"/>
      <c r="C15" s="169"/>
      <c r="D15" s="169"/>
      <c r="E15" s="169"/>
      <c r="F15" s="169"/>
      <c r="G15" s="169"/>
      <c r="H15" s="192" t="s">
        <v>554</v>
      </c>
      <c r="I15" s="193">
        <f>ROUND(SUM(H11:H14),0)</f>
        <v>24</v>
      </c>
    </row>
    <row r="16" spans="2:9" ht="15.75" thickBot="1" x14ac:dyDescent="0.3">
      <c r="B16" s="170" t="s">
        <v>555</v>
      </c>
      <c r="C16" s="170"/>
      <c r="D16" s="169"/>
      <c r="E16" s="169"/>
      <c r="F16" s="169"/>
      <c r="G16" s="169"/>
      <c r="H16" s="169"/>
      <c r="I16" s="169"/>
    </row>
    <row r="17" spans="2:9" x14ac:dyDescent="0.25">
      <c r="B17" s="1514" t="s">
        <v>548</v>
      </c>
      <c r="C17" s="1515"/>
      <c r="D17" s="1516"/>
      <c r="E17" s="661" t="s">
        <v>556</v>
      </c>
      <c r="F17" s="661" t="s">
        <v>557</v>
      </c>
      <c r="G17" s="661" t="s">
        <v>558</v>
      </c>
      <c r="H17" s="660" t="s">
        <v>552</v>
      </c>
      <c r="I17" s="174"/>
    </row>
    <row r="18" spans="2:9" x14ac:dyDescent="0.25">
      <c r="B18" s="199" t="s">
        <v>864</v>
      </c>
      <c r="C18" s="200"/>
      <c r="D18" s="201"/>
      <c r="E18" s="175" t="s">
        <v>15</v>
      </c>
      <c r="F18" s="177">
        <v>50.5</v>
      </c>
      <c r="G18" s="177">
        <v>1</v>
      </c>
      <c r="H18" s="178">
        <f t="shared" ref="H18:H23" si="0">+G18*F18</f>
        <v>50.5</v>
      </c>
      <c r="I18" s="179"/>
    </row>
    <row r="19" spans="2:9" x14ac:dyDescent="0.25">
      <c r="B19" s="199"/>
      <c r="C19" s="200"/>
      <c r="D19" s="201"/>
      <c r="E19" s="175"/>
      <c r="F19" s="216"/>
      <c r="G19" s="177"/>
      <c r="H19" s="178">
        <f t="shared" si="0"/>
        <v>0</v>
      </c>
      <c r="I19" s="179"/>
    </row>
    <row r="20" spans="2:9" x14ac:dyDescent="0.25">
      <c r="B20" s="199"/>
      <c r="C20" s="200"/>
      <c r="D20" s="201"/>
      <c r="E20" s="175"/>
      <c r="F20" s="216"/>
      <c r="G20" s="177"/>
      <c r="H20" s="178">
        <f t="shared" si="0"/>
        <v>0</v>
      </c>
      <c r="I20" s="179"/>
    </row>
    <row r="21" spans="2:9" x14ac:dyDescent="0.25">
      <c r="B21" s="199"/>
      <c r="C21" s="200"/>
      <c r="D21" s="201"/>
      <c r="E21" s="175"/>
      <c r="F21" s="176"/>
      <c r="G21" s="177"/>
      <c r="H21" s="178">
        <f t="shared" si="0"/>
        <v>0</v>
      </c>
      <c r="I21" s="179"/>
    </row>
    <row r="22" spans="2:9" x14ac:dyDescent="0.25">
      <c r="B22" s="199"/>
      <c r="C22" s="200"/>
      <c r="D22" s="201"/>
      <c r="E22" s="175"/>
      <c r="F22" s="176"/>
      <c r="G22" s="177"/>
      <c r="H22" s="178">
        <f t="shared" si="0"/>
        <v>0</v>
      </c>
      <c r="I22" s="179"/>
    </row>
    <row r="23" spans="2:9" x14ac:dyDescent="0.25">
      <c r="B23" s="199"/>
      <c r="C23" s="200"/>
      <c r="D23" s="201"/>
      <c r="E23" s="175"/>
      <c r="F23" s="176"/>
      <c r="G23" s="177"/>
      <c r="H23" s="178">
        <f t="shared" si="0"/>
        <v>0</v>
      </c>
      <c r="I23" s="179"/>
    </row>
    <row r="24" spans="2:9" ht="15.75" thickBot="1" x14ac:dyDescent="0.3">
      <c r="B24" s="205"/>
      <c r="C24" s="206"/>
      <c r="D24" s="207"/>
      <c r="E24" s="187"/>
      <c r="F24" s="188"/>
      <c r="G24" s="189"/>
      <c r="H24" s="190"/>
      <c r="I24" s="191"/>
    </row>
    <row r="25" spans="2:9" ht="15.75" thickBot="1" x14ac:dyDescent="0.3">
      <c r="B25" s="169"/>
      <c r="C25" s="169"/>
      <c r="D25" s="169"/>
      <c r="E25" s="169"/>
      <c r="F25" s="169"/>
      <c r="G25" s="169"/>
      <c r="H25" s="192" t="s">
        <v>554</v>
      </c>
      <c r="I25" s="193">
        <f>+SUM(H18:H23)</f>
        <v>50.5</v>
      </c>
    </row>
    <row r="26" spans="2:9" ht="15.75" thickBot="1" x14ac:dyDescent="0.3">
      <c r="B26" s="208" t="s">
        <v>559</v>
      </c>
      <c r="C26" s="208"/>
      <c r="D26" s="209"/>
      <c r="E26" s="169"/>
      <c r="F26" s="169"/>
      <c r="G26" s="169"/>
      <c r="H26" s="169"/>
      <c r="I26" s="169"/>
    </row>
    <row r="27" spans="2:9" x14ac:dyDescent="0.25">
      <c r="B27" s="210" t="s">
        <v>560</v>
      </c>
      <c r="C27" s="211"/>
      <c r="D27" s="347" t="s">
        <v>561</v>
      </c>
      <c r="E27" s="348" t="s">
        <v>562</v>
      </c>
      <c r="F27" s="348" t="s">
        <v>563</v>
      </c>
      <c r="G27" s="349" t="s">
        <v>564</v>
      </c>
      <c r="H27" s="213" t="s">
        <v>552</v>
      </c>
      <c r="I27" s="174"/>
    </row>
    <row r="28" spans="2:9" x14ac:dyDescent="0.25">
      <c r="B28" s="662"/>
      <c r="C28" s="196"/>
      <c r="D28" s="347"/>
      <c r="E28" s="347"/>
      <c r="F28" s="347"/>
      <c r="G28" s="216"/>
      <c r="H28" s="178">
        <f>F28*G28</f>
        <v>0</v>
      </c>
      <c r="I28" s="179"/>
    </row>
    <row r="29" spans="2:9" x14ac:dyDescent="0.25">
      <c r="B29" s="199"/>
      <c r="C29" s="201"/>
      <c r="D29" s="350"/>
      <c r="E29" s="351"/>
      <c r="F29" s="351"/>
      <c r="G29" s="352"/>
      <c r="H29" s="185"/>
      <c r="I29" s="179"/>
    </row>
    <row r="30" spans="2:9" x14ac:dyDescent="0.25">
      <c r="B30" s="199"/>
      <c r="C30" s="201"/>
      <c r="D30" s="350"/>
      <c r="E30" s="351"/>
      <c r="F30" s="351"/>
      <c r="G30" s="352"/>
      <c r="H30" s="185"/>
      <c r="I30" s="179"/>
    </row>
    <row r="31" spans="2:9" ht="15.75" thickBot="1" x14ac:dyDescent="0.3">
      <c r="B31" s="205"/>
      <c r="C31" s="207"/>
      <c r="D31" s="219"/>
      <c r="E31" s="188"/>
      <c r="F31" s="189"/>
      <c r="G31" s="190"/>
      <c r="H31" s="187"/>
      <c r="I31" s="179"/>
    </row>
    <row r="32" spans="2:9" ht="15.75" thickBot="1" x14ac:dyDescent="0.3">
      <c r="B32" s="169"/>
      <c r="C32" s="169"/>
      <c r="D32" s="169"/>
      <c r="E32" s="169"/>
      <c r="F32" s="169"/>
      <c r="G32" s="169"/>
      <c r="H32" s="192" t="s">
        <v>554</v>
      </c>
      <c r="I32" s="193">
        <f>SUM(H28:H31)</f>
        <v>0</v>
      </c>
    </row>
    <row r="33" spans="2:9" ht="15.75" thickBot="1" x14ac:dyDescent="0.3">
      <c r="B33" s="208" t="s">
        <v>566</v>
      </c>
      <c r="C33" s="208"/>
      <c r="D33" s="169"/>
      <c r="E33" s="169"/>
      <c r="F33" s="169"/>
      <c r="G33" s="169"/>
      <c r="H33" s="169"/>
      <c r="I33" s="169"/>
    </row>
    <row r="34" spans="2:9" x14ac:dyDescent="0.25">
      <c r="B34" s="210" t="s">
        <v>567</v>
      </c>
      <c r="C34" s="211"/>
      <c r="D34" s="661" t="s">
        <v>568</v>
      </c>
      <c r="E34" s="661" t="s">
        <v>569</v>
      </c>
      <c r="F34" s="172" t="s">
        <v>570</v>
      </c>
      <c r="G34" s="220" t="s">
        <v>551</v>
      </c>
      <c r="H34" s="660" t="s">
        <v>552</v>
      </c>
      <c r="I34" s="174"/>
    </row>
    <row r="35" spans="2:9" x14ac:dyDescent="0.25">
      <c r="B35" s="199" t="str">
        <f>+MdeObra!A21</f>
        <v>OBREROS</v>
      </c>
      <c r="C35" s="221">
        <v>1</v>
      </c>
      <c r="D35" s="222">
        <f>+C35*MdeObra!C21</f>
        <v>32419</v>
      </c>
      <c r="E35" s="315">
        <f>+MdeObra!C10</f>
        <v>1.85</v>
      </c>
      <c r="F35" s="176">
        <f>+E35*D35</f>
        <v>59975.15</v>
      </c>
      <c r="G35" s="177">
        <v>255</v>
      </c>
      <c r="H35" s="224">
        <f>+F35/G35</f>
        <v>235.19666666666666</v>
      </c>
      <c r="I35" s="179"/>
    </row>
    <row r="36" spans="2:9" x14ac:dyDescent="0.25">
      <c r="B36" s="199"/>
      <c r="C36" s="221">
        <v>0</v>
      </c>
      <c r="D36" s="222"/>
      <c r="E36" s="315">
        <f>+MdeObra!C10</f>
        <v>1.85</v>
      </c>
      <c r="F36" s="176">
        <f>+E36*D36</f>
        <v>0</v>
      </c>
      <c r="G36" s="177">
        <f>+G35</f>
        <v>255</v>
      </c>
      <c r="H36" s="224">
        <f>+F36/G36</f>
        <v>0</v>
      </c>
      <c r="I36" s="179"/>
    </row>
    <row r="37" spans="2:9" x14ac:dyDescent="0.25">
      <c r="B37" s="199"/>
      <c r="C37" s="201"/>
      <c r="D37" s="225"/>
      <c r="E37" s="315"/>
      <c r="F37" s="177"/>
      <c r="G37" s="177"/>
      <c r="H37" s="178"/>
      <c r="I37" s="179"/>
    </row>
    <row r="38" spans="2:9" x14ac:dyDescent="0.25">
      <c r="B38" s="199"/>
      <c r="C38" s="201"/>
      <c r="D38" s="225"/>
      <c r="E38" s="315"/>
      <c r="F38" s="177"/>
      <c r="G38" s="177"/>
      <c r="H38" s="178"/>
      <c r="I38" s="179"/>
    </row>
    <row r="39" spans="2:9" x14ac:dyDescent="0.25">
      <c r="B39" s="199"/>
      <c r="C39" s="201"/>
      <c r="D39" s="353"/>
      <c r="E39" s="175"/>
      <c r="F39" s="176"/>
      <c r="G39" s="177"/>
      <c r="H39" s="178"/>
      <c r="I39" s="179"/>
    </row>
    <row r="40" spans="2:9" ht="15.75" thickBot="1" x14ac:dyDescent="0.3">
      <c r="B40" s="205"/>
      <c r="C40" s="207"/>
      <c r="D40" s="226"/>
      <c r="E40" s="227"/>
      <c r="F40" s="227"/>
      <c r="G40" s="227"/>
      <c r="H40" s="209"/>
      <c r="I40" s="191"/>
    </row>
    <row r="41" spans="2:9" ht="15.75" thickBot="1" x14ac:dyDescent="0.3">
      <c r="B41" s="169"/>
      <c r="C41" s="169"/>
      <c r="D41" s="169"/>
      <c r="E41" s="169"/>
      <c r="F41" s="169"/>
      <c r="G41" s="169"/>
      <c r="H41" s="192" t="s">
        <v>554</v>
      </c>
      <c r="I41" s="193">
        <f>ROUND(SUM(H35:H40),0)</f>
        <v>235</v>
      </c>
    </row>
    <row r="42" spans="2:9" ht="15.75" thickBot="1" x14ac:dyDescent="0.3">
      <c r="B42" s="169"/>
      <c r="C42" s="169"/>
      <c r="D42" s="169"/>
      <c r="E42" s="169"/>
      <c r="F42" s="169"/>
      <c r="G42" s="169"/>
      <c r="H42" s="228"/>
      <c r="I42" s="162"/>
    </row>
    <row r="43" spans="2:9" ht="15.75" thickBot="1" x14ac:dyDescent="0.3">
      <c r="B43" s="169"/>
      <c r="C43" s="169"/>
      <c r="D43" s="169"/>
      <c r="E43" s="169"/>
      <c r="F43" s="229" t="s">
        <v>571</v>
      </c>
      <c r="G43" s="230"/>
      <c r="H43" s="230"/>
      <c r="I43" s="193">
        <f>I15+I25+I32+I41</f>
        <v>309.5</v>
      </c>
    </row>
    <row r="44" spans="2:9" ht="15.75" thickBot="1" x14ac:dyDescent="0.3">
      <c r="B44" s="170" t="s">
        <v>572</v>
      </c>
      <c r="C44" s="170"/>
      <c r="D44" s="169"/>
      <c r="E44" s="169"/>
      <c r="F44" s="169"/>
      <c r="G44" s="169"/>
      <c r="H44" s="169"/>
      <c r="I44" s="169"/>
    </row>
    <row r="45" spans="2:9" x14ac:dyDescent="0.25">
      <c r="B45" s="231" t="s">
        <v>548</v>
      </c>
      <c r="C45" s="232"/>
      <c r="D45" s="232"/>
      <c r="E45" s="232"/>
      <c r="F45" s="233"/>
      <c r="G45" s="234" t="s">
        <v>573</v>
      </c>
      <c r="H45" s="235" t="s">
        <v>574</v>
      </c>
      <c r="I45" s="174"/>
    </row>
    <row r="46" spans="2:9" x14ac:dyDescent="0.25">
      <c r="B46" s="199" t="s">
        <v>519</v>
      </c>
      <c r="C46" s="200"/>
      <c r="D46" s="200"/>
      <c r="E46" s="200"/>
      <c r="F46" s="201"/>
      <c r="G46" s="560">
        <f>+MdeObra!C7</f>
        <v>0.2</v>
      </c>
      <c r="H46" s="237">
        <f>+G46*I43</f>
        <v>61.900000000000006</v>
      </c>
      <c r="I46" s="238"/>
    </row>
    <row r="47" spans="2:9" x14ac:dyDescent="0.25">
      <c r="B47" s="199" t="s">
        <v>575</v>
      </c>
      <c r="C47" s="200"/>
      <c r="D47" s="200"/>
      <c r="E47" s="200"/>
      <c r="F47" s="201"/>
      <c r="G47" s="328">
        <f>+MdeObra!C8</f>
        <v>0.05</v>
      </c>
      <c r="H47" s="237">
        <f>+G47*I43</f>
        <v>15.475000000000001</v>
      </c>
      <c r="I47" s="238"/>
    </row>
    <row r="48" spans="2:9" ht="15.75" thickBot="1" x14ac:dyDescent="0.3">
      <c r="B48" s="205" t="s">
        <v>522</v>
      </c>
      <c r="C48" s="206"/>
      <c r="D48" s="206"/>
      <c r="E48" s="206"/>
      <c r="F48" s="207"/>
      <c r="G48" s="331">
        <f>+MdeObra!C9</f>
        <v>0.05</v>
      </c>
      <c r="H48" s="240">
        <f>+G48*I43</f>
        <v>15.475000000000001</v>
      </c>
      <c r="I48" s="191"/>
    </row>
    <row r="49" spans="2:9" ht="15.75" thickBot="1" x14ac:dyDescent="0.3">
      <c r="B49" s="169"/>
      <c r="C49" s="169"/>
      <c r="D49" s="169"/>
      <c r="E49" s="169"/>
      <c r="F49" s="169"/>
      <c r="G49" s="169"/>
      <c r="H49" s="192" t="s">
        <v>554</v>
      </c>
      <c r="I49" s="241">
        <f>ROUND(SUM(H46:H48),0)</f>
        <v>93</v>
      </c>
    </row>
    <row r="50" spans="2:9" ht="15.75" thickBot="1" x14ac:dyDescent="0.3">
      <c r="B50" s="169"/>
      <c r="C50" s="169"/>
      <c r="D50" s="169"/>
      <c r="E50" s="169"/>
      <c r="F50" s="169"/>
      <c r="G50" s="169"/>
      <c r="H50" s="169"/>
      <c r="I50" s="169"/>
    </row>
    <row r="51" spans="2:9" ht="16.5" thickTop="1" thickBot="1" x14ac:dyDescent="0.3">
      <c r="B51" s="139"/>
      <c r="C51" s="139"/>
      <c r="D51" s="169"/>
      <c r="E51" s="229" t="s">
        <v>576</v>
      </c>
      <c r="F51" s="230"/>
      <c r="G51" s="230"/>
      <c r="H51" s="230"/>
      <c r="I51" s="354">
        <f>ROUND((I43+I49),0)</f>
        <v>403</v>
      </c>
    </row>
    <row r="52" spans="2:9" ht="15.75" thickTop="1" x14ac:dyDescent="0.25"/>
    <row r="55" spans="2:9" hidden="1" x14ac:dyDescent="0.25"/>
    <row r="56" spans="2:9" hidden="1" x14ac:dyDescent="0.25">
      <c r="F56" s="1542" t="str">
        <f>+'Presup '!F118</f>
        <v xml:space="preserve">ING. MIGUEL ANTONIO VILLACRES MARTINEZ. </v>
      </c>
      <c r="G56" s="1542"/>
      <c r="H56" s="1542"/>
      <c r="I56" s="1542"/>
    </row>
    <row r="57" spans="2:9" hidden="1" x14ac:dyDescent="0.25">
      <c r="F57" s="1543" t="str">
        <f>+'Presup '!F119</f>
        <v>M.P. 52202-090508 NRÑ</v>
      </c>
      <c r="G57" s="1543"/>
      <c r="H57" s="1543"/>
      <c r="I57" s="1543"/>
    </row>
  </sheetData>
  <mergeCells count="11">
    <mergeCell ref="E2:I3"/>
    <mergeCell ref="E4:I4"/>
    <mergeCell ref="C7:G7"/>
    <mergeCell ref="B10:D10"/>
    <mergeCell ref="B11:D11"/>
    <mergeCell ref="B17:D17"/>
    <mergeCell ref="F56:I56"/>
    <mergeCell ref="F57:I57"/>
    <mergeCell ref="B12:D12"/>
    <mergeCell ref="B13:D13"/>
    <mergeCell ref="B14:D14"/>
  </mergeCells>
  <hyperlinks>
    <hyperlink ref="C7" location="PLMT!A1" display="PLMT!A1"/>
  </hyperlinks>
  <printOptions horizontalCentered="1" verticalCentered="1"/>
  <pageMargins left="0.23622047244094491" right="0.23622047244094491" top="0.15748031496062992" bottom="0.15748031496062992" header="0.31496062992125984" footer="0.31496062992125984"/>
  <pageSetup paperSize="125" scale="85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9FA96A0342E2445A52749044251E7A5" ma:contentTypeVersion="13" ma:contentTypeDescription="Crear nuevo documento." ma:contentTypeScope="" ma:versionID="98e113d60ebeca3ea9aa56bb82467b87">
  <xsd:schema xmlns:xsd="http://www.w3.org/2001/XMLSchema" xmlns:xs="http://www.w3.org/2001/XMLSchema" xmlns:p="http://schemas.microsoft.com/office/2006/metadata/properties" xmlns:ns2="0c48be5f-e6ee-455f-9136-44c7afe4b956" xmlns:ns3="b49c21f7-9b14-4590-8de5-c4e8c2c6e79c" targetNamespace="http://schemas.microsoft.com/office/2006/metadata/properties" ma:root="true" ma:fieldsID="053861b25e6550263d98735cd6624727" ns2:_="" ns3:_="">
    <xsd:import namespace="0c48be5f-e6ee-455f-9136-44c7afe4b956"/>
    <xsd:import namespace="b49c21f7-9b14-4590-8de5-c4e8c2c6e7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48be5f-e6ee-455f-9136-44c7afe4b9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9c21f7-9b14-4590-8de5-c4e8c2c6e79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20DA44-FC90-448A-8FF7-A4A020D54882}"/>
</file>

<file path=customXml/itemProps2.xml><?xml version="1.0" encoding="utf-8"?>
<ds:datastoreItem xmlns:ds="http://schemas.openxmlformats.org/officeDocument/2006/customXml" ds:itemID="{53939CBB-CF50-4FF9-B6B3-B152D718174B}"/>
</file>

<file path=customXml/itemProps3.xml><?xml version="1.0" encoding="utf-8"?>
<ds:datastoreItem xmlns:ds="http://schemas.openxmlformats.org/officeDocument/2006/customXml" ds:itemID="{D3B90E38-0833-4BAF-B95F-2882F6A1ED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64</vt:i4>
      </vt:variant>
      <vt:variant>
        <vt:lpstr>Rangos con nombre</vt:lpstr>
      </vt:variant>
      <vt:variant>
        <vt:i4>71</vt:i4>
      </vt:variant>
    </vt:vector>
  </HeadingPairs>
  <TitlesOfParts>
    <vt:vector size="135" baseType="lpstr">
      <vt:lpstr>Presup </vt:lpstr>
      <vt:lpstr>P.Detall</vt:lpstr>
      <vt:lpstr>cant</vt:lpstr>
      <vt:lpstr>MGA</vt:lpstr>
      <vt:lpstr>FP 1</vt:lpstr>
      <vt:lpstr>FP 2</vt:lpstr>
      <vt:lpstr>AIU </vt:lpstr>
      <vt:lpstr>Interv</vt:lpstr>
      <vt:lpstr>cargas interv</vt:lpstr>
      <vt:lpstr>PLMT</vt:lpstr>
      <vt:lpstr>Equipo</vt:lpstr>
      <vt:lpstr>Materiales</vt:lpstr>
      <vt:lpstr>MdeObra</vt:lpstr>
      <vt:lpstr>CRONOG</vt:lpstr>
      <vt:lpstr>FL F</vt:lpstr>
      <vt:lpstr>%</vt:lpstr>
      <vt:lpstr>CRONOGRAMA</vt:lpstr>
      <vt:lpstr>CARACTERIZACIÓN VIAL</vt:lpstr>
      <vt:lpstr>DOSIFICACIÓN</vt:lpstr>
      <vt:lpstr>200.2</vt:lpstr>
      <vt:lpstr>200,4P</vt:lpstr>
      <vt:lpstr>201,7</vt:lpstr>
      <vt:lpstr>215</vt:lpstr>
      <vt:lpstr>210,1,1</vt:lpstr>
      <vt:lpstr>210,2,1</vt:lpstr>
      <vt:lpstr>211,1</vt:lpstr>
      <vt:lpstr>220,1</vt:lpstr>
      <vt:lpstr>230,1</vt:lpstr>
      <vt:lpstr>310,1</vt:lpstr>
      <vt:lpstr>311,1</vt:lpstr>
      <vt:lpstr>311,2</vt:lpstr>
      <vt:lpstr>320,1</vt:lpstr>
      <vt:lpstr>500,1</vt:lpstr>
      <vt:lpstr>600,1,1</vt:lpstr>
      <vt:lpstr>600,2,1</vt:lpstr>
      <vt:lpstr>6002,2</vt:lpstr>
      <vt:lpstr>600,2,4</vt:lpstr>
      <vt:lpstr>630,1</vt:lpstr>
      <vt:lpstr>630,2</vt:lpstr>
      <vt:lpstr>630,3</vt:lpstr>
      <vt:lpstr>630,4</vt:lpstr>
      <vt:lpstr>640,1</vt:lpstr>
      <vt:lpstr>610,1</vt:lpstr>
      <vt:lpstr>661,1</vt:lpstr>
      <vt:lpstr>660,1</vt:lpstr>
      <vt:lpstr>672,1</vt:lpstr>
      <vt:lpstr>673,1</vt:lpstr>
      <vt:lpstr>673,2</vt:lpstr>
      <vt:lpstr>674,2</vt:lpstr>
      <vt:lpstr>681,1</vt:lpstr>
      <vt:lpstr>P1</vt:lpstr>
      <vt:lpstr>900,2</vt:lpstr>
      <vt:lpstr>A21</vt:lpstr>
      <vt:lpstr>A22</vt:lpstr>
      <vt:lpstr>A23</vt:lpstr>
      <vt:lpstr>A24</vt:lpstr>
      <vt:lpstr>A25</vt:lpstr>
      <vt:lpstr>A26</vt:lpstr>
      <vt:lpstr>A27</vt:lpstr>
      <vt:lpstr>A28</vt:lpstr>
      <vt:lpstr>A29</vt:lpstr>
      <vt:lpstr>A210</vt:lpstr>
      <vt:lpstr>A211</vt:lpstr>
      <vt:lpstr>Hoja1</vt:lpstr>
      <vt:lpstr>'200,4P'!Área_de_impresión</vt:lpstr>
      <vt:lpstr>'200.2'!Área_de_impresión</vt:lpstr>
      <vt:lpstr>'201,7'!Área_de_impresión</vt:lpstr>
      <vt:lpstr>'210,1,1'!Área_de_impresión</vt:lpstr>
      <vt:lpstr>'210,2,1'!Área_de_impresión</vt:lpstr>
      <vt:lpstr>'211,1'!Área_de_impresión</vt:lpstr>
      <vt:lpstr>'215'!Área_de_impresión</vt:lpstr>
      <vt:lpstr>'220,1'!Área_de_impresión</vt:lpstr>
      <vt:lpstr>'230,1'!Área_de_impresión</vt:lpstr>
      <vt:lpstr>'310,1'!Área_de_impresión</vt:lpstr>
      <vt:lpstr>'311,1'!Área_de_impresión</vt:lpstr>
      <vt:lpstr>'311,2'!Área_de_impresión</vt:lpstr>
      <vt:lpstr>'320,1'!Área_de_impresión</vt:lpstr>
      <vt:lpstr>'500,1'!Área_de_impresión</vt:lpstr>
      <vt:lpstr>'600,1,1'!Área_de_impresión</vt:lpstr>
      <vt:lpstr>'600,2,1'!Área_de_impresión</vt:lpstr>
      <vt:lpstr>'600,2,4'!Área_de_impresión</vt:lpstr>
      <vt:lpstr>'6002,2'!Área_de_impresión</vt:lpstr>
      <vt:lpstr>'610,1'!Área_de_impresión</vt:lpstr>
      <vt:lpstr>'630,1'!Área_de_impresión</vt:lpstr>
      <vt:lpstr>'630,2'!Área_de_impresión</vt:lpstr>
      <vt:lpstr>'630,3'!Área_de_impresión</vt:lpstr>
      <vt:lpstr>'630,4'!Área_de_impresión</vt:lpstr>
      <vt:lpstr>'640,1'!Área_de_impresión</vt:lpstr>
      <vt:lpstr>'660,1'!Área_de_impresión</vt:lpstr>
      <vt:lpstr>'661,1'!Área_de_impresión</vt:lpstr>
      <vt:lpstr>'672,1'!Área_de_impresión</vt:lpstr>
      <vt:lpstr>'673,1'!Área_de_impresión</vt:lpstr>
      <vt:lpstr>'673,2'!Área_de_impresión</vt:lpstr>
      <vt:lpstr>'674,2'!Área_de_impresión</vt:lpstr>
      <vt:lpstr>'681,1'!Área_de_impresión</vt:lpstr>
      <vt:lpstr>'900,2'!Área_de_impresión</vt:lpstr>
      <vt:lpstr>'A21'!Área_de_impresión</vt:lpstr>
      <vt:lpstr>'A210'!Área_de_impresión</vt:lpstr>
      <vt:lpstr>'A211'!Área_de_impresión</vt:lpstr>
      <vt:lpstr>'A22'!Área_de_impresión</vt:lpstr>
      <vt:lpstr>'A23'!Área_de_impresión</vt:lpstr>
      <vt:lpstr>'A24'!Área_de_impresión</vt:lpstr>
      <vt:lpstr>'A25'!Área_de_impresión</vt:lpstr>
      <vt:lpstr>'A26'!Área_de_impresión</vt:lpstr>
      <vt:lpstr>'A27'!Área_de_impresión</vt:lpstr>
      <vt:lpstr>'A28'!Área_de_impresión</vt:lpstr>
      <vt:lpstr>'A29'!Área_de_impresión</vt:lpstr>
      <vt:lpstr>'AIU '!Área_de_impresión</vt:lpstr>
      <vt:lpstr>cant!Área_de_impresión</vt:lpstr>
      <vt:lpstr>'CARACTERIZACIÓN VIAL'!Área_de_impresión</vt:lpstr>
      <vt:lpstr>'cargas interv'!Área_de_impresión</vt:lpstr>
      <vt:lpstr>CRONOG!Área_de_impresión</vt:lpstr>
      <vt:lpstr>CRONOGRAMA!Área_de_impresión</vt:lpstr>
      <vt:lpstr>DOSIFICACIÓN!Área_de_impresión</vt:lpstr>
      <vt:lpstr>Equipo!Área_de_impresión</vt:lpstr>
      <vt:lpstr>'FL F'!Área_de_impresión</vt:lpstr>
      <vt:lpstr>'FP 1'!Área_de_impresión</vt:lpstr>
      <vt:lpstr>'FP 2'!Área_de_impresión</vt:lpstr>
      <vt:lpstr>Interv!Área_de_impresión</vt:lpstr>
      <vt:lpstr>Materiales!Área_de_impresión</vt:lpstr>
      <vt:lpstr>MdeObra!Área_de_impresión</vt:lpstr>
      <vt:lpstr>MGA!Área_de_impresión</vt:lpstr>
      <vt:lpstr>P.Detall!Área_de_impresión</vt:lpstr>
      <vt:lpstr>'P1'!Área_de_impresión</vt:lpstr>
      <vt:lpstr>PLMT!Área_de_impresión</vt:lpstr>
      <vt:lpstr>'Presup '!Área_de_impresión</vt:lpstr>
      <vt:lpstr>cant!Títulos_a_imprimir</vt:lpstr>
      <vt:lpstr>'cargas interv'!Títulos_a_imprimir</vt:lpstr>
      <vt:lpstr>CRONOG!Títulos_a_imprimir</vt:lpstr>
      <vt:lpstr>Equipo!Títulos_a_imprimir</vt:lpstr>
      <vt:lpstr>'FL F'!Títulos_a_imprimir</vt:lpstr>
      <vt:lpstr>Materiales!Títulos_a_imprimir</vt:lpstr>
      <vt:lpstr>MGA!Títulos_a_imprimir</vt:lpstr>
      <vt:lpstr>P.Detall!Títulos_a_imprimir</vt:lpstr>
      <vt:lpstr>'Presup '!Títulos_a_imprimir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CAMILO</cp:lastModifiedBy>
  <cp:lastPrinted>2021-02-24T14:43:27Z</cp:lastPrinted>
  <dcterms:created xsi:type="dcterms:W3CDTF">2016-09-01T16:25:18Z</dcterms:created>
  <dcterms:modified xsi:type="dcterms:W3CDTF">2021-06-21T19:10:54Z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0x01010059FA96A0342E2445A52749044251E7A5</vt:lpwstr>
  </property>
</Properties>
</file>