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seh\OneDrive\Escritorio\´BOMBEROS\"/>
    </mc:Choice>
  </mc:AlternateContent>
  <bookViews>
    <workbookView xWindow="0" yWindow="0" windowWidth="23040" windowHeight="9372" firstSheet="1" activeTab="1"/>
  </bookViews>
  <sheets>
    <sheet name="PPTO OFICIAL" sheetId="5" state="hidden" r:id="rId1"/>
    <sheet name="APUS 7 -10" sheetId="19" r:id="rId2"/>
    <sheet name="APU´S ELECTRICOS" sheetId="27" r:id="rId3"/>
    <sheet name="APUS primarios" sheetId="20" r:id="rId4"/>
    <sheet name=" MANO DE OBRA" sheetId="18" r:id="rId5"/>
  </sheets>
  <externalReferences>
    <externalReference r:id="rId6"/>
    <externalReference r:id="rId7"/>
  </externalReferences>
  <definedNames>
    <definedName name="\z" localSheetId="2">#REF!</definedName>
    <definedName name="\z" localSheetId="3">#REF!</definedName>
    <definedName name="\z">#REF!</definedName>
    <definedName name="_xlnm._FilterDatabase" localSheetId="0" hidden="1">'PPTO OFICIAL'!$A$10:$M$282</definedName>
    <definedName name="A_impresión_IM" localSheetId="2">#REF!</definedName>
    <definedName name="A_impresión_IM" localSheetId="3">#REF!</definedName>
    <definedName name="A_impresión_IM">#REF!</definedName>
    <definedName name="_xlnm.Print_Area" localSheetId="2">'APU´S ELECTRICOS'!$A$1:$F$489</definedName>
    <definedName name="_xlnm.Print_Area" localSheetId="1">'APUS 7 -10'!$A$1:$G$454</definedName>
    <definedName name="_xlnm.Print_Area" localSheetId="3">'APUS primarios'!$A$1:$G$101</definedName>
    <definedName name="_xlnm.Print_Area" localSheetId="0">'PPTO OFICIAL'!$A$1:$F$289</definedName>
    <definedName name="CompanyAddress" localSheetId="4">#REF!</definedName>
    <definedName name="CompanyAddress" localSheetId="2">#REF!</definedName>
    <definedName name="CompanyAddress" localSheetId="3">#REF!</definedName>
    <definedName name="CompanyAddress">#REF!</definedName>
    <definedName name="CompanyCity" localSheetId="4">#REF!</definedName>
    <definedName name="CompanyCity" localSheetId="2">#REF!</definedName>
    <definedName name="CompanyCity" localSheetId="3">#REF!</definedName>
    <definedName name="CompanyCity">#REF!</definedName>
    <definedName name="CompanyCountry" localSheetId="4">#REF!</definedName>
    <definedName name="CompanyCountry" localSheetId="2">#REF!</definedName>
    <definedName name="CompanyCountry" localSheetId="3">#REF!</definedName>
    <definedName name="CompanyCountry">#REF!</definedName>
    <definedName name="CompanyName" localSheetId="4">#REF!</definedName>
    <definedName name="CompanyName" localSheetId="3">#REF!</definedName>
    <definedName name="CompanyName">#REF!</definedName>
    <definedName name="CompanyState" localSheetId="4">#REF!</definedName>
    <definedName name="CompanyState" localSheetId="3">#REF!</definedName>
    <definedName name="CompanyState">#REF!</definedName>
    <definedName name="CompanyZip" localSheetId="4">#REF!</definedName>
    <definedName name="CompanyZip" localSheetId="3">#REF!</definedName>
    <definedName name="CompanyZip">#REF!</definedName>
    <definedName name="DataDisplayed">"Ejemplo"</definedName>
    <definedName name="ENCABEZA" localSheetId="2">#REF!</definedName>
    <definedName name="ENCABEZA" localSheetId="3">#REF!</definedName>
    <definedName name="ENCABEZA">#REF!</definedName>
    <definedName name="Slicer_Contact_Type">#N/A</definedName>
    <definedName name="tablonx" localSheetId="4">'[1]BASE DE DATOS'!#REF!</definedName>
    <definedName name="tablonx" localSheetId="2">'[1]BASE DE DATOS'!#REF!</definedName>
    <definedName name="tablonx" localSheetId="3">'[1]BASE DE DATOS'!#REF!</definedName>
    <definedName name="tablonx">'[1]BASE DE DATOS'!#REF!</definedName>
    <definedName name="_xlnm.Print_Titles" localSheetId="0">'PPTO OFICIAL'!$2:$9</definedName>
  </definedNames>
  <calcPr calcId="152511" iterateDelta="1E-4"/>
</workbook>
</file>

<file path=xl/calcChain.xml><?xml version="1.0" encoding="utf-8"?>
<calcChain xmlns="http://schemas.openxmlformats.org/spreadsheetml/2006/main">
  <c r="G215" i="19" l="1"/>
  <c r="G216" i="19"/>
  <c r="G217" i="19"/>
  <c r="G218" i="19"/>
  <c r="G219" i="19"/>
  <c r="G220" i="19"/>
  <c r="G221" i="19"/>
  <c r="G222" i="19"/>
  <c r="G214" i="19"/>
  <c r="G203" i="19"/>
  <c r="G204" i="19"/>
  <c r="G205" i="19"/>
  <c r="G206" i="19"/>
  <c r="G207" i="19"/>
  <c r="G208" i="19"/>
  <c r="G209" i="19"/>
  <c r="G210" i="19"/>
  <c r="G202" i="19"/>
  <c r="G161" i="19"/>
  <c r="G162" i="19"/>
  <c r="G163" i="19"/>
  <c r="G164" i="19"/>
  <c r="G165" i="19"/>
  <c r="G160" i="19"/>
  <c r="E159" i="19" l="1"/>
  <c r="E273" i="5" l="1"/>
  <c r="E272" i="5"/>
  <c r="F272" i="5" s="1"/>
  <c r="E269" i="5"/>
  <c r="E268" i="5"/>
  <c r="E267" i="5"/>
  <c r="E266" i="5"/>
  <c r="F266" i="5" s="1"/>
  <c r="E264" i="5"/>
  <c r="F264" i="5" s="1"/>
  <c r="E263" i="5"/>
  <c r="E262" i="5"/>
  <c r="E261" i="5"/>
  <c r="E260" i="5"/>
  <c r="E258" i="5"/>
  <c r="E257" i="5"/>
  <c r="E256" i="5"/>
  <c r="E254" i="5"/>
  <c r="E253" i="5"/>
  <c r="E252" i="5"/>
  <c r="E251" i="5"/>
  <c r="E250" i="5"/>
  <c r="F250" i="5" s="1"/>
  <c r="E249" i="5"/>
  <c r="F249" i="5" s="1"/>
  <c r="E248" i="5"/>
  <c r="E246" i="5"/>
  <c r="F246" i="5" s="1"/>
  <c r="E245" i="5"/>
  <c r="F245" i="5" s="1"/>
  <c r="E244" i="5"/>
  <c r="E243" i="5"/>
  <c r="F243" i="5" s="1"/>
  <c r="E242" i="5"/>
  <c r="E240" i="5"/>
  <c r="F240" i="5" s="1"/>
  <c r="E239" i="5"/>
  <c r="F239" i="5" s="1"/>
  <c r="E238" i="5"/>
  <c r="E237" i="5"/>
  <c r="F237" i="5" s="1"/>
  <c r="E236" i="5"/>
  <c r="F236" i="5" s="1"/>
  <c r="E235" i="5"/>
  <c r="E233" i="5"/>
  <c r="F233" i="5" s="1"/>
  <c r="E232" i="5"/>
  <c r="E231" i="5"/>
  <c r="E230" i="5"/>
  <c r="E229" i="5"/>
  <c r="E228" i="5"/>
  <c r="F228" i="5" s="1"/>
  <c r="E227" i="5"/>
  <c r="E226" i="5"/>
  <c r="F487" i="27"/>
  <c r="F486" i="27"/>
  <c r="E488" i="27" s="1"/>
  <c r="F488" i="27" s="1"/>
  <c r="F485" i="27"/>
  <c r="E484" i="27"/>
  <c r="F484" i="27" s="1"/>
  <c r="E483" i="27"/>
  <c r="F483" i="27" s="1"/>
  <c r="F482" i="27"/>
  <c r="F481" i="27"/>
  <c r="E481" i="27"/>
  <c r="F480" i="27"/>
  <c r="F479" i="27"/>
  <c r="F478" i="27"/>
  <c r="E472" i="27"/>
  <c r="F472" i="27" s="1"/>
  <c r="F471" i="27"/>
  <c r="F470" i="27"/>
  <c r="F469" i="27"/>
  <c r="F468" i="27"/>
  <c r="F467" i="27"/>
  <c r="E467" i="27"/>
  <c r="F466" i="27"/>
  <c r="F459" i="27"/>
  <c r="F458" i="27"/>
  <c r="E460" i="27" s="1"/>
  <c r="F460" i="27" s="1"/>
  <c r="F457" i="27"/>
  <c r="F456" i="27"/>
  <c r="E455" i="27"/>
  <c r="F455" i="27" s="1"/>
  <c r="F454" i="27"/>
  <c r="F453" i="27"/>
  <c r="E447" i="27"/>
  <c r="F447" i="27" s="1"/>
  <c r="F446" i="27"/>
  <c r="F445" i="27"/>
  <c r="F444" i="27"/>
  <c r="F443" i="27"/>
  <c r="E442" i="27"/>
  <c r="F442" i="27" s="1"/>
  <c r="F441" i="27"/>
  <c r="F440" i="27"/>
  <c r="F439" i="27"/>
  <c r="E433" i="27"/>
  <c r="F433" i="27" s="1"/>
  <c r="F432" i="27"/>
  <c r="F431" i="27"/>
  <c r="F430" i="27"/>
  <c r="F429" i="27"/>
  <c r="F434" i="27" s="1"/>
  <c r="E429" i="27"/>
  <c r="E423" i="27"/>
  <c r="F423" i="27" s="1"/>
  <c r="F422" i="27"/>
  <c r="F421" i="27"/>
  <c r="F420" i="27"/>
  <c r="F419" i="27"/>
  <c r="E419" i="27"/>
  <c r="F418" i="27"/>
  <c r="E418" i="27"/>
  <c r="F417" i="27"/>
  <c r="E417" i="27"/>
  <c r="F416" i="27"/>
  <c r="F424" i="27" s="1"/>
  <c r="F409" i="27"/>
  <c r="F408" i="27"/>
  <c r="E410" i="27" s="1"/>
  <c r="F410" i="27" s="1"/>
  <c r="F407" i="27"/>
  <c r="F406" i="27"/>
  <c r="F405" i="27"/>
  <c r="E405" i="27"/>
  <c r="F398" i="27"/>
  <c r="F397" i="27"/>
  <c r="E399" i="27" s="1"/>
  <c r="F399" i="27" s="1"/>
  <c r="F396" i="27"/>
  <c r="F395" i="27"/>
  <c r="E394" i="27"/>
  <c r="F394" i="27" s="1"/>
  <c r="F388" i="27"/>
  <c r="E388" i="27"/>
  <c r="F387" i="27"/>
  <c r="F386" i="27"/>
  <c r="F385" i="27"/>
  <c r="F384" i="27"/>
  <c r="F383" i="27"/>
  <c r="F389" i="27" s="1"/>
  <c r="E383" i="27"/>
  <c r="E377" i="27"/>
  <c r="F377" i="27" s="1"/>
  <c r="F376" i="27"/>
  <c r="F375" i="27"/>
  <c r="F374" i="27"/>
  <c r="F373" i="27"/>
  <c r="F378" i="27" s="1"/>
  <c r="F372" i="27"/>
  <c r="E366" i="27"/>
  <c r="F366" i="27" s="1"/>
  <c r="F365" i="27"/>
  <c r="F364" i="27"/>
  <c r="F363" i="27"/>
  <c r="F362" i="27"/>
  <c r="E362" i="27"/>
  <c r="F361" i="27"/>
  <c r="F367" i="27" s="1"/>
  <c r="E361" i="27"/>
  <c r="F354" i="27"/>
  <c r="F353" i="27"/>
  <c r="E355" i="27" s="1"/>
  <c r="F355" i="27" s="1"/>
  <c r="F352" i="27"/>
  <c r="F351" i="27"/>
  <c r="E351" i="27"/>
  <c r="F350" i="27"/>
  <c r="F356" i="27" s="1"/>
  <c r="E350" i="27"/>
  <c r="E344" i="27"/>
  <c r="F344" i="27" s="1"/>
  <c r="F343" i="27"/>
  <c r="F342" i="27"/>
  <c r="F341" i="27"/>
  <c r="F340" i="27"/>
  <c r="E340" i="27"/>
  <c r="F339" i="27"/>
  <c r="E339" i="27"/>
  <c r="F333" i="27"/>
  <c r="F332" i="27"/>
  <c r="E332" i="27"/>
  <c r="F331" i="27"/>
  <c r="F330" i="27"/>
  <c r="F329" i="27"/>
  <c r="F328" i="27"/>
  <c r="F327" i="27"/>
  <c r="F334" i="27" s="1"/>
  <c r="E327" i="27"/>
  <c r="E321" i="27"/>
  <c r="F321" i="27" s="1"/>
  <c r="F320" i="27"/>
  <c r="F319" i="27"/>
  <c r="F318" i="27"/>
  <c r="F317" i="27"/>
  <c r="F316" i="27"/>
  <c r="F315" i="27"/>
  <c r="F322" i="27" s="1"/>
  <c r="F308" i="27"/>
  <c r="F307" i="27"/>
  <c r="E309" i="27" s="1"/>
  <c r="F309" i="27" s="1"/>
  <c r="F306" i="27"/>
  <c r="F305" i="27"/>
  <c r="F304" i="27"/>
  <c r="F303" i="27"/>
  <c r="F310" i="27" s="1"/>
  <c r="F296" i="27"/>
  <c r="F295" i="27"/>
  <c r="E297" i="27" s="1"/>
  <c r="F297" i="27" s="1"/>
  <c r="F294" i="27"/>
  <c r="F293" i="27"/>
  <c r="D292" i="27"/>
  <c r="F292" i="27" s="1"/>
  <c r="F286" i="27"/>
  <c r="E286" i="27"/>
  <c r="F285" i="27"/>
  <c r="F284" i="27"/>
  <c r="F283" i="27"/>
  <c r="F282" i="27"/>
  <c r="F281" i="27"/>
  <c r="F287" i="27" s="1"/>
  <c r="F275" i="27"/>
  <c r="E275" i="27"/>
  <c r="F274" i="27"/>
  <c r="F273" i="27"/>
  <c r="F272" i="27"/>
  <c r="F271" i="27"/>
  <c r="F270" i="27"/>
  <c r="F276" i="27" s="1"/>
  <c r="D270" i="27"/>
  <c r="E264" i="27"/>
  <c r="F264" i="27" s="1"/>
  <c r="F263" i="27"/>
  <c r="F262" i="27"/>
  <c r="F261" i="27"/>
  <c r="F260" i="27"/>
  <c r="F265" i="27" s="1"/>
  <c r="D260" i="27"/>
  <c r="E254" i="27"/>
  <c r="F254" i="27" s="1"/>
  <c r="F253" i="27"/>
  <c r="F252" i="27"/>
  <c r="F251" i="27"/>
  <c r="F250" i="27"/>
  <c r="F255" i="27" s="1"/>
  <c r="D250" i="27"/>
  <c r="E244" i="27"/>
  <c r="F244" i="27" s="1"/>
  <c r="F243" i="27"/>
  <c r="F242" i="27"/>
  <c r="F241" i="27"/>
  <c r="F240" i="27"/>
  <c r="F245" i="27" s="1"/>
  <c r="F234" i="27"/>
  <c r="E234" i="27"/>
  <c r="F233" i="27"/>
  <c r="F232" i="27"/>
  <c r="F231" i="27"/>
  <c r="F230" i="27"/>
  <c r="F229" i="27"/>
  <c r="F235" i="27" s="1"/>
  <c r="F222" i="27"/>
  <c r="F221" i="27"/>
  <c r="E223" i="27" s="1"/>
  <c r="F223" i="27" s="1"/>
  <c r="F220" i="27"/>
  <c r="F219" i="27"/>
  <c r="F218" i="27"/>
  <c r="F211" i="27"/>
  <c r="F210" i="27"/>
  <c r="E212" i="27" s="1"/>
  <c r="F212" i="27" s="1"/>
  <c r="F209" i="27"/>
  <c r="F208" i="27"/>
  <c r="F201" i="27"/>
  <c r="F200" i="27"/>
  <c r="E202" i="27" s="1"/>
  <c r="F202" i="27" s="1"/>
  <c r="F199" i="27"/>
  <c r="F198" i="27"/>
  <c r="E198" i="27"/>
  <c r="F191" i="27"/>
  <c r="F190" i="27"/>
  <c r="E192" i="27" s="1"/>
  <c r="F192" i="27" s="1"/>
  <c r="F189" i="27"/>
  <c r="F188" i="27"/>
  <c r="E188" i="27"/>
  <c r="F187" i="27"/>
  <c r="F193" i="27" s="1"/>
  <c r="E187" i="27"/>
  <c r="E181" i="27"/>
  <c r="F181" i="27" s="1"/>
  <c r="F180" i="27"/>
  <c r="F179" i="27"/>
  <c r="F178" i="27"/>
  <c r="F177" i="27"/>
  <c r="E177" i="27"/>
  <c r="F176" i="27"/>
  <c r="E176" i="27"/>
  <c r="F169" i="27"/>
  <c r="F168" i="27"/>
  <c r="E170" i="27" s="1"/>
  <c r="F170" i="27" s="1"/>
  <c r="F167" i="27"/>
  <c r="F166" i="27"/>
  <c r="E166" i="27"/>
  <c r="F165" i="27"/>
  <c r="F171" i="27" s="1"/>
  <c r="E165" i="27"/>
  <c r="E159" i="27"/>
  <c r="F159" i="27" s="1"/>
  <c r="F158" i="27"/>
  <c r="F157" i="27"/>
  <c r="F156" i="27"/>
  <c r="F155" i="27"/>
  <c r="E155" i="27"/>
  <c r="F154" i="27"/>
  <c r="F160" i="27" s="1"/>
  <c r="E154" i="27"/>
  <c r="F147" i="27"/>
  <c r="F146" i="27"/>
  <c r="E148" i="27" s="1"/>
  <c r="F148" i="27" s="1"/>
  <c r="F145" i="27"/>
  <c r="F144" i="27"/>
  <c r="E144" i="27"/>
  <c r="F143" i="27"/>
  <c r="E143" i="27"/>
  <c r="E137" i="27"/>
  <c r="F137" i="27" s="1"/>
  <c r="F136" i="27"/>
  <c r="F135" i="27"/>
  <c r="F134" i="27"/>
  <c r="F133" i="27"/>
  <c r="E133" i="27"/>
  <c r="F132" i="27"/>
  <c r="F138" i="27" s="1"/>
  <c r="E132" i="27"/>
  <c r="F125" i="27"/>
  <c r="F124" i="27"/>
  <c r="E126" i="27" s="1"/>
  <c r="F126" i="27" s="1"/>
  <c r="F123" i="27"/>
  <c r="F122" i="27"/>
  <c r="E122" i="27"/>
  <c r="F121" i="27"/>
  <c r="E121" i="27"/>
  <c r="F120" i="27"/>
  <c r="E120" i="27"/>
  <c r="F119" i="27"/>
  <c r="E118" i="27"/>
  <c r="F118" i="27" s="1"/>
  <c r="F127" i="27" s="1"/>
  <c r="F117" i="27"/>
  <c r="F110" i="27"/>
  <c r="F109" i="27"/>
  <c r="E111" i="27" s="1"/>
  <c r="F111" i="27" s="1"/>
  <c r="F108" i="27"/>
  <c r="F107" i="27"/>
  <c r="E107" i="27"/>
  <c r="F106" i="27"/>
  <c r="E106" i="27"/>
  <c r="F105" i="27"/>
  <c r="E105" i="27"/>
  <c r="F104" i="27"/>
  <c r="E103" i="27"/>
  <c r="F103" i="27" s="1"/>
  <c r="F112" i="27" s="1"/>
  <c r="F102" i="27"/>
  <c r="F95" i="27"/>
  <c r="F94" i="27"/>
  <c r="E96" i="27" s="1"/>
  <c r="F96" i="27" s="1"/>
  <c r="F93" i="27"/>
  <c r="F92" i="27"/>
  <c r="E92" i="27"/>
  <c r="F91" i="27"/>
  <c r="E91" i="27"/>
  <c r="F90" i="27"/>
  <c r="E90" i="27"/>
  <c r="F89" i="27"/>
  <c r="E88" i="27"/>
  <c r="F88" i="27" s="1"/>
  <c r="F97" i="27" s="1"/>
  <c r="F87" i="27"/>
  <c r="F80" i="27"/>
  <c r="F79" i="27"/>
  <c r="E81" i="27" s="1"/>
  <c r="F81" i="27" s="1"/>
  <c r="F78" i="27"/>
  <c r="F77" i="27"/>
  <c r="F76" i="27"/>
  <c r="F75" i="27"/>
  <c r="F82" i="27" s="1"/>
  <c r="E75" i="27"/>
  <c r="E69" i="27"/>
  <c r="F69" i="27" s="1"/>
  <c r="F68" i="27"/>
  <c r="F67" i="27"/>
  <c r="F66" i="27"/>
  <c r="F65" i="27"/>
  <c r="E65" i="27"/>
  <c r="F64" i="27"/>
  <c r="E64" i="27"/>
  <c r="F63" i="27"/>
  <c r="F62" i="27"/>
  <c r="F61" i="27"/>
  <c r="E61" i="27"/>
  <c r="F60" i="27"/>
  <c r="F70" i="27" s="1"/>
  <c r="F53" i="27"/>
  <c r="F52" i="27"/>
  <c r="E54" i="27" s="1"/>
  <c r="F54" i="27" s="1"/>
  <c r="F51" i="27"/>
  <c r="E50" i="27"/>
  <c r="F50" i="27" s="1"/>
  <c r="E49" i="27"/>
  <c r="F49" i="27" s="1"/>
  <c r="F48" i="27"/>
  <c r="F47" i="27"/>
  <c r="E46" i="27"/>
  <c r="F46" i="27" s="1"/>
  <c r="F45" i="27"/>
  <c r="F38" i="27"/>
  <c r="F37" i="27"/>
  <c r="E39" i="27" s="1"/>
  <c r="F39" i="27" s="1"/>
  <c r="F36" i="27"/>
  <c r="F35" i="27"/>
  <c r="E35" i="27"/>
  <c r="F34" i="27"/>
  <c r="E34" i="27"/>
  <c r="F33" i="27"/>
  <c r="F32" i="27"/>
  <c r="F31" i="27"/>
  <c r="E31" i="27"/>
  <c r="F30" i="27"/>
  <c r="F23" i="27"/>
  <c r="F22" i="27"/>
  <c r="E24" i="27" s="1"/>
  <c r="F24" i="27" s="1"/>
  <c r="F21" i="27"/>
  <c r="E20" i="27"/>
  <c r="F20" i="27" s="1"/>
  <c r="E19" i="27"/>
  <c r="F19" i="27" s="1"/>
  <c r="E18" i="27"/>
  <c r="F18" i="27" s="1"/>
  <c r="D17" i="27"/>
  <c r="F17" i="27" s="1"/>
  <c r="E16" i="27"/>
  <c r="F16" i="27" s="1"/>
  <c r="F15" i="27"/>
  <c r="F14" i="27"/>
  <c r="E14" i="27"/>
  <c r="F13" i="27"/>
  <c r="F227" i="5"/>
  <c r="F229" i="5"/>
  <c r="F230" i="5"/>
  <c r="F231" i="5"/>
  <c r="F232" i="5"/>
  <c r="F235" i="5"/>
  <c r="F238" i="5"/>
  <c r="F242" i="5"/>
  <c r="F244" i="5"/>
  <c r="F247" i="5"/>
  <c r="F248" i="5"/>
  <c r="F251" i="5"/>
  <c r="F252" i="5"/>
  <c r="F253" i="5"/>
  <c r="F254" i="5"/>
  <c r="F256" i="5"/>
  <c r="F257" i="5"/>
  <c r="F258" i="5"/>
  <c r="F260" i="5"/>
  <c r="F261" i="5"/>
  <c r="F262" i="5"/>
  <c r="F263" i="5"/>
  <c r="F267" i="5"/>
  <c r="F268" i="5"/>
  <c r="F269" i="5"/>
  <c r="F270" i="5"/>
  <c r="F273" i="5"/>
  <c r="F149" i="27" l="1"/>
  <c r="F213" i="27"/>
  <c r="F224" i="27"/>
  <c r="F298" i="27"/>
  <c r="F345" i="27"/>
  <c r="F400" i="27"/>
  <c r="F473" i="27"/>
  <c r="F489" i="27"/>
  <c r="F40" i="27"/>
  <c r="F25" i="27"/>
  <c r="F55" i="27"/>
  <c r="F182" i="27"/>
  <c r="F448" i="27"/>
  <c r="F411" i="27"/>
  <c r="F461" i="27"/>
  <c r="F203" i="27"/>
  <c r="B445" i="19"/>
  <c r="A445" i="19"/>
  <c r="G450" i="19"/>
  <c r="E451" i="19" s="1"/>
  <c r="G451" i="19" s="1"/>
  <c r="G449" i="19"/>
  <c r="G448" i="19"/>
  <c r="G447" i="19"/>
  <c r="G446" i="19"/>
  <c r="C445" i="19"/>
  <c r="G439" i="19"/>
  <c r="A437" i="19"/>
  <c r="C437" i="19"/>
  <c r="B437" i="19"/>
  <c r="G441" i="19"/>
  <c r="G440" i="19"/>
  <c r="G438" i="19"/>
  <c r="C430" i="19"/>
  <c r="A430" i="19"/>
  <c r="B430" i="19"/>
  <c r="G434" i="19"/>
  <c r="E435" i="19" s="1"/>
  <c r="G435" i="19" s="1"/>
  <c r="G433" i="19"/>
  <c r="G432" i="19"/>
  <c r="G431" i="19"/>
  <c r="C422" i="19"/>
  <c r="A422" i="19"/>
  <c r="B422" i="19"/>
  <c r="G426" i="19"/>
  <c r="E427" i="19" s="1"/>
  <c r="G427" i="19" s="1"/>
  <c r="G425" i="19"/>
  <c r="G424" i="19"/>
  <c r="G423" i="19"/>
  <c r="C411" i="19"/>
  <c r="A411" i="19"/>
  <c r="B411" i="19"/>
  <c r="G418" i="19"/>
  <c r="E419" i="19" s="1"/>
  <c r="G419" i="19" s="1"/>
  <c r="G417" i="19"/>
  <c r="G416" i="19"/>
  <c r="G415" i="19"/>
  <c r="G414" i="19"/>
  <c r="G413" i="19"/>
  <c r="G412" i="19"/>
  <c r="C401" i="19"/>
  <c r="A401" i="19"/>
  <c r="B401" i="19"/>
  <c r="G408" i="19"/>
  <c r="E409" i="19" s="1"/>
  <c r="G409" i="19" s="1"/>
  <c r="G407" i="19"/>
  <c r="G406" i="19"/>
  <c r="G405" i="19"/>
  <c r="G404" i="19"/>
  <c r="G403" i="19"/>
  <c r="G402" i="19"/>
  <c r="C391" i="19"/>
  <c r="A391" i="19"/>
  <c r="B391" i="19"/>
  <c r="G398" i="19"/>
  <c r="E399" i="19" s="1"/>
  <c r="G399" i="19" s="1"/>
  <c r="G397" i="19"/>
  <c r="G396" i="19"/>
  <c r="G395" i="19"/>
  <c r="G394" i="19"/>
  <c r="G393" i="19"/>
  <c r="G392" i="19"/>
  <c r="C381" i="19"/>
  <c r="A381" i="19"/>
  <c r="B381" i="19"/>
  <c r="G387" i="19"/>
  <c r="E388" i="19" s="1"/>
  <c r="G388" i="19" s="1"/>
  <c r="G386" i="19"/>
  <c r="G385" i="19"/>
  <c r="G384" i="19"/>
  <c r="G383" i="19"/>
  <c r="G382" i="19"/>
  <c r="C371" i="19"/>
  <c r="A371" i="19"/>
  <c r="B371" i="19"/>
  <c r="G378" i="19"/>
  <c r="E379" i="19" s="1"/>
  <c r="G377" i="19"/>
  <c r="G376" i="19"/>
  <c r="G375" i="19"/>
  <c r="G374" i="19"/>
  <c r="G373" i="19"/>
  <c r="G372" i="19"/>
  <c r="G363" i="19"/>
  <c r="A360" i="19"/>
  <c r="C360" i="19"/>
  <c r="B360" i="19"/>
  <c r="G367" i="19"/>
  <c r="E368" i="19" s="1"/>
  <c r="G368" i="19" s="1"/>
  <c r="G366" i="19"/>
  <c r="G365" i="19"/>
  <c r="G364" i="19"/>
  <c r="G362" i="19"/>
  <c r="G361" i="19"/>
  <c r="C350" i="19"/>
  <c r="A350" i="19"/>
  <c r="B350" i="19"/>
  <c r="G357" i="19"/>
  <c r="E358" i="19" s="1"/>
  <c r="G358" i="19" s="1"/>
  <c r="G356" i="19"/>
  <c r="G355" i="19"/>
  <c r="G354" i="19"/>
  <c r="G353" i="19"/>
  <c r="G352" i="19"/>
  <c r="G351" i="19"/>
  <c r="G344" i="19"/>
  <c r="G343" i="19"/>
  <c r="G342" i="19"/>
  <c r="G345" i="19"/>
  <c r="G346" i="19"/>
  <c r="I330" i="19"/>
  <c r="A328" i="19"/>
  <c r="B328" i="19"/>
  <c r="G337" i="19"/>
  <c r="G335" i="19"/>
  <c r="I334" i="19"/>
  <c r="G334" i="19"/>
  <c r="G333" i="19"/>
  <c r="G332" i="19"/>
  <c r="G331" i="19"/>
  <c r="G330" i="19"/>
  <c r="G329" i="19"/>
  <c r="C328" i="19"/>
  <c r="G320" i="19"/>
  <c r="I323" i="19"/>
  <c r="G318" i="19"/>
  <c r="G319" i="19"/>
  <c r="A315" i="19"/>
  <c r="B315" i="19"/>
  <c r="G307" i="19"/>
  <c r="G294" i="19"/>
  <c r="B305" i="19"/>
  <c r="A305" i="19"/>
  <c r="F312" i="19"/>
  <c r="G312" i="19" s="1"/>
  <c r="G310" i="19"/>
  <c r="E311" i="19" s="1"/>
  <c r="G311" i="19" s="1"/>
  <c r="G309" i="19"/>
  <c r="G308" i="19"/>
  <c r="G306" i="19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F214" i="5"/>
  <c r="F215" i="5"/>
  <c r="F216" i="5"/>
  <c r="F217" i="5"/>
  <c r="F218" i="5"/>
  <c r="F219" i="5"/>
  <c r="F220" i="5"/>
  <c r="F221" i="5"/>
  <c r="F222" i="5"/>
  <c r="F275" i="5"/>
  <c r="F276" i="5"/>
  <c r="E445" i="19" l="1"/>
  <c r="E120" i="5" s="1"/>
  <c r="F120" i="5" s="1"/>
  <c r="E442" i="19"/>
  <c r="G442" i="19" s="1"/>
  <c r="E437" i="19" s="1"/>
  <c r="E119" i="5" s="1"/>
  <c r="F119" i="5" s="1"/>
  <c r="E430" i="19"/>
  <c r="E118" i="5" s="1"/>
  <c r="F118" i="5" s="1"/>
  <c r="E422" i="19"/>
  <c r="E117" i="5" s="1"/>
  <c r="F117" i="5" s="1"/>
  <c r="E411" i="19"/>
  <c r="E116" i="5" s="1"/>
  <c r="F116" i="5" s="1"/>
  <c r="E401" i="19"/>
  <c r="E115" i="5" s="1"/>
  <c r="F115" i="5" s="1"/>
  <c r="E391" i="19"/>
  <c r="E114" i="5" s="1"/>
  <c r="F114" i="5" s="1"/>
  <c r="E381" i="19"/>
  <c r="E113" i="5" s="1"/>
  <c r="F113" i="5" s="1"/>
  <c r="G379" i="19"/>
  <c r="E371" i="19" s="1"/>
  <c r="E112" i="5" s="1"/>
  <c r="F112" i="5" s="1"/>
  <c r="E350" i="19"/>
  <c r="E110" i="5" s="1"/>
  <c r="F110" i="5" s="1"/>
  <c r="E360" i="19"/>
  <c r="E111" i="5" s="1"/>
  <c r="F111" i="5" s="1"/>
  <c r="E336" i="19"/>
  <c r="G336" i="19" s="1"/>
  <c r="E328" i="19" s="1"/>
  <c r="E106" i="5" s="1"/>
  <c r="E313" i="19"/>
  <c r="G313" i="19" s="1"/>
  <c r="E305" i="19" s="1"/>
  <c r="E104" i="5" s="1"/>
  <c r="B287" i="19" l="1"/>
  <c r="A287" i="19"/>
  <c r="F289" i="19"/>
  <c r="B281" i="19"/>
  <c r="A281" i="19"/>
  <c r="C281" i="19"/>
  <c r="B276" i="19"/>
  <c r="A276" i="19"/>
  <c r="G278" i="19"/>
  <c r="G277" i="19"/>
  <c r="C251" i="19"/>
  <c r="B251" i="19"/>
  <c r="A251" i="19"/>
  <c r="G260" i="19"/>
  <c r="G259" i="19"/>
  <c r="G258" i="19"/>
  <c r="G257" i="19"/>
  <c r="G256" i="19"/>
  <c r="G255" i="19"/>
  <c r="G254" i="19"/>
  <c r="G253" i="19"/>
  <c r="G252" i="19"/>
  <c r="C239" i="19"/>
  <c r="A239" i="19"/>
  <c r="B239" i="19"/>
  <c r="G247" i="19"/>
  <c r="F244" i="19"/>
  <c r="G244" i="19" s="1"/>
  <c r="G243" i="19"/>
  <c r="G242" i="19"/>
  <c r="G241" i="19"/>
  <c r="F240" i="19"/>
  <c r="G240" i="19" s="1"/>
  <c r="G289" i="19" l="1"/>
  <c r="E290" i="19" s="1"/>
  <c r="G290" i="19" s="1"/>
  <c r="E279" i="19"/>
  <c r="G279" i="19" s="1"/>
  <c r="E276" i="19" s="1"/>
  <c r="E98" i="5" s="1"/>
  <c r="F98" i="5" s="1"/>
  <c r="E262" i="19"/>
  <c r="G262" i="19" s="1"/>
  <c r="E261" i="19"/>
  <c r="G261" i="19" s="1"/>
  <c r="E248" i="19"/>
  <c r="G248" i="19" s="1"/>
  <c r="C231" i="19"/>
  <c r="B231" i="19"/>
  <c r="A231" i="19"/>
  <c r="G233" i="19"/>
  <c r="G232" i="19"/>
  <c r="C213" i="19"/>
  <c r="A213" i="19"/>
  <c r="C188" i="19"/>
  <c r="A188" i="19"/>
  <c r="B188" i="19"/>
  <c r="G197" i="19"/>
  <c r="G196" i="19"/>
  <c r="G195" i="19"/>
  <c r="G194" i="19"/>
  <c r="G193" i="19"/>
  <c r="G192" i="19"/>
  <c r="G191" i="19"/>
  <c r="G190" i="19"/>
  <c r="G189" i="19"/>
  <c r="C175" i="19"/>
  <c r="B167" i="19"/>
  <c r="A167" i="19"/>
  <c r="F173" i="19"/>
  <c r="G173" i="19" s="1"/>
  <c r="G171" i="19"/>
  <c r="G170" i="19"/>
  <c r="G169" i="19"/>
  <c r="G168" i="19"/>
  <c r="C159" i="19"/>
  <c r="A159" i="19"/>
  <c r="B159" i="19"/>
  <c r="C151" i="19"/>
  <c r="B151" i="19"/>
  <c r="A151" i="19"/>
  <c r="F157" i="19"/>
  <c r="G157" i="19" s="1"/>
  <c r="E155" i="19"/>
  <c r="G155" i="19" s="1"/>
  <c r="E156" i="19" s="1"/>
  <c r="G156" i="19" s="1"/>
  <c r="G154" i="19"/>
  <c r="G153" i="19"/>
  <c r="G152" i="19"/>
  <c r="C146" i="19"/>
  <c r="A146" i="19"/>
  <c r="B146" i="19"/>
  <c r="C128" i="19"/>
  <c r="A128" i="19"/>
  <c r="B128" i="19"/>
  <c r="F134" i="19"/>
  <c r="G134" i="19" s="1"/>
  <c r="G132" i="19"/>
  <c r="E133" i="19" s="1"/>
  <c r="G133" i="19" s="1"/>
  <c r="G131" i="19"/>
  <c r="G130" i="19"/>
  <c r="G129" i="19"/>
  <c r="C119" i="19"/>
  <c r="C107" i="19"/>
  <c r="E251" i="19" l="1"/>
  <c r="E96" i="5" s="1"/>
  <c r="F96" i="5" s="1"/>
  <c r="G234" i="19"/>
  <c r="E236" i="19" s="1"/>
  <c r="G236" i="19" s="1"/>
  <c r="E199" i="19"/>
  <c r="G199" i="19" s="1"/>
  <c r="E198" i="19"/>
  <c r="G198" i="19" s="1"/>
  <c r="E172" i="19"/>
  <c r="G172" i="19" s="1"/>
  <c r="E167" i="19" s="1"/>
  <c r="E88" i="5" s="1"/>
  <c r="F88" i="5" s="1"/>
  <c r="E151" i="19"/>
  <c r="E86" i="5" s="1"/>
  <c r="F86" i="5" s="1"/>
  <c r="E128" i="19"/>
  <c r="E83" i="5" s="1"/>
  <c r="F83" i="5" s="1"/>
  <c r="E235" i="19" l="1"/>
  <c r="G235" i="19" s="1"/>
  <c r="E231" i="19" s="1"/>
  <c r="E94" i="5" s="1"/>
  <c r="F94" i="5" s="1"/>
  <c r="E213" i="19"/>
  <c r="E92" i="5" s="1"/>
  <c r="E188" i="19"/>
  <c r="D72" i="19" l="1"/>
  <c r="C65" i="19"/>
  <c r="A65" i="19"/>
  <c r="B65" i="19"/>
  <c r="F73" i="19"/>
  <c r="E73" i="19"/>
  <c r="G71" i="19"/>
  <c r="G69" i="19"/>
  <c r="G68" i="19"/>
  <c r="F67" i="19"/>
  <c r="G67" i="19" s="1"/>
  <c r="F66" i="19"/>
  <c r="G66" i="19" s="1"/>
  <c r="G61" i="19"/>
  <c r="A54" i="19"/>
  <c r="B54" i="19"/>
  <c r="G60" i="19"/>
  <c r="G59" i="19"/>
  <c r="G58" i="19"/>
  <c r="G57" i="19"/>
  <c r="G56" i="19"/>
  <c r="G55" i="19"/>
  <c r="C54" i="19"/>
  <c r="B77" i="19"/>
  <c r="G73" i="19" l="1"/>
  <c r="E74" i="19" s="1"/>
  <c r="G74" i="19" s="1"/>
  <c r="E62" i="19"/>
  <c r="G62" i="19" s="1"/>
  <c r="E54" i="19" s="1"/>
  <c r="E61" i="5" l="1"/>
  <c r="E65" i="5"/>
  <c r="E60" i="5" l="1"/>
  <c r="F92" i="5" l="1"/>
  <c r="E74" i="5"/>
  <c r="F61" i="5"/>
  <c r="E30" i="5" l="1"/>
  <c r="F74" i="5"/>
  <c r="F60" i="5"/>
  <c r="F35" i="5" l="1"/>
  <c r="E25" i="5" l="1"/>
  <c r="A340" i="19" l="1"/>
  <c r="A293" i="19"/>
  <c r="A224" i="19"/>
  <c r="A201" i="19"/>
  <c r="A175" i="19"/>
  <c r="A265" i="19"/>
  <c r="A137" i="19"/>
  <c r="A119" i="19"/>
  <c r="A107" i="19"/>
  <c r="A28" i="19"/>
  <c r="A14" i="19"/>
  <c r="A96" i="19"/>
  <c r="A84" i="19"/>
  <c r="A77" i="19"/>
  <c r="A42" i="19"/>
  <c r="A5" i="19"/>
  <c r="C340" i="19" l="1"/>
  <c r="B340" i="19"/>
  <c r="G341" i="19"/>
  <c r="F326" i="19"/>
  <c r="G326" i="19" s="1"/>
  <c r="G323" i="19"/>
  <c r="G322" i="19"/>
  <c r="G321" i="19"/>
  <c r="G317" i="19"/>
  <c r="G316" i="19"/>
  <c r="C293" i="19"/>
  <c r="B293" i="19"/>
  <c r="F302" i="19"/>
  <c r="G302" i="19" s="1"/>
  <c r="G299" i="19"/>
  <c r="G298" i="19"/>
  <c r="G297" i="19"/>
  <c r="G296" i="19"/>
  <c r="G295" i="19"/>
  <c r="C224" i="19"/>
  <c r="B224" i="19"/>
  <c r="C201" i="19"/>
  <c r="F226" i="19"/>
  <c r="G225" i="19"/>
  <c r="B175" i="19"/>
  <c r="G183" i="19"/>
  <c r="G182" i="19"/>
  <c r="G181" i="19"/>
  <c r="G180" i="19"/>
  <c r="G179" i="19"/>
  <c r="G178" i="19"/>
  <c r="G177" i="19"/>
  <c r="G176" i="19"/>
  <c r="C265" i="19"/>
  <c r="B265" i="19"/>
  <c r="F100" i="20"/>
  <c r="G99" i="20"/>
  <c r="G98" i="20"/>
  <c r="G97" i="20"/>
  <c r="G96" i="20"/>
  <c r="C137" i="19"/>
  <c r="B137" i="19"/>
  <c r="B119" i="19"/>
  <c r="B107" i="19"/>
  <c r="G270" i="19"/>
  <c r="G269" i="19"/>
  <c r="G268" i="19"/>
  <c r="G267" i="19"/>
  <c r="G266" i="19"/>
  <c r="F148" i="19"/>
  <c r="F142" i="19"/>
  <c r="C141" i="19"/>
  <c r="G140" i="19"/>
  <c r="G139" i="19"/>
  <c r="G138" i="19"/>
  <c r="G124" i="19"/>
  <c r="G123" i="19"/>
  <c r="G122" i="19"/>
  <c r="G121" i="19"/>
  <c r="G120" i="19"/>
  <c r="F117" i="19"/>
  <c r="G117" i="19" s="1"/>
  <c r="G114" i="19"/>
  <c r="G113" i="19"/>
  <c r="G112" i="19"/>
  <c r="G110" i="19"/>
  <c r="G109" i="19"/>
  <c r="G108" i="19"/>
  <c r="C28" i="19"/>
  <c r="B28" i="19"/>
  <c r="C14" i="19"/>
  <c r="B14" i="19"/>
  <c r="C96" i="19"/>
  <c r="B96" i="19"/>
  <c r="C84" i="19"/>
  <c r="B84" i="19"/>
  <c r="C77" i="19"/>
  <c r="C42" i="19"/>
  <c r="B42" i="19"/>
  <c r="C5" i="19"/>
  <c r="B5" i="19"/>
  <c r="D39" i="19"/>
  <c r="G39" i="19" s="1"/>
  <c r="G33" i="19"/>
  <c r="G32" i="19"/>
  <c r="G31" i="19"/>
  <c r="G30" i="19"/>
  <c r="F29" i="19"/>
  <c r="G29" i="19" s="1"/>
  <c r="D25" i="19"/>
  <c r="G25" i="19" s="1"/>
  <c r="D20" i="19"/>
  <c r="F19" i="19"/>
  <c r="G19" i="19" s="1"/>
  <c r="G18" i="19"/>
  <c r="G17" i="19"/>
  <c r="G16" i="19"/>
  <c r="F15" i="19"/>
  <c r="G15" i="19" s="1"/>
  <c r="F101" i="19"/>
  <c r="G101" i="19" s="1"/>
  <c r="G100" i="19"/>
  <c r="G99" i="19"/>
  <c r="G98" i="19"/>
  <c r="F97" i="19"/>
  <c r="G97" i="19" s="1"/>
  <c r="F89" i="19"/>
  <c r="G89" i="19" s="1"/>
  <c r="G88" i="19"/>
  <c r="G87" i="19"/>
  <c r="G86" i="19"/>
  <c r="F85" i="19"/>
  <c r="G85" i="19" s="1"/>
  <c r="G49" i="19"/>
  <c r="G48" i="19"/>
  <c r="G47" i="19"/>
  <c r="G46" i="19"/>
  <c r="G45" i="19"/>
  <c r="G44" i="19"/>
  <c r="G43" i="19"/>
  <c r="G6" i="19"/>
  <c r="F226" i="5" l="1"/>
  <c r="G91" i="20" l="1"/>
  <c r="G87" i="20"/>
  <c r="G86" i="20"/>
  <c r="F84" i="20"/>
  <c r="G83" i="20"/>
  <c r="G82" i="20"/>
  <c r="G81" i="20"/>
  <c r="G80" i="20"/>
  <c r="G74" i="20"/>
  <c r="G73" i="20"/>
  <c r="F68" i="20" l="1"/>
  <c r="G66" i="20"/>
  <c r="G65" i="20"/>
  <c r="G64" i="20"/>
  <c r="G63" i="20"/>
  <c r="G62" i="20"/>
  <c r="G58" i="20"/>
  <c r="E57" i="20" s="1"/>
  <c r="F26" i="20"/>
  <c r="G26" i="20" s="1"/>
  <c r="F24" i="20"/>
  <c r="G23" i="20"/>
  <c r="G22" i="20"/>
  <c r="G21" i="20"/>
  <c r="G20" i="20"/>
  <c r="F53" i="20"/>
  <c r="G52" i="20"/>
  <c r="G51" i="20"/>
  <c r="G50" i="20"/>
  <c r="F46" i="20"/>
  <c r="G46" i="20" s="1"/>
  <c r="F44" i="20"/>
  <c r="G43" i="20"/>
  <c r="G42" i="20"/>
  <c r="G41" i="20"/>
  <c r="G40" i="20"/>
  <c r="F36" i="20"/>
  <c r="G36" i="20" s="1"/>
  <c r="F34" i="20"/>
  <c r="G34" i="20" s="1"/>
  <c r="G33" i="20"/>
  <c r="G32" i="20"/>
  <c r="G31" i="20"/>
  <c r="G30" i="20"/>
  <c r="F16" i="20"/>
  <c r="G16" i="20" s="1"/>
  <c r="F14" i="20"/>
  <c r="G13" i="20"/>
  <c r="G12" i="20"/>
  <c r="G11" i="20"/>
  <c r="G10" i="20"/>
  <c r="E35" i="20" l="1"/>
  <c r="G35" i="20" s="1"/>
  <c r="E29" i="20" s="1"/>
  <c r="G245" i="19" l="1"/>
  <c r="G72" i="19"/>
  <c r="E52" i="5"/>
  <c r="F52" i="5" s="1"/>
  <c r="E45" i="5"/>
  <c r="F45" i="5" s="1"/>
  <c r="E34" i="5"/>
  <c r="F34" i="5" s="1"/>
  <c r="E26" i="5"/>
  <c r="F26" i="5" s="1"/>
  <c r="E43" i="5"/>
  <c r="F43" i="5" s="1"/>
  <c r="G20" i="19"/>
  <c r="G90" i="19"/>
  <c r="G102" i="19"/>
  <c r="G34" i="19"/>
  <c r="C30" i="18" l="1"/>
  <c r="D27" i="18"/>
  <c r="C24" i="18"/>
  <c r="C27" i="18" s="1"/>
  <c r="C31" i="18" l="1"/>
  <c r="C32" i="18"/>
  <c r="C33" i="18"/>
  <c r="C34" i="18"/>
  <c r="C35" i="18"/>
  <c r="C36" i="18"/>
  <c r="C37" i="18"/>
  <c r="C38" i="18"/>
  <c r="C39" i="18"/>
  <c r="C40" i="18"/>
  <c r="C41" i="18"/>
  <c r="C42" i="18"/>
  <c r="C43" i="18"/>
  <c r="C44" i="18"/>
  <c r="C45" i="18"/>
  <c r="D30" i="18"/>
  <c r="E30" i="18" s="1"/>
  <c r="F30" i="18" s="1"/>
  <c r="F54" i="18" l="1"/>
  <c r="E14" i="5"/>
  <c r="D43" i="18"/>
  <c r="E43" i="18" s="1"/>
  <c r="F43" i="18" s="1"/>
  <c r="D39" i="18"/>
  <c r="E39" i="18" s="1"/>
  <c r="F39" i="18" s="1"/>
  <c r="D35" i="18"/>
  <c r="E35" i="18" s="1"/>
  <c r="F35" i="18" s="1"/>
  <c r="D31" i="18"/>
  <c r="E31" i="18" s="1"/>
  <c r="F31" i="18" s="1"/>
  <c r="D42" i="18"/>
  <c r="E42" i="18" s="1"/>
  <c r="F42" i="18" s="1"/>
  <c r="D38" i="18"/>
  <c r="E38" i="18" s="1"/>
  <c r="F38" i="18" s="1"/>
  <c r="D34" i="18"/>
  <c r="E34" i="18" s="1"/>
  <c r="F34" i="18" s="1"/>
  <c r="D45" i="18"/>
  <c r="E45" i="18" s="1"/>
  <c r="F45" i="18" s="1"/>
  <c r="D41" i="18"/>
  <c r="E41" i="18" s="1"/>
  <c r="F41" i="18" s="1"/>
  <c r="D37" i="18"/>
  <c r="E37" i="18" s="1"/>
  <c r="F37" i="18" s="1"/>
  <c r="D33" i="18"/>
  <c r="E33" i="18" s="1"/>
  <c r="F33" i="18" s="1"/>
  <c r="D44" i="18"/>
  <c r="E44" i="18" s="1"/>
  <c r="F44" i="18" s="1"/>
  <c r="D40" i="18"/>
  <c r="E40" i="18" s="1"/>
  <c r="F40" i="18" s="1"/>
  <c r="D36" i="18"/>
  <c r="E36" i="18" s="1"/>
  <c r="F36" i="18" s="1"/>
  <c r="D32" i="18"/>
  <c r="E32" i="18" s="1"/>
  <c r="F32" i="18" s="1"/>
  <c r="E68" i="20" l="1"/>
  <c r="G68" i="20" s="1"/>
  <c r="E69" i="20" s="1"/>
  <c r="G69" i="20" s="1"/>
  <c r="F49" i="18"/>
  <c r="F57" i="18"/>
  <c r="F56" i="18"/>
  <c r="F55" i="18"/>
  <c r="F59" i="18"/>
  <c r="F50" i="18"/>
  <c r="E13" i="5" s="1"/>
  <c r="F52" i="18"/>
  <c r="F48" i="18"/>
  <c r="F51" i="18"/>
  <c r="F47" i="18"/>
  <c r="F58" i="18"/>
  <c r="F46" i="18"/>
  <c r="F53" i="18"/>
  <c r="E23" i="5" l="1"/>
  <c r="E59" i="5"/>
  <c r="G226" i="19"/>
  <c r="G283" i="19"/>
  <c r="G271" i="19"/>
  <c r="G142" i="19"/>
  <c r="E143" i="19" s="1"/>
  <c r="G143" i="19" s="1"/>
  <c r="E100" i="20"/>
  <c r="G100" i="20" s="1"/>
  <c r="G184" i="19"/>
  <c r="E67" i="5"/>
  <c r="E148" i="19"/>
  <c r="G148" i="19" s="1"/>
  <c r="E149" i="19" s="1"/>
  <c r="G149" i="19" s="1"/>
  <c r="G8" i="19"/>
  <c r="G347" i="19"/>
  <c r="E348" i="19" s="1"/>
  <c r="G348" i="19" s="1"/>
  <c r="E340" i="19" s="1"/>
  <c r="E109" i="5" s="1"/>
  <c r="F109" i="5" s="1"/>
  <c r="G115" i="19"/>
  <c r="G50" i="19"/>
  <c r="E51" i="19" s="1"/>
  <c r="G51" i="19" s="1"/>
  <c r="E42" i="19" s="1"/>
  <c r="E73" i="5" s="1"/>
  <c r="G125" i="19"/>
  <c r="E79" i="19"/>
  <c r="G79" i="19" s="1"/>
  <c r="G22" i="19"/>
  <c r="G36" i="19"/>
  <c r="G92" i="19"/>
  <c r="E93" i="19" s="1"/>
  <c r="G93" i="19" s="1"/>
  <c r="G104" i="19"/>
  <c r="E105" i="19" s="1"/>
  <c r="G105" i="19" s="1"/>
  <c r="G324" i="19"/>
  <c r="E325" i="19" s="1"/>
  <c r="G325" i="19" s="1"/>
  <c r="G300" i="19"/>
  <c r="E24" i="20"/>
  <c r="G24" i="20" s="1"/>
  <c r="E25" i="20" s="1"/>
  <c r="G25" i="20" s="1"/>
  <c r="E19" i="20" s="1"/>
  <c r="E44" i="20"/>
  <c r="G44" i="20" s="1"/>
  <c r="E45" i="20" s="1"/>
  <c r="G45" i="20" s="1"/>
  <c r="E39" i="20" s="1"/>
  <c r="E14" i="20"/>
  <c r="G14" i="20" s="1"/>
  <c r="E15" i="20" s="1"/>
  <c r="G15" i="20" s="1"/>
  <c r="E9" i="20" s="1"/>
  <c r="E75" i="20"/>
  <c r="G75" i="20" s="1"/>
  <c r="G76" i="20" s="1"/>
  <c r="E72" i="20" s="1"/>
  <c r="E50" i="5"/>
  <c r="F50" i="5" s="1"/>
  <c r="E31" i="5"/>
  <c r="E53" i="20"/>
  <c r="G53" i="20" s="1"/>
  <c r="E54" i="20" s="1"/>
  <c r="G54" i="20" s="1"/>
  <c r="E49" i="20" s="1"/>
  <c r="E84" i="20"/>
  <c r="G84" i="20" s="1"/>
  <c r="E246" i="19" l="1"/>
  <c r="G246" i="19" s="1"/>
  <c r="E239" i="19" s="1"/>
  <c r="E95" i="5" s="1"/>
  <c r="F95" i="5" s="1"/>
  <c r="E70" i="19"/>
  <c r="G70" i="19" s="1"/>
  <c r="E65" i="19" s="1"/>
  <c r="E75" i="5" s="1"/>
  <c r="F75" i="5" s="1"/>
  <c r="G288" i="19"/>
  <c r="E287" i="19" s="1"/>
  <c r="E100" i="5" s="1"/>
  <c r="F100" i="5" s="1"/>
  <c r="G111" i="19"/>
  <c r="E301" i="19"/>
  <c r="G301" i="19" s="1"/>
  <c r="E293" i="19" s="1"/>
  <c r="E103" i="5" s="1"/>
  <c r="E49" i="5"/>
  <c r="F49" i="5" s="1"/>
  <c r="E15" i="5"/>
  <c r="F124" i="5"/>
  <c r="E116" i="19"/>
  <c r="G116" i="19" s="1"/>
  <c r="E9" i="19"/>
  <c r="G9" i="19" s="1"/>
  <c r="E10" i="19" s="1"/>
  <c r="G10" i="19" s="1"/>
  <c r="E11" i="19"/>
  <c r="G11" i="19" s="1"/>
  <c r="E101" i="20"/>
  <c r="G101" i="20" s="1"/>
  <c r="E95" i="20" s="1"/>
  <c r="E228" i="19"/>
  <c r="G228" i="19" s="1"/>
  <c r="E227" i="19"/>
  <c r="G227" i="19" s="1"/>
  <c r="G78" i="19"/>
  <c r="G282" i="19"/>
  <c r="G7" i="19"/>
  <c r="E23" i="19"/>
  <c r="G23" i="19" s="1"/>
  <c r="E24" i="19"/>
  <c r="G24" i="19" s="1"/>
  <c r="E81" i="19"/>
  <c r="G81" i="19" s="1"/>
  <c r="E80" i="19"/>
  <c r="G80" i="19" s="1"/>
  <c r="E126" i="19"/>
  <c r="G126" i="19" s="1"/>
  <c r="E119" i="19" s="1"/>
  <c r="E82" i="5" s="1"/>
  <c r="F82" i="5" s="1"/>
  <c r="E272" i="19"/>
  <c r="G272" i="19" s="1"/>
  <c r="E273" i="19"/>
  <c r="G273" i="19" s="1"/>
  <c r="E103" i="19"/>
  <c r="E35" i="19"/>
  <c r="G35" i="19" s="1"/>
  <c r="E21" i="19"/>
  <c r="G21" i="19" s="1"/>
  <c r="E91" i="19"/>
  <c r="E37" i="19"/>
  <c r="G37" i="19" s="1"/>
  <c r="E38" i="19"/>
  <c r="G38" i="19" s="1"/>
  <c r="E315" i="19"/>
  <c r="E105" i="5" s="1"/>
  <c r="E66" i="5"/>
  <c r="E87" i="5"/>
  <c r="F87" i="5" s="1"/>
  <c r="E186" i="19"/>
  <c r="G186" i="19" s="1"/>
  <c r="E185" i="19"/>
  <c r="G185" i="19" s="1"/>
  <c r="E284" i="19"/>
  <c r="G284" i="19" s="1"/>
  <c r="E38" i="5"/>
  <c r="E85" i="20"/>
  <c r="G85" i="20" s="1"/>
  <c r="E79" i="20" s="1"/>
  <c r="E67" i="20"/>
  <c r="G67" i="20" s="1"/>
  <c r="E61" i="20" s="1"/>
  <c r="E17" i="5" s="1"/>
  <c r="E16" i="5"/>
  <c r="E12" i="5"/>
  <c r="E41" i="5"/>
  <c r="E40" i="5"/>
  <c r="E92" i="20"/>
  <c r="G92" i="20" s="1"/>
  <c r="E90" i="20" s="1"/>
  <c r="E107" i="19" l="1"/>
  <c r="E81" i="5" s="1"/>
  <c r="F81" i="5" s="1"/>
  <c r="F105" i="5"/>
  <c r="E281" i="19"/>
  <c r="E99" i="5" s="1"/>
  <c r="F99" i="5" s="1"/>
  <c r="G103" i="19"/>
  <c r="E96" i="19" s="1"/>
  <c r="E78" i="5" s="1"/>
  <c r="G91" i="19"/>
  <c r="E84" i="19" s="1"/>
  <c r="E77" i="5" s="1"/>
  <c r="E64" i="5"/>
  <c r="E44" i="5"/>
  <c r="E33" i="5"/>
  <c r="E46" i="5"/>
  <c r="E53" i="5"/>
  <c r="F53" i="5" s="1"/>
  <c r="E224" i="19"/>
  <c r="E93" i="5" s="1"/>
  <c r="F93" i="5" s="1"/>
  <c r="E28" i="19"/>
  <c r="E72" i="5" s="1"/>
  <c r="E201" i="19"/>
  <c r="E91" i="5" s="1"/>
  <c r="F91" i="5" s="1"/>
  <c r="E175" i="19"/>
  <c r="E77" i="19"/>
  <c r="E76" i="5" s="1"/>
  <c r="E5" i="19"/>
  <c r="E70" i="5" s="1"/>
  <c r="E265" i="19"/>
  <c r="E97" i="5" s="1"/>
  <c r="F97" i="5" s="1"/>
  <c r="E14" i="19"/>
  <c r="E71" i="5" s="1"/>
  <c r="E141" i="19"/>
  <c r="G141" i="19" s="1"/>
  <c r="E137" i="19" s="1"/>
  <c r="E84" i="5" s="1"/>
  <c r="F84" i="5" s="1"/>
  <c r="G147" i="19"/>
  <c r="E146" i="19" s="1"/>
  <c r="E85" i="5" s="1"/>
  <c r="F85" i="5" s="1"/>
  <c r="E22" i="5"/>
  <c r="E20" i="5"/>
  <c r="E21" i="5"/>
  <c r="E48" i="5"/>
  <c r="E24" i="5"/>
  <c r="F24" i="5" s="1"/>
  <c r="E32" i="5"/>
  <c r="E47" i="5"/>
  <c r="E42" i="5"/>
  <c r="E39" i="5"/>
  <c r="E51" i="5"/>
  <c r="E29" i="5"/>
  <c r="E89" i="5" l="1"/>
  <c r="F89" i="5" s="1"/>
  <c r="E90" i="5"/>
  <c r="F90" i="5" s="1"/>
  <c r="F106" i="5" l="1"/>
  <c r="F104" i="5"/>
  <c r="F103" i="5"/>
  <c r="F73" i="5" l="1"/>
  <c r="F71" i="5"/>
  <c r="F72" i="5"/>
  <c r="F77" i="5"/>
  <c r="F78" i="5"/>
  <c r="F48" i="5" l="1"/>
  <c r="F65" i="5"/>
  <c r="F51" i="5" l="1"/>
  <c r="F70" i="5"/>
  <c r="F59" i="5" l="1"/>
  <c r="F76" i="5"/>
  <c r="F66" i="5"/>
  <c r="F67" i="5" l="1"/>
  <c r="F64" i="5" l="1"/>
  <c r="F44" i="5" l="1"/>
  <c r="F46" i="5"/>
  <c r="F47" i="5"/>
  <c r="F38" i="5"/>
  <c r="F42" i="5" l="1"/>
  <c r="F33" i="5" l="1"/>
  <c r="F32" i="5"/>
  <c r="F41" i="5"/>
  <c r="F39" i="5"/>
  <c r="F40" i="5"/>
  <c r="F30" i="5" l="1"/>
  <c r="F31" i="5" l="1"/>
  <c r="F20" i="5" l="1"/>
  <c r="F29" i="5"/>
  <c r="F21" i="5" l="1"/>
  <c r="F22" i="5" l="1"/>
  <c r="F15" i="5" l="1"/>
  <c r="F16" i="5"/>
  <c r="F17" i="5"/>
  <c r="F23" i="5"/>
  <c r="F25" i="5"/>
  <c r="F12" i="5" l="1"/>
  <c r="F14" i="5"/>
  <c r="F13" i="5"/>
  <c r="F278" i="5" l="1"/>
  <c r="F279" i="5" s="1"/>
  <c r="F281" i="5" s="1"/>
</calcChain>
</file>

<file path=xl/sharedStrings.xml><?xml version="1.0" encoding="utf-8"?>
<sst xmlns="http://schemas.openxmlformats.org/spreadsheetml/2006/main" count="2473" uniqueCount="796">
  <si>
    <t>Cod.</t>
  </si>
  <si>
    <t>Item</t>
  </si>
  <si>
    <t>Un</t>
  </si>
  <si>
    <t>Cant.</t>
  </si>
  <si>
    <t>Costo Directo</t>
  </si>
  <si>
    <t>Valor total</t>
  </si>
  <si>
    <t>1,00 PRELIMINARES</t>
  </si>
  <si>
    <t>m²</t>
  </si>
  <si>
    <t>m</t>
  </si>
  <si>
    <t>2,00 EXCAVACIONES Y LLENOS</t>
  </si>
  <si>
    <t>m³</t>
  </si>
  <si>
    <t>3,00 BASES Y LOSAS CONTRA PISO</t>
  </si>
  <si>
    <t>4,00 ESTRUCTURAS DE CONCRETO</t>
  </si>
  <si>
    <t>4.01</t>
  </si>
  <si>
    <t>5,00 ESTRUCTURAS METALICAS</t>
  </si>
  <si>
    <t>un</t>
  </si>
  <si>
    <t>10.02</t>
  </si>
  <si>
    <t>10.03</t>
  </si>
  <si>
    <t>10.04</t>
  </si>
  <si>
    <t>10.05</t>
  </si>
  <si>
    <t>10.06</t>
  </si>
  <si>
    <t>10.07</t>
  </si>
  <si>
    <t>(A)</t>
  </si>
  <si>
    <t>(B)</t>
  </si>
  <si>
    <t>TOTAL OBRA</t>
  </si>
  <si>
    <t>(C) = (A+B)</t>
  </si>
  <si>
    <t>kg</t>
  </si>
  <si>
    <t xml:space="preserve">SUBTOTAL </t>
  </si>
  <si>
    <t>6,00 CUBIERTAS E IMPERMEABILIZACIONES</t>
  </si>
  <si>
    <t>7,00 MAMPOSTERIA Y REVOQUES</t>
  </si>
  <si>
    <t>8,00 ACABADOS PISOS MUROS Y CIELOS</t>
  </si>
  <si>
    <t>10.01</t>
  </si>
  <si>
    <t>9,00 CARPINTERIA METALICA</t>
  </si>
  <si>
    <t>10,00 CARPINTERIA ALUMINIO</t>
  </si>
  <si>
    <t>4.10</t>
  </si>
  <si>
    <t>4.11</t>
  </si>
  <si>
    <t>4.02</t>
  </si>
  <si>
    <t>4.03</t>
  </si>
  <si>
    <t>4.04</t>
  </si>
  <si>
    <t>4.08</t>
  </si>
  <si>
    <t>4.12</t>
  </si>
  <si>
    <t>10.08</t>
  </si>
  <si>
    <t>10.09</t>
  </si>
  <si>
    <t>Kg</t>
  </si>
  <si>
    <t>Excavación en material común seco de 0 - 2 m manual</t>
  </si>
  <si>
    <t>4.06</t>
  </si>
  <si>
    <t>4.07</t>
  </si>
  <si>
    <t>4.15</t>
  </si>
  <si>
    <t>Instalación de muro seco en lámina de fibrocemento FC 10mm (1 cara) Fachada (Incluye montaje en altura + sum e inst perfilería de soporte, tratamiento de juntas + estuco plástico)</t>
  </si>
  <si>
    <t>4.16</t>
  </si>
  <si>
    <t>M</t>
  </si>
  <si>
    <t>11,00 RED HIDROSANITARIA</t>
  </si>
  <si>
    <t>10.10</t>
  </si>
  <si>
    <t>ANÁLISIS MANO DE OBRA</t>
  </si>
  <si>
    <t>Subsidio de Transporte (salario &lt;= 2 SMMLV)</t>
  </si>
  <si>
    <t>DESCRIPCIÓN</t>
  </si>
  <si>
    <t>SALARIO &lt;= 2 SMMLV</t>
  </si>
  <si>
    <t>SALARIO &gt; 2 SMMLV</t>
  </si>
  <si>
    <t>PERSONAL TÉCNICO, OPERATIVO
Riesgo Clase V</t>
  </si>
  <si>
    <t>PRESTACIONES SOCIALES</t>
  </si>
  <si>
    <t>Cesantías</t>
  </si>
  <si>
    <t>Intereses cesantías</t>
  </si>
  <si>
    <t>Vacaciones</t>
  </si>
  <si>
    <t>Prima</t>
  </si>
  <si>
    <t>Dotación</t>
  </si>
  <si>
    <t>SEGURIDAD SOCIAL</t>
  </si>
  <si>
    <t>Aportes régimen general de pensiones (I.V.M)</t>
  </si>
  <si>
    <t>Aporte riesgos profesionales A.R.P.</t>
  </si>
  <si>
    <t>Aportes régimen contributivo de salud</t>
  </si>
  <si>
    <t>Certificado trabajo seguro en alturas</t>
  </si>
  <si>
    <t>OTROS APORTES</t>
  </si>
  <si>
    <t>Aportes FIC</t>
  </si>
  <si>
    <t>I.C.B.F.</t>
  </si>
  <si>
    <t>Comfamiliar</t>
  </si>
  <si>
    <t>Subsidio de transporte</t>
  </si>
  <si>
    <t>Dias festivos (18 al año)</t>
  </si>
  <si>
    <t>Examenes medicos de ingreso y egreso</t>
  </si>
  <si>
    <t>NOMBRE</t>
  </si>
  <si>
    <t>SALARIO MENSUAL</t>
  </si>
  <si>
    <t>PRESTACIONES Y APORTES</t>
  </si>
  <si>
    <t>SALARIO + PRESTACIONES</t>
  </si>
  <si>
    <t>SALARIO DIA</t>
  </si>
  <si>
    <t>Ayudante</t>
  </si>
  <si>
    <t>Ayudante práctico</t>
  </si>
  <si>
    <t>Oficial</t>
  </si>
  <si>
    <t>Cadenero 1</t>
  </si>
  <si>
    <t>Cadenero 2</t>
  </si>
  <si>
    <t>Liniero cat 1</t>
  </si>
  <si>
    <t>Liniero cat 2</t>
  </si>
  <si>
    <t>Maestro de obra</t>
  </si>
  <si>
    <t>Minero</t>
  </si>
  <si>
    <t>Oficial eléctrico</t>
  </si>
  <si>
    <t>Oficial pintor</t>
  </si>
  <si>
    <t>Operador de maquinaria</t>
  </si>
  <si>
    <t>Soldador</t>
  </si>
  <si>
    <t>Topógrafo</t>
  </si>
  <si>
    <t>Profesional en salud ocupacional</t>
  </si>
  <si>
    <t>Ayudante eléctrico</t>
  </si>
  <si>
    <t>Cuadrilla E 1 Of + 1 Ay (jornal + prestaciones)</t>
  </si>
  <si>
    <t>Cuadrilla G 1 Of + 2 Ay (jornal + prestaciones)</t>
  </si>
  <si>
    <t>Cuadrilla A 1 Of + 4 Ay (jornal + prestaciones)</t>
  </si>
  <si>
    <t>Cuadrilla B 1 Min + 2 Ay (jornal + prestaciones)</t>
  </si>
  <si>
    <t>Comisión topografía (topógrafo + Cadenero 1 + 2 Cadeneros 2)</t>
  </si>
  <si>
    <t>Cuadrilla C 1 Of + 7 Ay (jornal + prestaciones)</t>
  </si>
  <si>
    <t>Cuadrilla D 2 Of + 4 Ay (jornal + prestaciones)</t>
  </si>
  <si>
    <t>Cuadrilla F 6 Of + 4 Ay (jornal + prestaciones)</t>
  </si>
  <si>
    <t>Cuadrilla H 4 Ay (jornal + prestaciones)</t>
  </si>
  <si>
    <t>Cuadrilla J (1 Of eléctrico+1Ay eléctrico) (jornal + prestaciones)</t>
  </si>
  <si>
    <t>Cuadrilla K (1Of eléctrico+2Ay eléctricos) (jornal + prestaciones)</t>
  </si>
  <si>
    <t>Cuadrilla S (1Sold.+1Ay práctico) (jornal + prestaciones)</t>
  </si>
  <si>
    <t>Cuadrilla L 2 Of + 8 Ay (jornal + prestaciones)</t>
  </si>
  <si>
    <t>Cuadrilla M 1 Of + 3 Ay (jornal + prestaciones)</t>
  </si>
  <si>
    <t>MAT</t>
  </si>
  <si>
    <t>M2</t>
  </si>
  <si>
    <t>ITEMS</t>
  </si>
  <si>
    <t>ITE103</t>
  </si>
  <si>
    <t>Concreto de 10,3 Mpa (producción)</t>
  </si>
  <si>
    <t>M3</t>
  </si>
  <si>
    <t>M . O</t>
  </si>
  <si>
    <t>Día</t>
  </si>
  <si>
    <t>EQUIPO</t>
  </si>
  <si>
    <t>Herramienta menor (% mano obra)</t>
  </si>
  <si>
    <t>%MO</t>
  </si>
  <si>
    <r>
      <t>M</t>
    </r>
    <r>
      <rPr>
        <b/>
        <vertAlign val="superscript"/>
        <sz val="10"/>
        <color indexed="8"/>
        <rFont val="Arial"/>
        <family val="2"/>
      </rPr>
      <t>3</t>
    </r>
  </si>
  <si>
    <t>Cemento gris saco por 50 kilos, incluye cargue, descargue y transporte</t>
  </si>
  <si>
    <t>Sc</t>
  </si>
  <si>
    <t>Arena</t>
  </si>
  <si>
    <r>
      <t>M</t>
    </r>
    <r>
      <rPr>
        <vertAlign val="superscript"/>
        <sz val="10"/>
        <rFont val="Arial"/>
        <family val="2"/>
      </rPr>
      <t>3</t>
    </r>
  </si>
  <si>
    <t>Triturado</t>
  </si>
  <si>
    <t xml:space="preserve">Agua </t>
  </si>
  <si>
    <t>Lt</t>
  </si>
  <si>
    <t>Concretadora gasolina de 1 o 1 1/2 sacos</t>
  </si>
  <si>
    <t>ITE101</t>
  </si>
  <si>
    <t>Concreto de 20,7 Mpa (3000 psi) (producción)</t>
  </si>
  <si>
    <t>ITE100</t>
  </si>
  <si>
    <t>Concreto de 27,6 Mpa (4000) (producción)</t>
  </si>
  <si>
    <t>Agua</t>
  </si>
  <si>
    <t>ITE105</t>
  </si>
  <si>
    <t>Mortero 1:3 (producción)</t>
  </si>
  <si>
    <t>Lb</t>
  </si>
  <si>
    <t>Cuartón de sajo 2" x 4" x 2,9 m</t>
  </si>
  <si>
    <t>Pintura esmalte para exteriores</t>
  </si>
  <si>
    <t>Gl</t>
  </si>
  <si>
    <t>Tabla para formaleta de 1" x 10" x 2,9 m</t>
  </si>
  <si>
    <t>Puntilla (promedio)</t>
  </si>
  <si>
    <t>ITE102</t>
  </si>
  <si>
    <t>Concreto de 17,2 Mpa (2500 psi) (producción)</t>
  </si>
  <si>
    <t>MANO DE OBRA</t>
  </si>
  <si>
    <t>ITE061</t>
  </si>
  <si>
    <t>Transporte material &lt; 40 Km (corte, sub-base. base. afirmado)</t>
  </si>
  <si>
    <r>
      <t>M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-Km</t>
    </r>
  </si>
  <si>
    <r>
      <t>Volqueta 7 m</t>
    </r>
    <r>
      <rPr>
        <vertAlign val="superscript"/>
        <sz val="10"/>
        <rFont val="Arial"/>
        <family val="2"/>
      </rPr>
      <t>3</t>
    </r>
  </si>
  <si>
    <t>Hr</t>
  </si>
  <si>
    <t>Alambre cobre #   8 AWG</t>
  </si>
  <si>
    <t>Oficial eléctrico (jornal + prestaciones)</t>
  </si>
  <si>
    <t>ITE712</t>
  </si>
  <si>
    <t>Tablero de 4 circuitos, incluye breakers</t>
  </si>
  <si>
    <t>Cinta aislante  rollo 19 mm x 20 m.3/4</t>
  </si>
  <si>
    <t>Tablero de 4 circuitos</t>
  </si>
  <si>
    <t>Breaker monofásico de 20A de incrustar</t>
  </si>
  <si>
    <t>Alambre cobre # 10 AWG</t>
  </si>
  <si>
    <t>Restitución con afirmado y cemento 5 % del peso</t>
  </si>
  <si>
    <t>MATERIALES</t>
  </si>
  <si>
    <r>
      <t>M</t>
    </r>
    <r>
      <rPr>
        <b/>
        <vertAlign val="superscript"/>
        <sz val="10"/>
        <color indexed="8"/>
        <rFont val="Arial"/>
        <family val="2"/>
      </rPr>
      <t>2</t>
    </r>
  </si>
  <si>
    <t>Antisol blanco</t>
  </si>
  <si>
    <t>Concreto de 20,7 Mpa (producción)</t>
  </si>
  <si>
    <t xml:space="preserve">Varillón de sajo 3x3 </t>
  </si>
  <si>
    <t>Concreto de 27,6 Mpa (producción)</t>
  </si>
  <si>
    <t>ITE107</t>
  </si>
  <si>
    <t>Acero Fy = 60.000 psi</t>
  </si>
  <si>
    <t>Ensayo resistencia concretos</t>
  </si>
  <si>
    <t>Acero Fy = 60.000 psi d&gt;1/4"</t>
  </si>
  <si>
    <t>Acero Fy = 60.000 psi d&gt;1/4" puesto en obra</t>
  </si>
  <si>
    <t xml:space="preserve">Alambre negro calibre 18 </t>
  </si>
  <si>
    <t>ACPM</t>
  </si>
  <si>
    <t>Andamio (% mano obra)</t>
  </si>
  <si>
    <t>Taco metálico de 2 - &gt;3 m</t>
  </si>
  <si>
    <t>ITE195</t>
  </si>
  <si>
    <t>Formaleta placa (básico)</t>
  </si>
  <si>
    <r>
      <t>M</t>
    </r>
    <r>
      <rPr>
        <vertAlign val="superscript"/>
        <sz val="10"/>
        <rFont val="Arial"/>
        <family val="2"/>
      </rPr>
      <t>2</t>
    </r>
  </si>
  <si>
    <t>Tablero formaleta 90*135</t>
  </si>
  <si>
    <t>ITE194</t>
  </si>
  <si>
    <t>Concreto de 27,6 Mpa (4.000 psi) impermeabilizado (producción)</t>
  </si>
  <si>
    <t>Impermeabilizante para concreto</t>
  </si>
  <si>
    <t>Soldadura para hierro estructural</t>
  </si>
  <si>
    <t>Anticorrosivo gris</t>
  </si>
  <si>
    <t>Equipo soldadura eléctrica</t>
  </si>
  <si>
    <t>Und</t>
  </si>
  <si>
    <t>EQUIPOS</t>
  </si>
  <si>
    <t>GLB</t>
  </si>
  <si>
    <t>Valla de identificación de obra área mayor a 4 m2, colocada en cerchas metálica, incluye mantenimiento durante la construcción</t>
  </si>
  <si>
    <t>4.17</t>
  </si>
  <si>
    <t>4.18</t>
  </si>
  <si>
    <t>4.19</t>
  </si>
  <si>
    <t>10.11</t>
  </si>
  <si>
    <t>UN</t>
  </si>
  <si>
    <t>Ladrillo farol rayado de 0,10 x 0,20 x 0,30 m</t>
  </si>
  <si>
    <t>Lámina de fibrocemento de 10 mm</t>
  </si>
  <si>
    <t>Tornillo drywall 6 x 1"</t>
  </si>
  <si>
    <t>Tornillo estructura drywall 8 x 12"</t>
  </si>
  <si>
    <t>Cinta de papel</t>
  </si>
  <si>
    <t>Estuco listo</t>
  </si>
  <si>
    <t>Cemento blanco</t>
  </si>
  <si>
    <t>Cera</t>
  </si>
  <si>
    <t>Dilatación PVC flexible ancha x 2 m</t>
  </si>
  <si>
    <t>Baldosa tipo Terrazzo No. 1 P5B de 30 x 30 cm</t>
  </si>
  <si>
    <t>Boquilla para enchape</t>
  </si>
  <si>
    <t>Fijador de cerámica</t>
  </si>
  <si>
    <t>Pulidora sin operario</t>
  </si>
  <si>
    <t>ITE230</t>
  </si>
  <si>
    <t>Piso en gravilla lavada, incluye dilatación flexible no incluye mortero</t>
  </si>
  <si>
    <t>Alas para cerámica (wings)</t>
  </si>
  <si>
    <r>
      <t>Piso en gravilla lavada, incluye dilatación flexible</t>
    </r>
    <r>
      <rPr>
        <b/>
        <sz val="10"/>
        <color indexed="8"/>
        <rFont val="Arial"/>
        <family val="2"/>
      </rPr>
      <t xml:space="preserve"> no incluye mortero</t>
    </r>
  </si>
  <si>
    <t>Gravilla tipo gualanday</t>
  </si>
  <si>
    <t>Omega en 63 liviana en 2,4</t>
  </si>
  <si>
    <t>Vigueta principal en 2,4</t>
  </si>
  <si>
    <t>Angulo perimetral de 2,44</t>
  </si>
  <si>
    <t>Masilla topex joint</t>
  </si>
  <si>
    <t>Estuco (25 Kg)</t>
  </si>
  <si>
    <t>Pintura texturizada hidrorepelente</t>
  </si>
  <si>
    <t>Platina 1/4"</t>
  </si>
  <si>
    <t>Tubo metálico redondo 1 1/2" cal 2.5mm</t>
  </si>
  <si>
    <t>UND</t>
  </si>
  <si>
    <t>GL</t>
  </si>
  <si>
    <t>ML</t>
  </si>
  <si>
    <t>Varilla de cobre 5/8" x 2,40 m + conector</t>
  </si>
  <si>
    <t>Cinta bandit de 3/4"</t>
  </si>
  <si>
    <t>Impermeabilización terrazas con membrana tipo Sikaplan B/A ó similar (Incluye geotextil NT bajo mortero)</t>
  </si>
  <si>
    <t>m2</t>
  </si>
  <si>
    <t>ANÁLISIS DE PRECIOS UNITARIOS</t>
  </si>
  <si>
    <t>AIU</t>
  </si>
  <si>
    <t>5.01</t>
  </si>
  <si>
    <t>Cubierta sistema arquitectonico en policarbonato celular tipo 10 mm en gris control solar (según diseño). Incluye conectores, remates y elementos de fijacion</t>
  </si>
  <si>
    <t>ml</t>
  </si>
  <si>
    <t>Localización y replanteo de obra</t>
  </si>
  <si>
    <t>Cerramiento provisional en tela de Polipropileno + guadua H=2 m (incluye mantenimiento y desmonte)</t>
  </si>
  <si>
    <t>Campamento en teja AC + Tabla + Placa piso (Incluye red eléctrica interna y baños 2)</t>
  </si>
  <si>
    <t>Instalación de red provisional de agua en Suministro en instalacíon de tubería pvc presión 1/2" + manguera PF (incluye accesorios y puntos con llave terminal)</t>
  </si>
  <si>
    <t>Instalación de red provisional de energía (incluye 3 cables No. 8, conectores, puesta a tierra, tablero de 4 circuitos, 4 interruptores y medidor)</t>
  </si>
  <si>
    <t>Nivelación terreno Manual e &lt;=20cm</t>
  </si>
  <si>
    <t>LLENO COMP MATER SITIO     MAN</t>
  </si>
  <si>
    <t>Cargue, retiro de escombros y material sobrante en escombrera autorizada dentro del área metropolitana</t>
  </si>
  <si>
    <t>m3</t>
  </si>
  <si>
    <t>Excavación MEC de material común abierto</t>
  </si>
  <si>
    <t>Concreto ciclópeo</t>
  </si>
  <si>
    <t>AFIRMADO Su+Tr+Ri+Co MAN (incluye ensayos de compactación según requerimientos de la interventoría)</t>
  </si>
  <si>
    <t>Sub Base Su+Tr+Ri+Co MAN TIPO INVÍAS (incluye ensayos de compactación según requerimientos de la interventoría)</t>
  </si>
  <si>
    <t>PLACA PISO C20.7 MPa E=.10 m</t>
  </si>
  <si>
    <t xml:space="preserve"> m2</t>
  </si>
  <si>
    <t>Pav Mr=4.1 MPa H=.175m PREM</t>
  </si>
  <si>
    <t>Sardinel T1 C20.7 Mpa S/placa</t>
  </si>
  <si>
    <t>3.06</t>
  </si>
  <si>
    <t>Andén en concreto e = 0.07m (acabado escobeado)</t>
  </si>
  <si>
    <t>3.07</t>
  </si>
  <si>
    <t>Rampa en concreto sobre suelo e=10cm + acbado en granito lavado gualanday</t>
  </si>
  <si>
    <t>Acero refuerzo Fy 420</t>
  </si>
  <si>
    <t>SOLADO Conc f'c=10.3 Mpa</t>
  </si>
  <si>
    <t>Zapata en concreto de C20.7 Mpa</t>
  </si>
  <si>
    <t>Viga CIM C20.7 MPa Secc C</t>
  </si>
  <si>
    <t>Columna en concreto C20.7MPa (a la vista)</t>
  </si>
  <si>
    <t>Pedestal Tipo 1</t>
  </si>
  <si>
    <t>Viga AER C20.7MPa Sec C.0601-.900 (a la vista)</t>
  </si>
  <si>
    <t>Viga AER C20.7MPa Sec D.0901-.1600 (a la vista)</t>
  </si>
  <si>
    <t>Placa tipo steel deck según diseño e=10cm (incluye lámina colaborante, elementos de fijación y concreto de 20.7 Mpa</t>
  </si>
  <si>
    <t xml:space="preserve">Pantalla concreto a la vista de 20.7 Mpa </t>
  </si>
  <si>
    <t>Corte y sello para losas de contrapiso y pavimentos (incluye cordón en polietileno y sello con poliuretano)</t>
  </si>
  <si>
    <t>Anclaje acero 3/8"</t>
  </si>
  <si>
    <t>Anclaje acero 1/2"</t>
  </si>
  <si>
    <t>Concreto de baja permeabilidad de 27,6 Mpa para losa de fondo, muros y losa superior en tanque de agua y cuarto de equipos (acabado interno liso)</t>
  </si>
  <si>
    <t>Viga canal en concreto de baja permeabilidad (según diseño) 20.7 Mpa (a la vista)</t>
  </si>
  <si>
    <t>Escala en concreto a la vista sobre terreno - Huella y contrahuella (incluye nariz antideslizante según diseño)</t>
  </si>
  <si>
    <t xml:space="preserve">Muro No estructural curvo en concreto a la vista espesor &lt;10cm (2 caras a la vista con bisagrante de 8cm debidamente cepilladas en orientación vertical). Según diseño </t>
  </si>
  <si>
    <t>Suministro e instalación de malla electrosoldada</t>
  </si>
  <si>
    <t>Muro antepecho en concreto de 21 Mpa (a la vista) h = &lt; 0,90m     a = 0,15m</t>
  </si>
  <si>
    <t>Salario Mínimo Mensual Legal Vigente año 2021</t>
  </si>
  <si>
    <t>4.05</t>
  </si>
  <si>
    <t>4.09</t>
  </si>
  <si>
    <t>4.13</t>
  </si>
  <si>
    <t>4.14</t>
  </si>
  <si>
    <t>Suministro y armado de estructura Metálica para cubierta + izaje (Incluye platinas, pernos, elementos de fijación, tensores, pruebas de soldadura, anticorrosivo y pintura esmalte)</t>
  </si>
  <si>
    <t>KG</t>
  </si>
  <si>
    <t>5.02</t>
  </si>
  <si>
    <t>Suministro y armado de estructura Metálica Especial + izaje (Incluye platinas, pernos, elementos de fijación, tensores, pruebas de soldadura, anticorrosivo y pintura esmalte)</t>
  </si>
  <si>
    <t>5.03</t>
  </si>
  <si>
    <t>Suministro y armado de estructura Metálica para escalera - según diseño estructural</t>
  </si>
  <si>
    <t>6.01</t>
  </si>
  <si>
    <t>Placa maciza inclinada en concreto premezclado de baja permeabilidad 20,7 Mpa según diseño e=10cm (incluye microfibra + aditivos tipo Plastocrete DM y sistema de bombeo)</t>
  </si>
  <si>
    <t>Recubrimiento en sikafloor 156 Impr + sikafloor 261 color azúl (incl destr + pulida concreto)</t>
  </si>
  <si>
    <t>MURO LADRILLO FAROL PAND  W=0.10m</t>
  </si>
  <si>
    <t>Viga amarre muros Conf C20.7MPa +Rf</t>
  </si>
  <si>
    <t>Col  RECT Conf C20.7MPa +Rf</t>
  </si>
  <si>
    <t>Bordillo en concreto C20.7 Secc 0.09 x 0.14 S/placa para apoyo de muro en sistema liviano (incluye dilataciones y refuerzo) (no incluye anclajes)</t>
  </si>
  <si>
    <t>Revoque muros interiores y exteriores (incluye carteras+filos+dilataciones)</t>
  </si>
  <si>
    <t>CONSTRUCCIÓN DE LA NUEVA ESTACIÓN DEL CUERPO DE BOMBEROS LOCALIZADA EN EL SECTOR DE LAS BRISAS DE LA CIUDAD DE PEREIRA</t>
  </si>
  <si>
    <t>Suministro e instalación de piso baldosa de grano tipo terrazzo blanco huila grano N° 1 y 2, destroncado y pulido (Incluye alistado en mortero y dilataciones plásticas)</t>
  </si>
  <si>
    <t>Suministro e instalación G/escoba baldosa tipo terrazzo pulido y biselado</t>
  </si>
  <si>
    <t>Piso en tablón de gres 30 X 30 de Alfa ó similar (Incluye franjas en gravilla lavada según diseño)</t>
  </si>
  <si>
    <t>Enchape porcelanato pared Blanco mate .60 x .60 tipo (rectificado)</t>
  </si>
  <si>
    <t>Empradización zonas verdes</t>
  </si>
  <si>
    <t>Cenefa en malla acero tipo cristanac para baños tipo Alfa a=0.30m</t>
  </si>
  <si>
    <t>Cielo raso en lámina de yeso 12mm junta perdida + estructura en perfilería galvanizada (Incluye tratamiento de juntas)</t>
  </si>
  <si>
    <t>Cielo raso en lámina de yeso RH 12mm junta perdida + estructura en perfilería galvanizada (Incluye tratamiento de juntas)</t>
  </si>
  <si>
    <t>Aplicación de ESTUCO + PINT VINIL TIPO 1 MUROS (3 manos)</t>
  </si>
  <si>
    <t>Aplicación de ESTUCO + PINT VINIL TIPO 1 CIELOS (3 manos)</t>
  </si>
  <si>
    <t>Suministro e instalación de adoquín peatonal 6 x 10 x 20 (color) (incluye cama de arena)</t>
  </si>
  <si>
    <t>Cinta de confinamiento para adoquines Secc 0.10 x 0.20 C20.7 mpa  S/suelo (a la vista) (incluye dilataciones y refuerzo)</t>
  </si>
  <si>
    <t>Cielo raso en lámina de yeso RF5/8" (doble lámina) junta perdida + estructura en perfilería galvanizada (Incluye tratamiento de juntas)</t>
  </si>
  <si>
    <t>Suministro e instalación de enchape en piedra arenisca tipo Labor (GRAMAR) (incluye carteras) Cortes y cantos a 45°</t>
  </si>
  <si>
    <t>Suministro de instalación de mueble en madecor RH de 18mm + puertas y cajones con rieles full extension + mesón en granito san gabriel de 20mm con salpicadero y faldón (incluye equipo de horno y hornillas + pozuelo en acero inoxidable)</t>
  </si>
  <si>
    <t>Grifería monocontrol cuello de ganso para lavaplatos de cuerpo metálico y sistema interior metálico</t>
  </si>
  <si>
    <t>Alzado en concreto para mueble de cocina</t>
  </si>
  <si>
    <t>Análisis Mano de Obra</t>
  </si>
  <si>
    <t>Cortadora de agua</t>
  </si>
  <si>
    <t>Unidad:</t>
  </si>
  <si>
    <t>UNIDAD</t>
  </si>
  <si>
    <t>CANT.</t>
  </si>
  <si>
    <t xml:space="preserve"> VR. PARCIAL </t>
  </si>
  <si>
    <t>VR. TOTAL</t>
  </si>
  <si>
    <t>Cable de CU 12 AWG, (LS) Baja emisión de humos, (HF) Libre de Alogenos, (FR) Retardante a la llama, (CT) Apto para bandeja tipo CT, (PE) Aislado con Poliolefina</t>
  </si>
  <si>
    <t xml:space="preserve">Cable encauchetado Cu AWG 3X14 </t>
  </si>
  <si>
    <t>Clavija 15A</t>
  </si>
  <si>
    <t>Caja galvanizada + suplemento</t>
  </si>
  <si>
    <t>Tubo conduit emt 3/4" X 3m</t>
  </si>
  <si>
    <t xml:space="preserve">Terminal emt de 3/4" </t>
  </si>
  <si>
    <t>Toma leviton Crema + tapa</t>
  </si>
  <si>
    <t>Conector 3M</t>
  </si>
  <si>
    <t>JN</t>
  </si>
  <si>
    <t>HERRAMIENTA Y EQUIPO</t>
  </si>
  <si>
    <t>HERRAMIENTA MENOR</t>
  </si>
  <si>
    <t>TOTAL/REDONDEADO</t>
  </si>
  <si>
    <t>Caja 4X4 PVC + suplemento</t>
  </si>
  <si>
    <t>Tubo Conduit PVC tipo pesado de 3/4" x 3mt</t>
  </si>
  <si>
    <t xml:space="preserve">Terminal pvc de 3/4" </t>
  </si>
  <si>
    <t>Tomacorriente doble con polo a tierra</t>
  </si>
  <si>
    <t>Tomacorriente doble con polo a tierra con prteccion gfci</t>
  </si>
  <si>
    <t xml:space="preserve">Tomacorriente doble color naranja </t>
  </si>
  <si>
    <t>Interrumtor sencillo 15A</t>
  </si>
  <si>
    <t>Trenza cuadruplex 3X4/0 + 4/0 AL</t>
  </si>
  <si>
    <t>Cable de CU 1/0 AWG, (LS) Baja emisión de humos, (HF) Libre de Alogenos, (FR) Retardante a la llama, (CT) Apto para bandeja tipo CT, (PE) Aislado con Poliolefina</t>
  </si>
  <si>
    <t>Cable de CU 2 AWG, (LS) Baja emisión de humos, (HF) Libre de Alogenos, (FR) Retardante a la llama, (CT) Apto para bandeja tipo CT, (PE) Aislado con Poliolefina</t>
  </si>
  <si>
    <t>Cable de CU 6 AWG, (LS) Baja emisión de humos, (HF) Libre de Alogenos, (FR) Retardante a la llama, (CT) Apto para bandeja tipo CT, (PE) Aislado con Poliolefina</t>
  </si>
  <si>
    <t>Cable de CU 8 AWG, (LS) Baja emisión de humos, (HF) Libre de Alogenos, (FR) Retardante a la llama, (CT) Apto para bandeja tipo CT, (PE) Aislado con Poliolefina</t>
  </si>
  <si>
    <t>Cable de CU 10 AWG, (LS) Baja emisión de humos, (HF) Libre de Alogenos, (FR) Retardante a la llama, (CT) Apto para bandeja tipo CT, (PE) Aislado con Poliolefina</t>
  </si>
  <si>
    <t>Tubo Conduit PVC tipo pesado de 3" x 3mt</t>
  </si>
  <si>
    <t>Tubo Conduit Galvanizado EMT de 2" x 3mt</t>
  </si>
  <si>
    <t>Abrazadera doble ala 2"</t>
  </si>
  <si>
    <t>Abrazadera doble ala 3/4"</t>
  </si>
  <si>
    <t>Tubo Conduit Galvanizado EMT de 3/4" x 3mt</t>
  </si>
  <si>
    <t>Tubo Conduit Galvanizado IMC de 3" x 3mt</t>
  </si>
  <si>
    <t>Hebilla para cinta bandit 3/4"</t>
  </si>
  <si>
    <t>Tubo Conduit Galvanizado IMC de 2" x 3mt</t>
  </si>
  <si>
    <t>Rack Tipo Compacto 15.32"Ax15.62"Hx3.68"P.</t>
  </si>
  <si>
    <t xml:space="preserve">Patch Panel Compacto 10 " 24 Puestos y Jacks Categoria 6A </t>
  </si>
  <si>
    <t>Suwitche administrable 10/100/1000</t>
  </si>
  <si>
    <t>Patch cord 3ft cat 6A</t>
  </si>
  <si>
    <t>Cable UTP cat 6A</t>
  </si>
  <si>
    <t>Face plate doble</t>
  </si>
  <si>
    <t>Jack sencillo RJ45 Categoría 6A (azul/rojo)</t>
  </si>
  <si>
    <t>Blanck Insert</t>
  </si>
  <si>
    <t>Soldadura Cadwell 90gr</t>
  </si>
  <si>
    <t xml:space="preserve">Cable de CU 2/0 AWG, desnudo para puesta a tierra </t>
  </si>
  <si>
    <t xml:space="preserve">Alambron de Aluminio 8 mm </t>
  </si>
  <si>
    <t>Grapa Bimetalica DEHN Union Alambron - Cu 8-10 mm Ref: 459129</t>
  </si>
  <si>
    <t>Cable de CU 2 AWG THHN/THWN-2 600 V 90°C</t>
  </si>
  <si>
    <t>Grapa Universal Union Alambron - Cu 8-10 mm Ref: 459129</t>
  </si>
  <si>
    <t>Soporte para alambron tipo DEHN</t>
  </si>
  <si>
    <t>Punta captora de 0,60m incluye base soporte</t>
  </si>
  <si>
    <t>Canal 90 en 2,4 calibre 24</t>
  </si>
  <si>
    <t>Paral 89 en 2,4 m calibre 24</t>
  </si>
  <si>
    <t>Muro seco Superboard FC 8mm (2F) (incluye perfilería cal 24 + tratamiento de juntas)</t>
  </si>
  <si>
    <t>Lámina de fibrocemento de 8 mm</t>
  </si>
  <si>
    <t>Alfajía en concreto a la vista (sencilla 1 cortagotera) (incluye refuerzo)</t>
  </si>
  <si>
    <t>Alfajía en concreto a la vista (doble cortagotera) (incluye refuerzo)</t>
  </si>
  <si>
    <t>8.01</t>
  </si>
  <si>
    <t>8.02</t>
  </si>
  <si>
    <t>8.03</t>
  </si>
  <si>
    <t>8.04</t>
  </si>
  <si>
    <t>8.05</t>
  </si>
  <si>
    <t>8.06</t>
  </si>
  <si>
    <t>8.07</t>
  </si>
  <si>
    <t>8.08</t>
  </si>
  <si>
    <t>8.09</t>
  </si>
  <si>
    <t>8.10</t>
  </si>
  <si>
    <t>8.11</t>
  </si>
  <si>
    <t>8.12</t>
  </si>
  <si>
    <t>8.13</t>
  </si>
  <si>
    <t>Pintura texturizada hidrorepelente tipo silcoplast color (incluye base)</t>
  </si>
  <si>
    <t>8.14</t>
  </si>
  <si>
    <t>8.15</t>
  </si>
  <si>
    <t>8.16</t>
  </si>
  <si>
    <t>8.17</t>
  </si>
  <si>
    <t>8.18</t>
  </si>
  <si>
    <t>8.19</t>
  </si>
  <si>
    <t>8.20</t>
  </si>
  <si>
    <t>Guarda escobas blanco huila biselado</t>
  </si>
  <si>
    <t>Piso porcelanato gris mate rectificado con text. 0.6 x 0.6 antideslizante tipo EMOTION (decor) piedra grafito</t>
  </si>
  <si>
    <t>Fijador de látex</t>
  </si>
  <si>
    <t>Porcelanato gris mate tipo piedra de 60 x 60</t>
  </si>
  <si>
    <t>Tablón porcelagres o similar de 0,30 x 0,30 m</t>
  </si>
  <si>
    <t>Alistado de mortero para nivelación &lt; e= 5,5cm</t>
  </si>
  <si>
    <t xml:space="preserve">Mortero 1:3 </t>
  </si>
  <si>
    <t>Porcelanato blanco de 60 x 60</t>
  </si>
  <si>
    <t>Lámina de yeso e =  12,7mm</t>
  </si>
  <si>
    <t>Lámina de yeso e =  12,7mm RH</t>
  </si>
  <si>
    <t>Adoquín peatonal 6 x 10 x 20</t>
  </si>
  <si>
    <t>Lámina de yeso RF e =  12,7mm RH</t>
  </si>
  <si>
    <t>Omega en 63 liviana en 2,4 CAL 24</t>
  </si>
  <si>
    <t>Vigueta principal en 2,4 CAL 24</t>
  </si>
  <si>
    <t>Piedra arenisca tipo Labor</t>
  </si>
  <si>
    <t>Mueble según diseño + mesón en granito + herrajes</t>
  </si>
  <si>
    <t>Grifería monocontrol tipo industrial</t>
  </si>
  <si>
    <t>9.01</t>
  </si>
  <si>
    <t>Cortasol Celoscreen liso en ALUMINIO + color + paso 150 (Incluye accesorios + estructura metálica adicional + porta panel)</t>
  </si>
  <si>
    <t>9.02</t>
  </si>
  <si>
    <t>Suministro e instalación de canal en lámina galvanizada cal 18 según diseño d &lt;=1.10m (incluye washprimer + anticorrosivo + pintura esmalte)</t>
  </si>
  <si>
    <t>9.03</t>
  </si>
  <si>
    <t>Pasamanos metálico tipo + anticorrosivo + pintura esmalte color gris aluminio según diseño, (incluye platinas y elementos de fijación)</t>
  </si>
  <si>
    <t>9.04</t>
  </si>
  <si>
    <t>Cerramiento en tubería rectangular según diseño (incluye acabado)</t>
  </si>
  <si>
    <t>Suministro e instalación de Puerta Aluminio Tipo 1 (incluye chapa)</t>
  </si>
  <si>
    <t>Suministro e instalación de Puerta Aluminio Tipo 2 (incluye chapa)</t>
  </si>
  <si>
    <t>Suministro e instalación de Puerta Aluminio Tipo 3 (incluye chapa)</t>
  </si>
  <si>
    <t>Suministro e instalación de Puerta Aluminio Tipo 4 (incluye chapa)</t>
  </si>
  <si>
    <t>Suministro e instalación de Puerta Aluminio Tipo 5 (incluye chapa)</t>
  </si>
  <si>
    <t>Suministro e instalación de Puerta Aluminio Tipo 6 (incluye chapa)</t>
  </si>
  <si>
    <t>Suministro e instalación de Puerta Aluminio Tipo 7 (incluye chapa)</t>
  </si>
  <si>
    <t>Suministro e instalación de Puerta Aluminio Tipo 8 (incluye chapa)</t>
  </si>
  <si>
    <t>Suministro e instalación de Puerta Cortafuego Certificada (incluye ceradura antipánico) - Tipo 9</t>
  </si>
  <si>
    <t>Suministro e instalación de Puerta Ventana Aluminio Tipo</t>
  </si>
  <si>
    <t>Ventana Aluminio Marco + vidrio (5mm a 6mm)</t>
  </si>
  <si>
    <t>10.12</t>
  </si>
  <si>
    <t>Ventana Aluminio Tipo + Persiana + Vidrio (5mm a 6mm)</t>
  </si>
  <si>
    <t>Desde el empalme a red existente hasta el cuarto de máquinas</t>
  </si>
  <si>
    <t>11.01</t>
  </si>
  <si>
    <t>Suministro en instalacíon de tubería 3/4" PVCP RDE 21 (incluye accesorios)</t>
  </si>
  <si>
    <t>11.02</t>
  </si>
  <si>
    <t>Válvula 3/4" tipo RW</t>
  </si>
  <si>
    <t>11.03</t>
  </si>
  <si>
    <t>Medidor 3/4" Clase C</t>
  </si>
  <si>
    <t>11.04</t>
  </si>
  <si>
    <t>Cheque 3/4"</t>
  </si>
  <si>
    <t>11.05</t>
  </si>
  <si>
    <t>Caja para medidor</t>
  </si>
  <si>
    <t>11.06</t>
  </si>
  <si>
    <t>Suministro en instalacíon de tubería 2" PVCP y acc RDE 21</t>
  </si>
  <si>
    <t>11.07</t>
  </si>
  <si>
    <t>Suministro en instalacíon de tubería 1 1/2" PVCP y acc RDE 21</t>
  </si>
  <si>
    <t>11.08</t>
  </si>
  <si>
    <t>Suministro en instalacíon de tubería 1 1/4" PVCP y acc RDE 21</t>
  </si>
  <si>
    <t>11.09</t>
  </si>
  <si>
    <t>Suministro en instalacíon de tubería 1" PVCP y acc RDE 21</t>
  </si>
  <si>
    <t>11.10</t>
  </si>
  <si>
    <t>Suministro en instalacíon de tubería 3/4" PVCP y acc RDE 21</t>
  </si>
  <si>
    <t>11.11</t>
  </si>
  <si>
    <t>Suministro en instalacíon de tubería 1/2" PVCP y acc RDE 21</t>
  </si>
  <si>
    <t>11.12</t>
  </si>
  <si>
    <t>Puntos suministro para fluxometros</t>
  </si>
  <si>
    <t>11.13</t>
  </si>
  <si>
    <t>Puntos 1/2" PVCP AF</t>
  </si>
  <si>
    <t>11.14</t>
  </si>
  <si>
    <t>Puntos 3/4" PVCP AF</t>
  </si>
  <si>
    <t>11.15</t>
  </si>
  <si>
    <t>Llaves de control 1-1/2" unión roscada</t>
  </si>
  <si>
    <t>11.16</t>
  </si>
  <si>
    <t>Llaves de control 1-1/4" unión roscada</t>
  </si>
  <si>
    <t>11.17</t>
  </si>
  <si>
    <t>Llaves de control 3/4" unión roscada</t>
  </si>
  <si>
    <t>11.18</t>
  </si>
  <si>
    <t>Llaves de control 1/2" unión roscada</t>
  </si>
  <si>
    <t>11.19</t>
  </si>
  <si>
    <t>Tapas de inspección PVC 20x20 cms</t>
  </si>
  <si>
    <t>11.20</t>
  </si>
  <si>
    <t>Llaves para conexión de manguera</t>
  </si>
  <si>
    <t>11.21</t>
  </si>
  <si>
    <t>Soportes para suministro en riel unistrud + varilla roscada + abrazadera + anclaje</t>
  </si>
  <si>
    <t>RED CONTRA INCENDIO</t>
  </si>
  <si>
    <t>11.22</t>
  </si>
  <si>
    <t>Cheque 4"</t>
  </si>
  <si>
    <t>11.23</t>
  </si>
  <si>
    <t>Hidrante 3" incluye valvula HF-EL</t>
  </si>
  <si>
    <t>11.24</t>
  </si>
  <si>
    <t>Caja para valvula</t>
  </si>
  <si>
    <t>11.25</t>
  </si>
  <si>
    <t>Siamesa 2-1/2"x4"x2-1/2"</t>
  </si>
  <si>
    <t>11.26</t>
  </si>
  <si>
    <t>Gabinete Contra Incendio Clase II</t>
  </si>
  <si>
    <t>11.27</t>
  </si>
  <si>
    <t>Cabezal de pruebas</t>
  </si>
  <si>
    <t>11.28</t>
  </si>
  <si>
    <t>Estación de control, prueba y drenaje</t>
  </si>
  <si>
    <t>11.29</t>
  </si>
  <si>
    <t>Suministro en instalacíon de tubería 4" RCI SCH 40 (Incluye accesorios)</t>
  </si>
  <si>
    <t>11.30</t>
  </si>
  <si>
    <t>Suministro en instalacíon de tubería 3" RCI SCH 40 (Incluye accesorios)</t>
  </si>
  <si>
    <t>11.31</t>
  </si>
  <si>
    <t>Suministro en instalacíon de tubería 2-1/2" RCI SCH 40 (Incluye accesorios)</t>
  </si>
  <si>
    <t>11.32</t>
  </si>
  <si>
    <t>Suministro en instalacíon de tubería 2" RCI SCH 40 (Incluye accesorios)</t>
  </si>
  <si>
    <t>11.33</t>
  </si>
  <si>
    <t>Suministro en instalacíon de tubería 1-1/2" RCI SCH 40 (Incluye accesorios)</t>
  </si>
  <si>
    <t>11.34</t>
  </si>
  <si>
    <t>Suministro en instalacíon de tubería 1-1/4" RCI SCH 40 (Incluye accesorios)</t>
  </si>
  <si>
    <t>11.35</t>
  </si>
  <si>
    <t>Suministro en instalacíon de tubería 1" RCI SCH 40 (Incluye accesorios)</t>
  </si>
  <si>
    <t>11.36</t>
  </si>
  <si>
    <t>Punto rociador 1/2"</t>
  </si>
  <si>
    <t>11.37</t>
  </si>
  <si>
    <t>Rociador Colgante 1/2"</t>
  </si>
  <si>
    <t>11.38</t>
  </si>
  <si>
    <t>Rociador montante 1/2"</t>
  </si>
  <si>
    <t>11.39</t>
  </si>
  <si>
    <t>Soporte colgante para tubería</t>
  </si>
  <si>
    <t>11.40</t>
  </si>
  <si>
    <t>Soporte sismoresistente para tubería</t>
  </si>
  <si>
    <t>11.41</t>
  </si>
  <si>
    <t>Equipo de presion (100-120psi) caudal 250 GPM,  30 HP. PARA RED CONTRA INCENDIO, incluye suministro en instalacíon de tuberías y accesorios metalicos. Fabricación Nacional. Debera ser avalado por la autoridad competente.</t>
  </si>
  <si>
    <t>EQUIPO DE PRESION SUMINISTRO Y TANQUES DE ALMACENAMIENTO</t>
  </si>
  <si>
    <t>11.42</t>
  </si>
  <si>
    <t>Cinta PVC 20 cm</t>
  </si>
  <si>
    <t>11.43</t>
  </si>
  <si>
    <t>Ventilaciones 4"</t>
  </si>
  <si>
    <t>11.44</t>
  </si>
  <si>
    <t>Escotilla de acceso en alfajor de aluminio 80*80</t>
  </si>
  <si>
    <t>11.45</t>
  </si>
  <si>
    <t>Escalera metalica tipo uña de gato L=1,50m (incluye anclajes)</t>
  </si>
  <si>
    <t>11.46</t>
  </si>
  <si>
    <t>Equipo de presion constante (40psi) caudal variable 0-50 gpm), tanque de 100L, PARA RED DE SUMINISTRO, Incluye tubería y accesorios metálicos</t>
  </si>
  <si>
    <t>11.47</t>
  </si>
  <si>
    <t>Pasamuros 4" metalicos en ACINOX</t>
  </si>
  <si>
    <t>11.48</t>
  </si>
  <si>
    <t>Pasamuros 3" metalicos en ACINOX</t>
  </si>
  <si>
    <t>11.49</t>
  </si>
  <si>
    <t>Pasamuros 3" metalicos codo+niple en ACINOX</t>
  </si>
  <si>
    <t>11.50</t>
  </si>
  <si>
    <t>Pasamuros 2" metalicos en ACINOX</t>
  </si>
  <si>
    <t>11.51</t>
  </si>
  <si>
    <t>Pasamuros 1-1/2" metalicos en ACINOX</t>
  </si>
  <si>
    <t>11.52</t>
  </si>
  <si>
    <t>Pasamuros 1" metalicos en ACINOX</t>
  </si>
  <si>
    <t>11.53</t>
  </si>
  <si>
    <t xml:space="preserve">Placa antivórtice metalica </t>
  </si>
  <si>
    <t>11.54</t>
  </si>
  <si>
    <t xml:space="preserve">Flotador  mecánico 3/4" </t>
  </si>
  <si>
    <t>11.55</t>
  </si>
  <si>
    <t>Suministro e instalación de motobomba sumergible para foso eyector, 40 GPM. 8 PSI (incluye accesorios)</t>
  </si>
  <si>
    <t>11.56</t>
  </si>
  <si>
    <t>Foso eyector en concreto 80*80*180 en concreto de 27 Mpa (incluye fondo) (no incluye refuerzo)</t>
  </si>
  <si>
    <t>RED DESAGÜE RESIDUAL</t>
  </si>
  <si>
    <t>11.57</t>
  </si>
  <si>
    <t xml:space="preserve">Puntos de desague 2", 3", 4" PVC-S </t>
  </si>
  <si>
    <t>11.58</t>
  </si>
  <si>
    <t>Puntos de ventilación 2"  PVC-L</t>
  </si>
  <si>
    <t>11.59</t>
  </si>
  <si>
    <t>Suministro en instalacíon de tubería 6" PVC-ALCANTARILLADO (incluye accesorios)</t>
  </si>
  <si>
    <t>11.60</t>
  </si>
  <si>
    <t>Suministro en instalacíon de tubería 4" PVC-S (incluye accesorios)</t>
  </si>
  <si>
    <t>11.61</t>
  </si>
  <si>
    <t>Suministro en instalacíon de tubería 3" PVC-S (incluye accesorios)</t>
  </si>
  <si>
    <t>11.62</t>
  </si>
  <si>
    <t>Bajante de Aguas negras 4" PVC-S (incluye accesorios)</t>
  </si>
  <si>
    <t>11.63</t>
  </si>
  <si>
    <t>Bajante de Aguas negras 3" PVC-S (incluye accesorios)</t>
  </si>
  <si>
    <t>11.64</t>
  </si>
  <si>
    <t>Juntas de de expansiòn 4" PVCS</t>
  </si>
  <si>
    <t>11.65</t>
  </si>
  <si>
    <t>Juntas de de expansiòn 3" PVCS</t>
  </si>
  <si>
    <t>11.66</t>
  </si>
  <si>
    <t>Cajas de inspección 0,60x0,60M</t>
  </si>
  <si>
    <t>11.67</t>
  </si>
  <si>
    <t>Cajas de inspección 0,80x0,80M</t>
  </si>
  <si>
    <t>11.68</t>
  </si>
  <si>
    <t>Carcamo 0,30x0,20M con reja en angulo y varilla 1"</t>
  </si>
  <si>
    <t>11.69</t>
  </si>
  <si>
    <t>Trampa de grasas prefabricada 35 GPM</t>
  </si>
  <si>
    <t>11.70</t>
  </si>
  <si>
    <t>Trampa de lodos 1.00x0.60x0.90, con reja</t>
  </si>
  <si>
    <t>11.71</t>
  </si>
  <si>
    <t>Excavaciones 0-2M</t>
  </si>
  <si>
    <t>11.72</t>
  </si>
  <si>
    <t>Llenos compactados</t>
  </si>
  <si>
    <t>11.73</t>
  </si>
  <si>
    <t>Soportes para Suministro en instalacíon de tubería</t>
  </si>
  <si>
    <t>RED DESAGÜE PLUVIAL</t>
  </si>
  <si>
    <t>11.74</t>
  </si>
  <si>
    <t>Tragantes 4"(2 por cada bajante)</t>
  </si>
  <si>
    <t>11.75</t>
  </si>
  <si>
    <t xml:space="preserve">Puntos desague tragantes 2", 3", 4" PVC-S </t>
  </si>
  <si>
    <t>11.76</t>
  </si>
  <si>
    <t xml:space="preserve">Puntos desague pluvial 2", 3", 4" PVC-S </t>
  </si>
  <si>
    <t>11.77</t>
  </si>
  <si>
    <t>Bajante de Aguas lluvias 4" PVC-ALL</t>
  </si>
  <si>
    <t>11.78</t>
  </si>
  <si>
    <t>Bajante de Aguas lluvias 3" PVC-ALL</t>
  </si>
  <si>
    <t>11.79</t>
  </si>
  <si>
    <t>Suministro en instalacíon de tubería 4" PVC-ALL (incluye accesorios)</t>
  </si>
  <si>
    <t>11.80</t>
  </si>
  <si>
    <t>Suministro en instalacíon de tubería 3" PVC-ALL (incluye accesorios)</t>
  </si>
  <si>
    <t>11.81</t>
  </si>
  <si>
    <t>11.82</t>
  </si>
  <si>
    <t>Suministro en instalacíon de tubería 4" PVC-ALCANTARILLADO (incluye accesorios)</t>
  </si>
  <si>
    <t>11.83</t>
  </si>
  <si>
    <t>11.84</t>
  </si>
  <si>
    <t>11.85</t>
  </si>
  <si>
    <t>APARATOS SANITARIOS</t>
  </si>
  <si>
    <t>11.86</t>
  </si>
  <si>
    <t>Suministro e instalación de SANITARIO blanco tipo institucional de tanque</t>
  </si>
  <si>
    <t>11.87</t>
  </si>
  <si>
    <t>Suministro e instalación de L/manos blanco institucional + grifería de push</t>
  </si>
  <si>
    <t>11.88</t>
  </si>
  <si>
    <t>Suministro e instalación de L/manos TIPO Vessel de Corona (incluye desagüe y grifería monocontrol)</t>
  </si>
  <si>
    <t>11.89</t>
  </si>
  <si>
    <t>Suministro e instalación de ducha regadera cuadrda con brazo metálico tipo Alina de Corona + MEZCLADOR metálico de palanca doble</t>
  </si>
  <si>
    <t>11.90</t>
  </si>
  <si>
    <t>Suministro e instalación de Orinal blanco institucio + PUSH ANTIVANDÁLICO</t>
  </si>
  <si>
    <t>11.91</t>
  </si>
  <si>
    <t>Suministro e instalación de sanitario tipo Aquajet (PMR)</t>
  </si>
  <si>
    <t>11.92</t>
  </si>
  <si>
    <t>Suministro e instalación de lavamanos tipo Aquajet (PMR) (incluye grifería)</t>
  </si>
  <si>
    <t>11.93</t>
  </si>
  <si>
    <t>Suministro e instalación de mesón corrido en granito negro tipo San gabriel + estructura metálica de soporte (incluye salpicadero + faldón segú diseño)</t>
  </si>
  <si>
    <t>11.94</t>
  </si>
  <si>
    <t>División en acero inoxidable AISI 304 entamborada + puertas. Incluye accesorios, pernos en acero inoxidable, pasadores y patas AISI 304 (h=1,50m y apoyos de 30cm) Tipo SOCODA</t>
  </si>
  <si>
    <t>12,00 REDES ELÉCTRICAS Y CIRCUITOS</t>
  </si>
  <si>
    <t>SALIDAS ELÉCTRICAS</t>
  </si>
  <si>
    <t>12.01</t>
  </si>
  <si>
    <t>Suministro e instalación de salidas de iluminación en tubería emt 3/4" y cable No 12 awg LS HF, longitud aproximada 4m (incluye tubería, cable especificado, conectores de resorte y accesorios para su correcta instalación)</t>
  </si>
  <si>
    <t>12.02</t>
  </si>
  <si>
    <t>Suministro e instalación de salidas de tomacorrientes red normal en tubería pvc 3/4" y cable No 12 awg LS HF, longitud aproximada 5m (incluye tubería, cable especificado,conectores de resorte,  tomacorriente doble 15A color blanco y accesorios para su correcta instalación)</t>
  </si>
  <si>
    <t>12.03</t>
  </si>
  <si>
    <t>Suministro e instalación de salidas de tomacorrientes GFCI en  tubería emt 3/4" y cable No 12 awg LS HF, longitud aproximada 5m (incluye tubería, cable especificado, conectores de resorte, tomacorriente doble 15A gfci y accesorios para su correcta instalación)</t>
  </si>
  <si>
    <t>12.04</t>
  </si>
  <si>
    <t>Suministro e instalación de salidas de tomacorrientes red regulada en tubería emt 3/4" y cable No 12 awg LS HF, longitud aproximada 5m (incluye tubería, cable especificado, conectores de resorte,  tomacorriente doble 15A color naranja y accesorios para su correcta instalación)</t>
  </si>
  <si>
    <t>12.05</t>
  </si>
  <si>
    <t>Suministro e instalación de salida de televisión solo ducto 3/4" emt  (incluye tubería y accesorios para su correcta instalación)</t>
  </si>
  <si>
    <t>12.06</t>
  </si>
  <si>
    <t>Suministro e instalación de salida electrica para interruptor sencillo 15A en tubería emt 3/4" y cable No 12 awg LS HF, longitud aproximada 4m (incluye tubería, cable especificado, conectores de resorte y accesorios para su correcta instalación)</t>
  </si>
  <si>
    <t>12.07</t>
  </si>
  <si>
    <t>Suministro e instalación de salida electrica interruptor 15A doble en  tubería emt 3/4" y cable No 12 awg LS HF, longitud aproximada 4m (incluye tubería, cable especificado, conectores de resorte y accesorios para su correcta instalación)</t>
  </si>
  <si>
    <t>12.08</t>
  </si>
  <si>
    <t>Suministro e instalación de salida electrica interruptor 15A conmutable en  tubería emt 3/4" y cable No 12 awg LS HF, longitud aproximada 4m (incluye tubería, cable especificado, conectores de resorte y accesorios para su correcta instalación)</t>
  </si>
  <si>
    <t>LUMINARIAS</t>
  </si>
  <si>
    <t>12.09</t>
  </si>
  <si>
    <t>Suministro e instalación led tipo panel de 60X60 40W incluye cable encauchetado 3X14W (incluye soportes / instalación descolgada)</t>
  </si>
  <si>
    <t>12.10</t>
  </si>
  <si>
    <t>Suministro e instalación de luminaria tipo tortuga de 7W incluye cable encauchetado 3X14W</t>
  </si>
  <si>
    <t>12.11</t>
  </si>
  <si>
    <t>Suministro e instalación de luminaria tipo panel redondo de 18W incluye cable encauchetado 3X14W (de incrustar)</t>
  </si>
  <si>
    <t>12.12</t>
  </si>
  <si>
    <t>Suministro e instalación de luminaria tipo High Bay 150W incluye cable encauchetado 3X14W</t>
  </si>
  <si>
    <t>12.13</t>
  </si>
  <si>
    <t>Suministro e instalacion de señalizacion de emergencia  led con batería con duración minima de 90min</t>
  </si>
  <si>
    <t>12.14</t>
  </si>
  <si>
    <t>Suministro e instalación de luminaria de emergencia 4W led con batería con duración minima de 90min</t>
  </si>
  <si>
    <t>ALIMENTADORES DE BAJA TENSION</t>
  </si>
  <si>
    <t>12.15</t>
  </si>
  <si>
    <t>Suministro e instalación de red trenzada cuadruplex 3X4/0 + 4/0 AL</t>
  </si>
  <si>
    <t>12.16</t>
  </si>
  <si>
    <t>Suministro e instalación de alimentador en  Baja emisión de humos, (HF) Libre de Alogenos, (FR) Retardante a la llama, (CT) Apto para bandeja tipo CT, (PE) Aislado con Poliolefina 3No1/0F + 1No 1/0N</t>
  </si>
  <si>
    <t>12.17</t>
  </si>
  <si>
    <t>Suministro e instalación de alimentador en  Baja emisión de humos, (HF) Libre de Alogenos, (FR) Retardante a la llama, (CT) Apto para bandeja tipo CT, (PE) Aislado con Poliolefina Cu LS HF AWG 3No 2F + 1No 4T</t>
  </si>
  <si>
    <t>12.18</t>
  </si>
  <si>
    <t>Suministro e instalación de alimentador en  Baja emisión de humos, (HF) Libre de Alogenos, (FR) Retardante a la llama, (CT) Apto para bandeja tipo CT, (PE) Aislado con Poliolefina Cu LS HF AWG 2No 8F + 1No8N + 1No 10T</t>
  </si>
  <si>
    <t>12.19</t>
  </si>
  <si>
    <t>Suministro e instalación de alimentador en  Baja emisión de humos, (HF) Libre de Alogenos, (FR) Retardante a la llama, (CT) Apto para bandeja tipo CT, (PE) Aislado con Poliolefina Cu LS HF AWG 3No 12</t>
  </si>
  <si>
    <t>CANALIZACIONES</t>
  </si>
  <si>
    <t>12.20</t>
  </si>
  <si>
    <t>Suministro e instalacion de canalizacion 2 vias en Suministro en instalacíon de tubería pvc 3"</t>
  </si>
  <si>
    <t>12.21</t>
  </si>
  <si>
    <t>Suministro e instalacion de canalizacion en Suministro en instalacíon de tubería pvc 2"</t>
  </si>
  <si>
    <t>12.22</t>
  </si>
  <si>
    <t>Suministro e instalacion de canalizacion en Suministro en instalacíon de tubería emt 2"</t>
  </si>
  <si>
    <t>12.23</t>
  </si>
  <si>
    <t>Suministro e instalacion de canalizacion en Suministro en instalacíon de tubería pvc 3/4"</t>
  </si>
  <si>
    <t>12.24</t>
  </si>
  <si>
    <t>Suministro e instalacion de canalizacion en tubería emt 3/4"</t>
  </si>
  <si>
    <t>12.25</t>
  </si>
  <si>
    <t>Suministro e instalacion de bajante en tubería galvanizada de 3"</t>
  </si>
  <si>
    <t>12.26</t>
  </si>
  <si>
    <t>Suministro e instalacion de bajante en tubería galvanizada de 2"</t>
  </si>
  <si>
    <t>12.27</t>
  </si>
  <si>
    <t>Suministro e instalacion de planta eléctrica de 100kva nominales (standby), trifásica. incluye: filtros, precalentador de camisas, breaker original de fábrica, flexible, tanque en la base de 350 lts (pared sencilla) y cabina antirruido tipo intemperie, salida aire frontal</t>
  </si>
  <si>
    <t>12.28</t>
  </si>
  <si>
    <t>Suministro e instalacion de UPS bifasica on line de 6Kva con factor de potencia minimo de 0,85</t>
  </si>
  <si>
    <t>12.29</t>
  </si>
  <si>
    <t>Suministro e instalacion de Equipo de Medida Semidirecta incluye bloque terminal de prueba 3 TC 100/5 y un bedidor de 5 amperios monofasico trifilar</t>
  </si>
  <si>
    <t>TABLEROS</t>
  </si>
  <si>
    <t>12.30</t>
  </si>
  <si>
    <t>Suministro e instalacion deTablero de control equipo de Presion (Dos Bombas de 1Hp) Siemens O Similar</t>
  </si>
  <si>
    <t>12.31</t>
  </si>
  <si>
    <t>Suministro e instalacion deTablero de 4 Circuitos Servicios Generales Cuarto de Bombas incluye Breakers</t>
  </si>
  <si>
    <t>12.32</t>
  </si>
  <si>
    <t>Suministro e instalacion deTablero General según diagrama unifilar Incluye transferencia motorizada</t>
  </si>
  <si>
    <t>12.33</t>
  </si>
  <si>
    <t>Suministro e instalacion deTablero regulado de 8 ctos incluye conmutador y protecciones</t>
  </si>
  <si>
    <t>12.34</t>
  </si>
  <si>
    <t>Suministro e instalacion deTablero de control equipo de Red Contra Incendio (RCI)</t>
  </si>
  <si>
    <t>RED DE VOZ Y DATOS</t>
  </si>
  <si>
    <t>12.35</t>
  </si>
  <si>
    <t>Suministro e instalacion de Rack Tipo Compacto 15.32"Ax15.62"Hx3.68"P. Incluye Patch Panel Compacto 10 " 24 Puestos y Jacks Categoria 6A, Suwitche administrable 10/100/1000 y patchcord de 3ft para conexión</t>
  </si>
  <si>
    <t>12.36</t>
  </si>
  <si>
    <t>Suministro e instalacion de Cable UTP Categoria 6A</t>
  </si>
  <si>
    <t>12.37</t>
  </si>
  <si>
    <t xml:space="preserve">Suministro e instalacion de salida sencilla de datos incluye face plate, jack cat 6A, Blanck insert, marquilla de marcacion </t>
  </si>
  <si>
    <t>12.38</t>
  </si>
  <si>
    <t xml:space="preserve">Suministro e instalacion de salida doble de datos incluye face plate, jack cat 6A, marquilla de marcacion </t>
  </si>
  <si>
    <t>12.39</t>
  </si>
  <si>
    <t>Certificacion Salidas Logicas Categoria 6A</t>
  </si>
  <si>
    <t xml:space="preserve"> SISTEMA DE APANTALLAMIENTO Y PUESTA A TIERRA</t>
  </si>
  <si>
    <t>12.40</t>
  </si>
  <si>
    <t>Suministro e instalacion de Sistema De Puesta a Tierra SPT, incluye 4 varillas 2,40m X 5/8"Cuperwell Cu Cu, Cable Cu desnudo 2/0 AWG</t>
  </si>
  <si>
    <t>12.41</t>
  </si>
  <si>
    <t>Suministro e instalacion de sistema de apantallamiento SIPRA tipo A, incluye piuntas captadoras con soporte, varillas cuperwell CuCu 2,40mX5/8", Aambron de aluminio o ASCR 1/0, bajantes desde el anillo superior hasta las varillas, soportes tipo DE, Suministro en instalacíon de tubería PVC 3/4" para bajantes embebidos y cable de Cu No 2 AWG para bajantes.</t>
  </si>
  <si>
    <t>LEGALIZACION INFRAESTRUCTURA ELECTRICA</t>
  </si>
  <si>
    <t>12.42</t>
  </si>
  <si>
    <t>Certificacion de Conformidad con RETIE</t>
  </si>
  <si>
    <t>12.43</t>
  </si>
  <si>
    <t>Trámites ante empresa de energía (incluye legalización y conexión a transformador existente)</t>
  </si>
  <si>
    <t xml:space="preserve">Estructura metálica </t>
  </si>
  <si>
    <t>Celoscreen de Hunter douglas en aluminio pas 150</t>
  </si>
  <si>
    <t>Washprimer</t>
  </si>
  <si>
    <t>Canal en lámina galvanizada cal 18</t>
  </si>
  <si>
    <t>Tubo metálico rectangular 3 x 1"cal 2.5mm</t>
  </si>
  <si>
    <t>Tubo metálico redondo 1" cal 2.5mm</t>
  </si>
  <si>
    <t>Platina metálica</t>
  </si>
  <si>
    <t>Perno de anclaje</t>
  </si>
  <si>
    <t>Vidrio 5mm</t>
  </si>
  <si>
    <t>Chapa Yale de palanca</t>
  </si>
  <si>
    <t>Perfil T-244</t>
  </si>
  <si>
    <t>Perfil U-78 DE 3 X 1</t>
  </si>
  <si>
    <t>Perfil ALN-315</t>
  </si>
  <si>
    <t>Bisagras</t>
  </si>
  <si>
    <t>Vidrio 5mm opalizado</t>
  </si>
  <si>
    <t>Perfil T-166</t>
  </si>
  <si>
    <t>Perfil de 2 rieles</t>
  </si>
  <si>
    <t>Puerta cortafuego con aislamiento 180 min</t>
  </si>
  <si>
    <t>Cerradura antipánico + brazo hidráulico</t>
  </si>
  <si>
    <t>Sistema 8025 con chapa de seguridad</t>
  </si>
  <si>
    <t xml:space="preserve">Vidrio 6mm </t>
  </si>
  <si>
    <t>Sistema 744 con chapa de seguridad</t>
  </si>
  <si>
    <t>Alfajía en aluminio</t>
  </si>
  <si>
    <t>Suministro e instalación de salidas de tomacorrientes GFCI en tubería emt 3/4" y cable No 12 awg LS HF, longitud aproximada 5m (incluye tubería, cable especificado, conectores de resorte, tomacorriente doble 15A gfci y accesorios para su correcta instalación)</t>
  </si>
  <si>
    <t>Suministro e instalación de salida electrica interruptor 15A doble en tubería emt 3/4" y cable No 12 awg LS HF, longitud aproximada 4m (incluye tubería, cable especificado, conectores de resorte y accesorios para su correcta instalación)</t>
  </si>
  <si>
    <t>Suministro e instalación de salida electrica interruptor 15A conmutable en tubería emt 3/4" y cable No 12 awg LS HF, longitud aproximada 4m (incluye tubería, cable especificado, conectores de resorte y accesorios para su correcta instalación)</t>
  </si>
  <si>
    <t>cable encauchetado 3X14W</t>
  </si>
  <si>
    <t xml:space="preserve">led tipo panel de 60X60 40W </t>
  </si>
  <si>
    <t xml:space="preserve"> luminaria tipo tortuga de 7W</t>
  </si>
  <si>
    <t>luminaria tipo panel redondo de 18W</t>
  </si>
  <si>
    <t xml:space="preserve"> señalizacion de emergencia  led con batería con duración minima de 90min</t>
  </si>
  <si>
    <t>luminaria de emergencia  led con batería con duración minima de 90min</t>
  </si>
  <si>
    <t>Suministro e instalacion de canalizacion 2 vias en tuberia pvc 3"</t>
  </si>
  <si>
    <t>Suministro e instalacion de canalizacion en tuberia pvc 2"</t>
  </si>
  <si>
    <t>Suministro e instalacion de canalizacion en tuberia emt 2"</t>
  </si>
  <si>
    <t>Suministro e instalacion de canalizacion en tuberia pvc 3/4"</t>
  </si>
  <si>
    <t>Suministro e instalacion de canalizacion en tuberia emt 3/4"</t>
  </si>
  <si>
    <t>planta eléctrica de 100kva nominales (standby), trifásica. incluye: filtros, precalentador de camisas, breaker original de fábrica, flexible, tanque en la base de 350 lts (pared sencilla) y cabina antirruido tipo intemperie, salida aire frontal</t>
  </si>
  <si>
    <t>Ducto de escabe</t>
  </si>
  <si>
    <t>Monta Carga</t>
  </si>
  <si>
    <t>hr</t>
  </si>
  <si>
    <t>UPS bifasica on line de 6Kva con factor de potencia minimo de 0,85</t>
  </si>
  <si>
    <t>Cable Cu 3X8 awg</t>
  </si>
  <si>
    <t xml:space="preserve">Suministro e instalacion de Tablero de medida semidirecta tipo exterior  TC 100/5, Medidor Activa reactiva trifasico, bloque terminal de pruebas </t>
  </si>
  <si>
    <t xml:space="preserve">Tablero de medida semidirecta tipo exterior  TC 100/5, Medidor Activa reactiva trifasico, bloque terminal de pruebas </t>
  </si>
  <si>
    <t>Accesorios de fijación tablero de medida</t>
  </si>
  <si>
    <t>Tablero de control equipo de Presion (Dos Bombas de 1Hp) Siemens O Similar</t>
  </si>
  <si>
    <t>Accesorios de fijación tablero de equipo de bombeo</t>
  </si>
  <si>
    <t>Suministro e instalacion deTablero de 4 Circuitos trifilarServicios Generales Cuarto de Bombas incluye Breakers</t>
  </si>
  <si>
    <t>Tablero de 4 Circuitos trifilar</t>
  </si>
  <si>
    <t>protecciones 1X20A</t>
  </si>
  <si>
    <t>Suministro e instalacion deTablero General según diagrama unifilar Incluye transferencia automatica</t>
  </si>
  <si>
    <t xml:space="preserve">Tablero General según diagrama unifilar Incluye transferencia automatica </t>
  </si>
  <si>
    <t>Accesorios de fijación tablero general</t>
  </si>
  <si>
    <t>Suministro e instalacion deTablero regulado de 8 ctos incluye conmutador y protecciones clavijas VCP según diagrama unifilar</t>
  </si>
  <si>
    <t>Tablero regulado de 8 ctos incluye conmutador y protecciones según diagrama unifilar</t>
  </si>
  <si>
    <t>Accesorios de fijación tablero regulado</t>
  </si>
  <si>
    <t>Suministro e instalacion deTablero de transferencia equipo de  Red Contra Incendio (RCI) según diagrama unifilar con protecciones magneticas</t>
  </si>
  <si>
    <t>Tablero de transferencia equipo de  Red Contra Incendio (RCI) según diagrama unifilar con protecciones magneticas</t>
  </si>
  <si>
    <t>Suministro e instalacion de sistema de apantallamiento SIPRA tipo A, incluye piuntas captadoras con soporte, varillas cuperwell CuCu 2,40mX5/8", Aambron de aluminio o ASCR 1/0, bajantes desde el anillo superior hasta las varillas, soportes tipo DE, Tuberia PVC 3/4" para bajantes embebidos y cable de Cu No 2 AWG para bajantes.</t>
  </si>
  <si>
    <t>Cuadrilla A 1 Of + 1 Ay (jornal + prestaciones)</t>
  </si>
  <si>
    <t>Acarreo horizontal</t>
  </si>
  <si>
    <t>Cuadrilla B 1 Of + 2 Ay (jornal + prestaciones)</t>
  </si>
  <si>
    <t>Pasto trenza</t>
  </si>
  <si>
    <t>Tierra vegetal</t>
  </si>
  <si>
    <t>Acarreo Horizontal (% M.O.)</t>
  </si>
  <si>
    <t>%</t>
  </si>
  <si>
    <t>Herramienta Menor (% M.O.)</t>
  </si>
  <si>
    <t>Lija de agua</t>
  </si>
  <si>
    <t>Pintura vinilo</t>
  </si>
  <si>
    <t>Cinta de enmascarar 1/2"</t>
  </si>
  <si>
    <t>Rollo</t>
  </si>
  <si>
    <t>Brocha 4"</t>
  </si>
  <si>
    <t xml:space="preserve">Andamio de tijera completo 1.5 x 1.5 x 2,3 </t>
  </si>
  <si>
    <t xml:space="preserve">Estuco + pintura vinilo 3 manos cielo </t>
  </si>
  <si>
    <t xml:space="preserve">Estuco + pintura vinilo 3 manos muros </t>
  </si>
  <si>
    <t>Cuadrilla H (1Sold.+1Ay práctico) (jornal + prestaciones)</t>
  </si>
  <si>
    <t>Cuadrilla H  (1Sold.+1Ay práctico) (jornal + prestaciones)</t>
  </si>
  <si>
    <t>Cuadrilla A  1 Of + 1 Ay (jornal + prestaciones)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</si>
</sst>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9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 &quot;$&quot;\ * #,##0.00_ ;_ &quot;$&quot;\ * \-#,##0.00_ ;_ &quot;$&quot;\ * &quot;-&quot;??_ ;_ @_ "/>
    <numFmt numFmtId="167" formatCode="_-[$$-1409]* #,##0_-;\-[$$-1409]* #,##0_-;_-[$$-1409]* &quot;-&quot;_-;_-@_-"/>
    <numFmt numFmtId="168" formatCode="#,##0.00_);\-#,##0.00"/>
    <numFmt numFmtId="169" formatCode="_-[$$-83E]* #,##0_ ;_-[$$-83E]* \-#,##0\ ;_-[$$-83E]* &quot;-&quot;_ ;_-@_ "/>
    <numFmt numFmtId="170" formatCode="_([$$-240A]\ * #,##0_);_([$$-240A]\ * \(#,##0\);_([$$-240A]\ * &quot;-&quot;??_);_(@_)"/>
    <numFmt numFmtId="171" formatCode="[$$-240A]\ #,##0.00"/>
    <numFmt numFmtId="172" formatCode="[$-240A]General"/>
    <numFmt numFmtId="173" formatCode="&quot; $ &quot;#,##0.00&quot; &quot;;&quot; $ (&quot;#,##0.00&quot;)&quot;;&quot; $ -&quot;#&quot; &quot;;&quot; &quot;@&quot; &quot;"/>
    <numFmt numFmtId="174" formatCode="&quot; &quot;#,##0.00&quot; &quot;;&quot; (&quot;#,##0.00&quot;)&quot;;&quot; -&quot;#&quot; &quot;;&quot; &quot;@&quot; &quot;"/>
    <numFmt numFmtId="175" formatCode="_-* #,##0.00\ _€_-;\-* #,##0.00\ _€_-;_-* &quot;-&quot;??\ _€_-;_-@_-"/>
    <numFmt numFmtId="176" formatCode="_-&quot;$&quot;* #,##0_-;\-&quot;$&quot;* #,##0_-;_-&quot;$&quot;* &quot;-&quot;_-;_-@_-"/>
    <numFmt numFmtId="177" formatCode="_(&quot;$&quot;* #,##0.00_);_(&quot;$&quot;* \(#,##0.00\);_(&quot;$&quot;* &quot;-&quot;??_);_(@_)"/>
    <numFmt numFmtId="178" formatCode="_(&quot;C$&quot;* #,##0.00_);_(&quot;C$&quot;* \(#,##0.00\);_(&quot;C$&quot;* &quot;-&quot;??_);_(@_)"/>
    <numFmt numFmtId="179" formatCode="_ &quot;$&quot;\ * #,##0_ ;_ &quot;$&quot;\ * \-#,##0_ ;_ &quot;$&quot;\ * &quot;-&quot;??_ ;_ @_ "/>
    <numFmt numFmtId="180" formatCode="#,##0_ ;\-#,##0\ "/>
    <numFmt numFmtId="181" formatCode="_-* #,##0.000\ _€_-;\-* #,##0.000\ _€_-;_-* &quot;-&quot;??\ _€_-;_-@_-"/>
    <numFmt numFmtId="182" formatCode="#,##0.000\ _€;\-#,##0.000\ _€"/>
    <numFmt numFmtId="183" formatCode="_([$$-240A]\ * #,##0.00_);_([$$-240A]\ * \(#,##0.00\);_([$$-240A]\ * &quot;-&quot;??_);_(@_)"/>
    <numFmt numFmtId="184" formatCode="#,##0.000_);\(#,##0.000\)"/>
    <numFmt numFmtId="185" formatCode="#,##0.0000_);\(#,##0.0000\)"/>
    <numFmt numFmtId="186" formatCode="0.0000"/>
    <numFmt numFmtId="187" formatCode="_(* #,##0_);_(* \(#,##0\);_(* &quot;-&quot;??_);_(@_)"/>
    <numFmt numFmtId="188" formatCode="_(* #,##0.0000_);_(* \(#,##0.0000\);_(* &quot;-&quot;??_);_(@_)"/>
    <numFmt numFmtId="189" formatCode="_(* #,##0.000_);_(* \(#,##0.000\);_(* &quot;-&quot;??_);_(@_)"/>
    <numFmt numFmtId="190" formatCode="_(* #,##0.00000_);_(* \(#,##0.00000\);_(* &quot;-&quot;??_);_(@_)"/>
    <numFmt numFmtId="191" formatCode="_-* #,##0.0000\ _€_-;\-* #,##0.0000\ _€_-;_-* &quot;-&quot;??\ _€_-;_-@_-"/>
  </numFmts>
  <fonts count="51" x14ac:knownFonts="1">
    <font>
      <sz val="10"/>
      <color indexed="8"/>
      <name val="MS Sans Serif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MS Sans Serif"/>
      <family val="2"/>
    </font>
    <font>
      <b/>
      <sz val="9"/>
      <color indexed="8"/>
      <name val="Arial"/>
      <family val="2"/>
    </font>
    <font>
      <sz val="10"/>
      <color indexed="8"/>
      <name val="MS Sans Serif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color rgb="FF000000"/>
      <name val="MS Sans Serif"/>
      <family val="2"/>
    </font>
    <font>
      <sz val="11"/>
      <color rgb="FFFFFFFF"/>
      <name val="Calibri"/>
      <family val="2"/>
    </font>
    <font>
      <sz val="10"/>
      <color indexed="8"/>
      <name val="Arial Narrow"/>
      <family val="2"/>
    </font>
    <font>
      <sz val="10"/>
      <color theme="0" tint="-0.499984740745262"/>
      <name val="Arial Narrow"/>
      <family val="2"/>
    </font>
    <font>
      <b/>
      <sz val="10"/>
      <color indexed="8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theme="0"/>
      <name val="Arial Narrow"/>
      <family val="2"/>
    </font>
    <font>
      <b/>
      <sz val="12"/>
      <color indexed="9"/>
      <name val="Arial Narrow"/>
      <family val="2"/>
    </font>
    <font>
      <sz val="12"/>
      <name val="Arial"/>
      <family val="2"/>
    </font>
    <font>
      <sz val="10"/>
      <name val="Times New Roman"/>
      <family val="1"/>
    </font>
    <font>
      <sz val="10"/>
      <name val="Courier"/>
      <family val="3"/>
    </font>
    <font>
      <sz val="10"/>
      <name val="Courier"/>
      <family val="3"/>
    </font>
    <font>
      <sz val="11"/>
      <color theme="0"/>
      <name val="Calibri"/>
      <family val="2"/>
      <scheme val="minor"/>
    </font>
    <font>
      <sz val="9"/>
      <color theme="1"/>
      <name val="Arial"/>
      <family val="2"/>
    </font>
    <font>
      <b/>
      <sz val="12"/>
      <name val="Arial"/>
      <family val="2"/>
    </font>
    <font>
      <b/>
      <sz val="9"/>
      <color indexed="9"/>
      <name val="Arial"/>
      <family val="2"/>
    </font>
    <font>
      <sz val="10"/>
      <color indexed="8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sz val="12"/>
      <color indexed="9"/>
      <name val="Arial"/>
      <family val="2"/>
    </font>
    <font>
      <sz val="12"/>
      <color indexed="8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b/>
      <sz val="10"/>
      <color indexed="9"/>
      <name val="Arial"/>
      <family val="2"/>
    </font>
    <font>
      <b/>
      <sz val="10"/>
      <color indexed="8"/>
      <name val="Arial"/>
      <family val="2"/>
    </font>
    <font>
      <b/>
      <vertAlign val="superscript"/>
      <sz val="10"/>
      <color indexed="8"/>
      <name val="Arial"/>
      <family val="2"/>
    </font>
    <font>
      <vertAlign val="superscript"/>
      <sz val="10"/>
      <name val="Arial"/>
      <family val="2"/>
    </font>
    <font>
      <sz val="10"/>
      <color indexed="8"/>
      <name val="MS Sans Serif"/>
      <family val="2"/>
    </font>
    <font>
      <b/>
      <sz val="9"/>
      <name val="Arial"/>
      <family val="2"/>
    </font>
    <font>
      <b/>
      <sz val="10"/>
      <color theme="1"/>
      <name val="Arial Narrow"/>
      <family val="2"/>
    </font>
    <font>
      <i/>
      <sz val="10"/>
      <color indexed="8"/>
      <name val="Arial Narrow"/>
      <family val="2"/>
    </font>
    <font>
      <sz val="10"/>
      <color theme="1"/>
      <name val="Arial Narrow"/>
      <family val="2"/>
    </font>
    <font>
      <sz val="16"/>
      <color indexed="8"/>
      <name val="Arial Black"/>
      <family val="2"/>
    </font>
    <font>
      <sz val="12"/>
      <color indexed="9"/>
      <name val="Arial Narrow"/>
      <family val="2"/>
    </font>
    <font>
      <b/>
      <sz val="10"/>
      <color indexed="9"/>
      <name val="Arial Narrow"/>
      <family val="2"/>
    </font>
    <font>
      <sz val="8"/>
      <name val="MS Sans Serif"/>
    </font>
    <font>
      <sz val="10"/>
      <color indexed="8"/>
      <name val="MS Sans Serif"/>
    </font>
    <font>
      <sz val="9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8064A2"/>
        <bgColor rgb="FF8064A2"/>
      </patternFill>
    </fill>
    <fill>
      <patternFill patternType="solid">
        <fgColor indexed="8"/>
        <bgColor indexed="64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indexed="9"/>
      </bottom>
      <diagonal/>
    </border>
    <border>
      <left/>
      <right/>
      <top style="thick">
        <color indexed="9"/>
      </top>
      <bottom/>
      <diagonal/>
    </border>
    <border>
      <left style="thin">
        <color indexed="23"/>
      </left>
      <right style="thin">
        <color indexed="23"/>
      </right>
      <top style="thick">
        <color indexed="9"/>
      </top>
      <bottom style="thin">
        <color auto="1"/>
      </bottom>
      <diagonal/>
    </border>
    <border>
      <left/>
      <right/>
      <top style="thick">
        <color indexed="9"/>
      </top>
      <bottom style="thick">
        <color indexed="9"/>
      </bottom>
      <diagonal/>
    </border>
    <border>
      <left style="thin">
        <color indexed="23"/>
      </left>
      <right style="thin">
        <color indexed="23"/>
      </right>
      <top/>
      <bottom style="thin">
        <color indexed="64"/>
      </bottom>
      <diagonal/>
    </border>
    <border>
      <left/>
      <right/>
      <top style="thick">
        <color indexed="9"/>
      </top>
      <bottom style="medium">
        <color auto="1"/>
      </bottom>
      <diagonal/>
    </border>
    <border>
      <left/>
      <right/>
      <top style="thick">
        <color indexed="9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6">
    <xf numFmtId="0" fontId="0" fillId="0" borderId="0"/>
    <xf numFmtId="164" fontId="7" fillId="0" borderId="0" applyFont="0" applyFill="0" applyBorder="0" applyAlignment="0" applyProtection="0"/>
    <xf numFmtId="0" fontId="6" fillId="0" borderId="0"/>
    <xf numFmtId="165" fontId="8" fillId="0" borderId="0" applyFont="0" applyFill="0" applyBorder="0" applyAlignment="0" applyProtection="0"/>
    <xf numFmtId="0" fontId="5" fillId="0" borderId="0"/>
    <xf numFmtId="0" fontId="9" fillId="0" borderId="0"/>
    <xf numFmtId="168" fontId="5" fillId="0" borderId="0" applyFont="0" applyFill="0" applyBorder="0" applyAlignment="0" applyProtection="0"/>
    <xf numFmtId="0" fontId="5" fillId="0" borderId="0"/>
    <xf numFmtId="0" fontId="10" fillId="0" borderId="0"/>
    <xf numFmtId="172" fontId="11" fillId="0" borderId="0"/>
    <xf numFmtId="173" fontId="11" fillId="0" borderId="0"/>
    <xf numFmtId="172" fontId="12" fillId="4" borderId="0"/>
    <xf numFmtId="174" fontId="11" fillId="0" borderId="0"/>
    <xf numFmtId="167" fontId="4" fillId="0" borderId="0"/>
    <xf numFmtId="9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0" fontId="3" fillId="0" borderId="0"/>
    <xf numFmtId="16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176" fontId="2" fillId="0" borderId="0" applyFont="0" applyFill="0" applyBorder="0" applyAlignment="0" applyProtection="0"/>
    <xf numFmtId="177" fontId="9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22" fillId="0" borderId="0" applyFont="0" applyFill="0" applyBorder="0" applyAlignment="0" applyProtection="0"/>
    <xf numFmtId="39" fontId="23" fillId="0" borderId="0"/>
    <xf numFmtId="39" fontId="24" fillId="0" borderId="0"/>
    <xf numFmtId="0" fontId="2" fillId="0" borderId="0"/>
    <xf numFmtId="0" fontId="1" fillId="0" borderId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6" fillId="0" borderId="0">
      <alignment vertical="center"/>
    </xf>
    <xf numFmtId="9" fontId="40" fillId="0" borderId="0" applyFont="0" applyFill="0" applyBorder="0" applyAlignment="0" applyProtection="0"/>
    <xf numFmtId="165" fontId="6" fillId="0" borderId="0" applyFont="0" applyFill="0" applyBorder="0" applyAlignment="0" applyProtection="0"/>
    <xf numFmtId="176" fontId="49" fillId="0" borderId="0" applyFont="0" applyFill="0" applyBorder="0" applyAlignment="0" applyProtection="0"/>
  </cellStyleXfs>
  <cellXfs count="359">
    <xf numFmtId="0" fontId="0" fillId="0" borderId="0" xfId="0"/>
    <xf numFmtId="0" fontId="13" fillId="0" borderId="2" xfId="0" applyNumberFormat="1" applyFont="1" applyFill="1" applyBorder="1" applyAlignment="1" applyProtection="1">
      <alignment vertical="center"/>
    </xf>
    <xf numFmtId="167" fontId="13" fillId="0" borderId="2" xfId="0" applyNumberFormat="1" applyFont="1" applyFill="1" applyBorder="1" applyAlignment="1" applyProtection="1">
      <alignment vertical="center"/>
    </xf>
    <xf numFmtId="0" fontId="13" fillId="0" borderId="3" xfId="0" applyNumberFormat="1" applyFont="1" applyFill="1" applyBorder="1" applyAlignment="1" applyProtection="1">
      <alignment vertical="center"/>
    </xf>
    <xf numFmtId="0" fontId="13" fillId="0" borderId="0" xfId="0" applyNumberFormat="1" applyFont="1" applyFill="1" applyBorder="1" applyAlignment="1" applyProtection="1">
      <alignment vertical="center"/>
    </xf>
    <xf numFmtId="0" fontId="14" fillId="0" borderId="0" xfId="0" applyNumberFormat="1" applyFont="1" applyFill="1" applyBorder="1" applyAlignment="1" applyProtection="1">
      <alignment horizontal="center" vertical="center"/>
    </xf>
    <xf numFmtId="0" fontId="13" fillId="2" borderId="0" xfId="0" applyNumberFormat="1" applyFont="1" applyFill="1" applyBorder="1" applyAlignment="1" applyProtection="1">
      <alignment vertical="center"/>
    </xf>
    <xf numFmtId="167" fontId="13" fillId="0" borderId="0" xfId="0" applyNumberFormat="1" applyFont="1" applyFill="1" applyBorder="1" applyAlignment="1" applyProtection="1">
      <alignment vertical="center"/>
    </xf>
    <xf numFmtId="0" fontId="13" fillId="0" borderId="0" xfId="5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5" xfId="0" applyNumberFormat="1" applyFont="1" applyFill="1" applyBorder="1" applyAlignment="1" applyProtection="1">
      <alignment vertical="center"/>
    </xf>
    <xf numFmtId="0" fontId="18" fillId="0" borderId="0" xfId="0" applyFont="1" applyFill="1" applyBorder="1" applyAlignment="1">
      <alignment horizontal="center" vertical="center"/>
    </xf>
    <xf numFmtId="167" fontId="18" fillId="0" borderId="0" xfId="1" applyNumberFormat="1" applyFont="1" applyFill="1" applyBorder="1" applyAlignment="1">
      <alignment horizontal="center" vertical="center"/>
    </xf>
    <xf numFmtId="2" fontId="18" fillId="0" borderId="4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vertical="center"/>
    </xf>
    <xf numFmtId="2" fontId="18" fillId="0" borderId="4" xfId="0" applyNumberFormat="1" applyFont="1" applyFill="1" applyBorder="1" applyAlignment="1">
      <alignment horizontal="right" vertical="center"/>
    </xf>
    <xf numFmtId="2" fontId="18" fillId="0" borderId="6" xfId="0" applyNumberFormat="1" applyFont="1" applyFill="1" applyBorder="1" applyAlignment="1">
      <alignment horizontal="right" vertical="center"/>
    </xf>
    <xf numFmtId="0" fontId="18" fillId="0" borderId="7" xfId="0" applyFont="1" applyFill="1" applyBorder="1" applyAlignment="1">
      <alignment vertical="center"/>
    </xf>
    <xf numFmtId="0" fontId="18" fillId="0" borderId="7" xfId="0" applyFont="1" applyFill="1" applyBorder="1" applyAlignment="1">
      <alignment horizontal="center" vertical="center"/>
    </xf>
    <xf numFmtId="0" fontId="13" fillId="0" borderId="7" xfId="0" applyNumberFormat="1" applyFont="1" applyFill="1" applyBorder="1" applyAlignment="1" applyProtection="1">
      <alignment vertical="center"/>
    </xf>
    <xf numFmtId="167" fontId="18" fillId="0" borderId="7" xfId="1" applyNumberFormat="1" applyFont="1" applyFill="1" applyBorder="1" applyAlignment="1">
      <alignment horizontal="center" vertical="center"/>
    </xf>
    <xf numFmtId="0" fontId="13" fillId="0" borderId="8" xfId="0" applyNumberFormat="1" applyFont="1" applyFill="1" applyBorder="1" applyAlignment="1" applyProtection="1">
      <alignment vertical="center"/>
    </xf>
    <xf numFmtId="0" fontId="18" fillId="0" borderId="0" xfId="0" applyFont="1" applyFill="1" applyBorder="1" applyAlignment="1">
      <alignment horizontal="left" vertical="center" wrapText="1"/>
    </xf>
    <xf numFmtId="167" fontId="18" fillId="0" borderId="0" xfId="0" applyNumberFormat="1" applyFont="1" applyFill="1" applyBorder="1" applyAlignment="1">
      <alignment horizontal="left" vertical="center" wrapText="1"/>
    </xf>
    <xf numFmtId="0" fontId="18" fillId="0" borderId="0" xfId="0" applyNumberFormat="1" applyFont="1" applyFill="1" applyBorder="1" applyAlignment="1" applyProtection="1">
      <alignment horizontal="center" vertical="center"/>
    </xf>
    <xf numFmtId="0" fontId="15" fillId="0" borderId="0" xfId="0" applyNumberFormat="1" applyFont="1" applyFill="1" applyBorder="1" applyAlignment="1" applyProtection="1">
      <alignment vertical="center" wrapText="1"/>
    </xf>
    <xf numFmtId="0" fontId="26" fillId="0" borderId="0" xfId="32">
      <alignment vertical="center"/>
    </xf>
    <xf numFmtId="0" fontId="27" fillId="0" borderId="0" xfId="32" applyFont="1" applyFill="1" applyAlignment="1">
      <alignment horizontal="left" vertical="center"/>
    </xf>
    <xf numFmtId="0" fontId="28" fillId="0" borderId="0" xfId="32" applyFont="1" applyFill="1" applyAlignment="1">
      <alignment horizontal="center" vertical="center"/>
    </xf>
    <xf numFmtId="0" fontId="26" fillId="0" borderId="0" xfId="32" applyFill="1">
      <alignment vertical="center"/>
    </xf>
    <xf numFmtId="0" fontId="21" fillId="0" borderId="0" xfId="7" applyFont="1"/>
    <xf numFmtId="0" fontId="29" fillId="0" borderId="0" xfId="32" applyFont="1" applyFill="1" applyAlignment="1">
      <alignment horizontal="center" vertical="center"/>
    </xf>
    <xf numFmtId="0" fontId="29" fillId="0" borderId="0" xfId="32" applyFont="1" applyFill="1">
      <alignment vertical="center"/>
    </xf>
    <xf numFmtId="179" fontId="26" fillId="0" borderId="0" xfId="32" applyNumberFormat="1" applyFill="1">
      <alignment vertical="center"/>
    </xf>
    <xf numFmtId="0" fontId="21" fillId="0" borderId="0" xfId="7" applyFont="1" applyFill="1" applyBorder="1"/>
    <xf numFmtId="179" fontId="29" fillId="0" borderId="0" xfId="32" applyNumberFormat="1" applyFont="1" applyFill="1">
      <alignment vertical="center"/>
    </xf>
    <xf numFmtId="3" fontId="33" fillId="0" borderId="0" xfId="32" applyNumberFormat="1" applyFont="1" applyFill="1">
      <alignment vertical="center"/>
    </xf>
    <xf numFmtId="0" fontId="29" fillId="0" borderId="0" xfId="32" applyFont="1" applyAlignment="1">
      <alignment horizontal="center" vertical="center"/>
    </xf>
    <xf numFmtId="0" fontId="29" fillId="0" borderId="0" xfId="32" applyFont="1">
      <alignment vertical="center"/>
    </xf>
    <xf numFmtId="0" fontId="26" fillId="0" borderId="0" xfId="32" applyFill="1" applyAlignment="1">
      <alignment horizontal="center" vertical="center"/>
    </xf>
    <xf numFmtId="175" fontId="5" fillId="0" borderId="0" xfId="3" applyNumberFormat="1" applyFont="1" applyFill="1" applyBorder="1" applyAlignment="1" applyProtection="1">
      <alignment horizontal="center" vertical="center"/>
    </xf>
    <xf numFmtId="3" fontId="5" fillId="0" borderId="0" xfId="0" applyNumberFormat="1" applyFont="1" applyFill="1" applyBorder="1" applyAlignment="1" applyProtection="1">
      <alignment vertical="center"/>
    </xf>
    <xf numFmtId="39" fontId="5" fillId="0" borderId="0" xfId="0" applyNumberFormat="1" applyFont="1" applyFill="1" applyBorder="1" applyAlignment="1" applyProtection="1">
      <alignment horizontal="center" vertical="center"/>
    </xf>
    <xf numFmtId="39" fontId="5" fillId="0" borderId="0" xfId="0" applyNumberFormat="1" applyFont="1" applyFill="1" applyBorder="1" applyAlignment="1" applyProtection="1">
      <alignment horizontal="justify" vertical="center"/>
    </xf>
    <xf numFmtId="39" fontId="36" fillId="0" borderId="0" xfId="0" applyNumberFormat="1" applyFont="1" applyFill="1" applyBorder="1" applyAlignment="1">
      <alignment horizontal="center" vertical="center"/>
    </xf>
    <xf numFmtId="165" fontId="18" fillId="0" borderId="0" xfId="3" applyFont="1" applyFill="1" applyBorder="1" applyAlignment="1" applyProtection="1">
      <alignment horizontal="center" vertical="center"/>
    </xf>
    <xf numFmtId="165" fontId="18" fillId="0" borderId="0" xfId="3" applyFont="1" applyFill="1" applyAlignment="1">
      <alignment horizontal="center" vertical="center"/>
    </xf>
    <xf numFmtId="165" fontId="0" fillId="0" borderId="0" xfId="3" applyFont="1"/>
    <xf numFmtId="0" fontId="13" fillId="0" borderId="0" xfId="0" applyFont="1" applyFill="1" applyBorder="1" applyAlignment="1">
      <alignment horizontal="center" vertical="center"/>
    </xf>
    <xf numFmtId="167" fontId="13" fillId="0" borderId="0" xfId="0" applyNumberFormat="1" applyFont="1" applyFill="1" applyBorder="1" applyAlignment="1">
      <alignment horizontal="center" vertical="center"/>
    </xf>
    <xf numFmtId="0" fontId="13" fillId="0" borderId="9" xfId="0" applyNumberFormat="1" applyFont="1" applyFill="1" applyBorder="1" applyAlignment="1" applyProtection="1">
      <alignment vertical="center"/>
    </xf>
    <xf numFmtId="4" fontId="13" fillId="0" borderId="9" xfId="0" applyNumberFormat="1" applyFont="1" applyFill="1" applyBorder="1" applyAlignment="1" applyProtection="1">
      <alignment vertical="center"/>
    </xf>
    <xf numFmtId="167" fontId="13" fillId="0" borderId="9" xfId="0" applyNumberFormat="1" applyFont="1" applyFill="1" applyBorder="1" applyAlignment="1" applyProtection="1">
      <alignment vertical="center"/>
    </xf>
    <xf numFmtId="0" fontId="17" fillId="3" borderId="9" xfId="0" applyFont="1" applyFill="1" applyBorder="1" applyAlignment="1">
      <alignment horizontal="left" vertical="center"/>
    </xf>
    <xf numFmtId="167" fontId="17" fillId="3" borderId="9" xfId="0" applyNumberFormat="1" applyFont="1" applyFill="1" applyBorder="1" applyAlignment="1">
      <alignment horizontal="left" vertical="center"/>
    </xf>
    <xf numFmtId="2" fontId="18" fillId="0" borderId="9" xfId="0" applyNumberFormat="1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167" fontId="18" fillId="0" borderId="9" xfId="1" applyNumberFormat="1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vertical="center"/>
    </xf>
    <xf numFmtId="0" fontId="17" fillId="0" borderId="9" xfId="0" applyFont="1" applyFill="1" applyBorder="1" applyAlignment="1">
      <alignment horizontal="center" vertical="center"/>
    </xf>
    <xf numFmtId="167" fontId="17" fillId="0" borderId="9" xfId="1" applyNumberFormat="1" applyFont="1" applyFill="1" applyBorder="1" applyAlignment="1">
      <alignment horizontal="center" vertical="center"/>
    </xf>
    <xf numFmtId="0" fontId="17" fillId="3" borderId="9" xfId="0" applyFont="1" applyFill="1" applyBorder="1" applyAlignment="1">
      <alignment horizontal="center" vertical="center"/>
    </xf>
    <xf numFmtId="2" fontId="17" fillId="0" borderId="9" xfId="0" applyNumberFormat="1" applyFont="1" applyFill="1" applyBorder="1" applyAlignment="1">
      <alignment horizontal="left" vertical="center"/>
    </xf>
    <xf numFmtId="0" fontId="15" fillId="3" borderId="9" xfId="0" applyFont="1" applyFill="1" applyBorder="1" applyAlignment="1">
      <alignment horizontal="left" vertical="center"/>
    </xf>
    <xf numFmtId="0" fontId="13" fillId="3" borderId="9" xfId="0" applyNumberFormat="1" applyFont="1" applyFill="1" applyBorder="1" applyAlignment="1" applyProtection="1">
      <alignment vertical="center"/>
    </xf>
    <xf numFmtId="4" fontId="13" fillId="3" borderId="9" xfId="0" applyNumberFormat="1" applyFont="1" applyFill="1" applyBorder="1" applyAlignment="1" applyProtection="1">
      <alignment horizontal="center" vertical="center"/>
    </xf>
    <xf numFmtId="167" fontId="13" fillId="3" borderId="9" xfId="0" applyNumberFormat="1" applyFont="1" applyFill="1" applyBorder="1" applyAlignment="1" applyProtection="1">
      <alignment vertical="center"/>
    </xf>
    <xf numFmtId="4" fontId="13" fillId="0" borderId="9" xfId="0" applyNumberFormat="1" applyFont="1" applyFill="1" applyBorder="1" applyAlignment="1" applyProtection="1">
      <alignment horizontal="center" vertical="center"/>
    </xf>
    <xf numFmtId="0" fontId="13" fillId="0" borderId="9" xfId="5" applyFont="1" applyFill="1" applyBorder="1" applyAlignment="1">
      <alignment horizontal="left" vertical="center"/>
    </xf>
    <xf numFmtId="0" fontId="18" fillId="0" borderId="9" xfId="4" applyFont="1" applyFill="1" applyBorder="1" applyAlignment="1">
      <alignment horizontal="justify" vertical="center" wrapText="1"/>
    </xf>
    <xf numFmtId="0" fontId="18" fillId="0" borderId="9" xfId="4" applyFont="1" applyFill="1" applyBorder="1" applyAlignment="1">
      <alignment horizontal="center" vertical="center"/>
    </xf>
    <xf numFmtId="4" fontId="18" fillId="0" borderId="9" xfId="7" applyNumberFormat="1" applyFont="1" applyFill="1" applyBorder="1" applyAlignment="1">
      <alignment horizontal="center" vertical="center" wrapText="1"/>
    </xf>
    <xf numFmtId="167" fontId="18" fillId="0" borderId="9" xfId="7" applyNumberFormat="1" applyFont="1" applyFill="1" applyBorder="1" applyAlignment="1">
      <alignment vertical="center" wrapText="1"/>
    </xf>
    <xf numFmtId="170" fontId="18" fillId="0" borderId="9" xfId="6" applyNumberFormat="1" applyFont="1" applyFill="1" applyBorder="1" applyAlignment="1">
      <alignment vertical="center" wrapText="1"/>
    </xf>
    <xf numFmtId="0" fontId="13" fillId="0" borderId="9" xfId="5" applyFont="1" applyFill="1" applyBorder="1" applyAlignment="1">
      <alignment horizontal="center" vertical="center"/>
    </xf>
    <xf numFmtId="0" fontId="17" fillId="3" borderId="9" xfId="0" applyFont="1" applyFill="1" applyBorder="1" applyAlignment="1">
      <alignment horizontal="left" vertical="center" wrapText="1"/>
    </xf>
    <xf numFmtId="0" fontId="19" fillId="3" borderId="9" xfId="0" applyFont="1" applyFill="1" applyBorder="1" applyAlignment="1">
      <alignment horizontal="center" vertical="center" wrapText="1"/>
    </xf>
    <xf numFmtId="167" fontId="19" fillId="3" borderId="9" xfId="0" applyNumberFormat="1" applyFont="1" applyFill="1" applyBorder="1" applyAlignment="1">
      <alignment horizontal="right" vertical="center" wrapText="1"/>
    </xf>
    <xf numFmtId="171" fontId="19" fillId="3" borderId="9" xfId="0" applyNumberFormat="1" applyFont="1" applyFill="1" applyBorder="1" applyAlignment="1">
      <alignment horizontal="right" vertical="center" wrapText="1"/>
    </xf>
    <xf numFmtId="39" fontId="13" fillId="0" borderId="9" xfId="0" applyNumberFormat="1" applyFont="1" applyFill="1" applyBorder="1" applyAlignment="1">
      <alignment vertical="center" wrapText="1"/>
    </xf>
    <xf numFmtId="39" fontId="13" fillId="0" borderId="9" xfId="0" applyNumberFormat="1" applyFont="1" applyFill="1" applyBorder="1" applyAlignment="1">
      <alignment horizontal="center" vertical="center" wrapText="1"/>
    </xf>
    <xf numFmtId="183" fontId="13" fillId="0" borderId="9" xfId="0" applyNumberFormat="1" applyFont="1" applyFill="1" applyBorder="1" applyAlignment="1">
      <alignment vertical="center"/>
    </xf>
    <xf numFmtId="39" fontId="5" fillId="0" borderId="9" xfId="0" applyNumberFormat="1" applyFont="1" applyFill="1" applyBorder="1" applyAlignment="1" applyProtection="1">
      <alignment horizontal="justify" vertical="center"/>
    </xf>
    <xf numFmtId="39" fontId="5" fillId="0" borderId="9" xfId="0" applyNumberFormat="1" applyFont="1" applyFill="1" applyBorder="1" applyAlignment="1" applyProtection="1">
      <alignment horizontal="center" vertical="center"/>
    </xf>
    <xf numFmtId="175" fontId="5" fillId="0" borderId="9" xfId="3" applyNumberFormat="1" applyFont="1" applyFill="1" applyBorder="1" applyAlignment="1" applyProtection="1">
      <alignment horizontal="center" vertical="center"/>
    </xf>
    <xf numFmtId="3" fontId="5" fillId="0" borderId="9" xfId="0" applyNumberFormat="1" applyFont="1" applyFill="1" applyBorder="1" applyAlignment="1" applyProtection="1">
      <alignment vertical="center"/>
    </xf>
    <xf numFmtId="0" fontId="29" fillId="0" borderId="9" xfId="0" applyFont="1" applyFill="1" applyBorder="1" applyAlignment="1">
      <alignment vertical="center"/>
    </xf>
    <xf numFmtId="182" fontId="5" fillId="0" borderId="9" xfId="0" applyNumberFormat="1" applyFont="1" applyFill="1" applyBorder="1" applyAlignment="1" applyProtection="1">
      <alignment horizontal="center" vertical="center"/>
    </xf>
    <xf numFmtId="39" fontId="34" fillId="0" borderId="9" xfId="0" applyNumberFormat="1" applyFont="1" applyFill="1" applyBorder="1" applyAlignment="1">
      <alignment horizontal="center" vertical="center"/>
    </xf>
    <xf numFmtId="175" fontId="5" fillId="0" borderId="9" xfId="3" applyNumberFormat="1" applyFont="1" applyFill="1" applyBorder="1" applyAlignment="1">
      <alignment horizontal="center" vertical="center"/>
    </xf>
    <xf numFmtId="4" fontId="5" fillId="0" borderId="9" xfId="0" applyNumberFormat="1" applyFont="1" applyFill="1" applyBorder="1" applyAlignment="1">
      <alignment horizontal="center" vertical="center"/>
    </xf>
    <xf numFmtId="181" fontId="5" fillId="0" borderId="9" xfId="3" applyNumberFormat="1" applyFont="1" applyFill="1" applyBorder="1" applyAlignment="1">
      <alignment horizontal="center" vertical="center"/>
    </xf>
    <xf numFmtId="39" fontId="29" fillId="0" borderId="9" xfId="0" applyNumberFormat="1" applyFont="1" applyFill="1" applyBorder="1" applyAlignment="1" applyProtection="1">
      <alignment horizontal="justify" vertical="center"/>
      <protection locked="0"/>
    </xf>
    <xf numFmtId="181" fontId="5" fillId="0" borderId="9" xfId="3" applyNumberFormat="1" applyFont="1" applyFill="1" applyBorder="1" applyAlignment="1" applyProtection="1">
      <alignment horizontal="center" vertical="center"/>
    </xf>
    <xf numFmtId="0" fontId="30" fillId="0" borderId="9" xfId="7" applyFont="1" applyFill="1" applyBorder="1" applyAlignment="1">
      <alignment horizontal="centerContinuous" vertical="center"/>
    </xf>
    <xf numFmtId="0" fontId="30" fillId="0" borderId="9" xfId="7" applyFont="1" applyFill="1" applyBorder="1" applyAlignment="1">
      <alignment horizontal="center" vertical="center" wrapText="1"/>
    </xf>
    <xf numFmtId="0" fontId="27" fillId="0" borderId="9" xfId="7" applyFont="1" applyFill="1" applyBorder="1"/>
    <xf numFmtId="0" fontId="21" fillId="0" borderId="9" xfId="7" applyFont="1" applyFill="1" applyBorder="1"/>
    <xf numFmtId="0" fontId="21" fillId="0" borderId="9" xfId="7" applyFont="1" applyFill="1" applyBorder="1" applyAlignment="1">
      <alignment horizontal="left" indent="1"/>
    </xf>
    <xf numFmtId="10" fontId="21" fillId="0" borderId="9" xfId="19" applyNumberFormat="1" applyFont="1" applyFill="1" applyBorder="1"/>
    <xf numFmtId="10" fontId="31" fillId="0" borderId="9" xfId="19" applyNumberFormat="1" applyFont="1" applyFill="1" applyBorder="1"/>
    <xf numFmtId="0" fontId="32" fillId="5" borderId="9" xfId="32" applyFont="1" applyFill="1" applyBorder="1" applyAlignment="1">
      <alignment horizontal="center" vertical="center"/>
    </xf>
    <xf numFmtId="0" fontId="32" fillId="5" borderId="9" xfId="32" applyFont="1" applyFill="1" applyBorder="1" applyAlignment="1">
      <alignment horizontal="center" vertical="center" wrapText="1"/>
    </xf>
    <xf numFmtId="0" fontId="21" fillId="0" borderId="9" xfId="32" applyFont="1" applyBorder="1" applyAlignment="1">
      <alignment vertical="center"/>
    </xf>
    <xf numFmtId="180" fontId="33" fillId="9" borderId="9" xfId="32" applyNumberFormat="1" applyFont="1" applyFill="1" applyBorder="1">
      <alignment vertical="center"/>
    </xf>
    <xf numFmtId="180" fontId="33" fillId="0" borderId="9" xfId="32" applyNumberFormat="1" applyFont="1" applyFill="1" applyBorder="1" applyAlignment="1">
      <alignment horizontal="right" vertical="center"/>
    </xf>
    <xf numFmtId="180" fontId="33" fillId="0" borderId="9" xfId="32" applyNumberFormat="1" applyFont="1" applyFill="1" applyBorder="1">
      <alignment vertical="center"/>
    </xf>
    <xf numFmtId="3" fontId="33" fillId="0" borderId="9" xfId="32" applyNumberFormat="1" applyFont="1" applyFill="1" applyBorder="1">
      <alignment vertical="center"/>
    </xf>
    <xf numFmtId="0" fontId="33" fillId="0" borderId="9" xfId="32" applyFont="1" applyFill="1" applyBorder="1">
      <alignment vertical="center"/>
    </xf>
    <xf numFmtId="0" fontId="29" fillId="0" borderId="9" xfId="32" applyFont="1" applyFill="1" applyBorder="1">
      <alignment vertical="center"/>
    </xf>
    <xf numFmtId="0" fontId="29" fillId="0" borderId="9" xfId="32" applyFont="1" applyFill="1" applyBorder="1" applyAlignment="1">
      <alignment horizontal="center" vertical="center"/>
    </xf>
    <xf numFmtId="167" fontId="46" fillId="0" borderId="9" xfId="1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center" vertical="center"/>
    </xf>
    <xf numFmtId="167" fontId="13" fillId="0" borderId="2" xfId="0" applyNumberFormat="1" applyFont="1" applyFill="1" applyBorder="1" applyAlignment="1" applyProtection="1">
      <alignment horizontal="center" vertical="center"/>
    </xf>
    <xf numFmtId="167" fontId="17" fillId="0" borderId="22" xfId="1" applyNumberFormat="1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center" vertical="center"/>
    </xf>
    <xf numFmtId="167" fontId="13" fillId="0" borderId="0" xfId="0" applyNumberFormat="1" applyFont="1" applyFill="1" applyBorder="1" applyAlignment="1" applyProtection="1">
      <alignment horizontal="center" vertical="center"/>
    </xf>
    <xf numFmtId="169" fontId="17" fillId="0" borderId="23" xfId="1" applyNumberFormat="1" applyFont="1" applyFill="1" applyBorder="1" applyAlignment="1">
      <alignment horizontal="center" vertical="center"/>
    </xf>
    <xf numFmtId="167" fontId="20" fillId="0" borderId="6" xfId="1" applyNumberFormat="1" applyFont="1" applyFill="1" applyBorder="1" applyAlignment="1">
      <alignment horizontal="center" vertical="center"/>
    </xf>
    <xf numFmtId="167" fontId="17" fillId="0" borderId="7" xfId="1" applyNumberFormat="1" applyFont="1" applyFill="1" applyBorder="1" applyAlignment="1">
      <alignment horizontal="center" vertical="center"/>
    </xf>
    <xf numFmtId="167" fontId="13" fillId="0" borderId="7" xfId="0" applyNumberFormat="1" applyFont="1" applyFill="1" applyBorder="1" applyAlignment="1" applyProtection="1">
      <alignment vertical="center"/>
    </xf>
    <xf numFmtId="167" fontId="17" fillId="0" borderId="24" xfId="1" applyNumberFormat="1" applyFont="1" applyFill="1" applyBorder="1" applyAlignment="1">
      <alignment horizontal="center" vertical="center"/>
    </xf>
    <xf numFmtId="0" fontId="13" fillId="0" borderId="28" xfId="0" applyNumberFormat="1" applyFont="1" applyFill="1" applyBorder="1" applyAlignment="1" applyProtection="1">
      <alignment vertical="center"/>
    </xf>
    <xf numFmtId="164" fontId="13" fillId="0" borderId="28" xfId="1" applyFont="1" applyFill="1" applyBorder="1" applyAlignment="1" applyProtection="1">
      <alignment vertical="center"/>
    </xf>
    <xf numFmtId="167" fontId="13" fillId="0" borderId="28" xfId="0" applyNumberFormat="1" applyFont="1" applyFill="1" applyBorder="1" applyAlignment="1" applyProtection="1">
      <alignment vertical="center"/>
    </xf>
    <xf numFmtId="0" fontId="17" fillId="0" borderId="6" xfId="0" applyFont="1" applyFill="1" applyBorder="1" applyAlignment="1">
      <alignment horizontal="left" vertical="center"/>
    </xf>
    <xf numFmtId="0" fontId="17" fillId="0" borderId="7" xfId="0" applyFont="1" applyFill="1" applyBorder="1" applyAlignment="1">
      <alignment horizontal="center" vertical="center"/>
    </xf>
    <xf numFmtId="167" fontId="13" fillId="0" borderId="7" xfId="0" applyNumberFormat="1" applyFont="1" applyFill="1" applyBorder="1" applyAlignment="1" applyProtection="1">
      <alignment horizontal="center" vertical="center"/>
    </xf>
    <xf numFmtId="0" fontId="13" fillId="0" borderId="0" xfId="0" applyFont="1" applyAlignment="1">
      <alignment vertical="center"/>
    </xf>
    <xf numFmtId="2" fontId="16" fillId="0" borderId="28" xfId="0" applyNumberFormat="1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167" fontId="16" fillId="0" borderId="28" xfId="1" applyNumberFormat="1" applyFont="1" applyFill="1" applyBorder="1" applyAlignment="1">
      <alignment horizontal="center" vertical="center"/>
    </xf>
    <xf numFmtId="166" fontId="16" fillId="0" borderId="28" xfId="1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167" fontId="13" fillId="0" borderId="2" xfId="0" applyNumberFormat="1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5" fillId="0" borderId="2" xfId="0" applyFont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13" fillId="0" borderId="4" xfId="0" applyFont="1" applyBorder="1" applyAlignment="1">
      <alignment vertical="center"/>
    </xf>
    <xf numFmtId="0" fontId="15" fillId="0" borderId="0" xfId="0" applyFont="1" applyAlignment="1">
      <alignment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167" fontId="13" fillId="0" borderId="7" xfId="0" applyNumberFormat="1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2" fontId="17" fillId="11" borderId="27" xfId="0" applyNumberFormat="1" applyFont="1" applyFill="1" applyBorder="1" applyAlignment="1">
      <alignment horizontal="center" vertical="center"/>
    </xf>
    <xf numFmtId="0" fontId="17" fillId="11" borderId="25" xfId="0" applyFont="1" applyFill="1" applyBorder="1" applyAlignment="1">
      <alignment horizontal="center" vertical="center"/>
    </xf>
    <xf numFmtId="0" fontId="17" fillId="11" borderId="26" xfId="0" applyFont="1" applyFill="1" applyBorder="1" applyAlignment="1">
      <alignment horizontal="center" vertical="center"/>
    </xf>
    <xf numFmtId="0" fontId="17" fillId="11" borderId="32" xfId="0" applyFont="1" applyFill="1" applyBorder="1" applyAlignment="1">
      <alignment horizontal="center" vertical="center"/>
    </xf>
    <xf numFmtId="167" fontId="17" fillId="11" borderId="27" xfId="1" applyNumberFormat="1" applyFont="1" applyFill="1" applyBorder="1" applyAlignment="1">
      <alignment horizontal="center" vertical="center"/>
    </xf>
    <xf numFmtId="166" fontId="17" fillId="11" borderId="27" xfId="1" applyNumberFormat="1" applyFont="1" applyFill="1" applyBorder="1" applyAlignment="1">
      <alignment horizontal="center" vertical="center"/>
    </xf>
    <xf numFmtId="4" fontId="13" fillId="0" borderId="0" xfId="0" applyNumberFormat="1" applyFont="1" applyAlignment="1">
      <alignment vertical="center"/>
    </xf>
    <xf numFmtId="167" fontId="13" fillId="0" borderId="0" xfId="0" applyNumberFormat="1" applyFont="1" applyAlignment="1">
      <alignment vertical="center"/>
    </xf>
    <xf numFmtId="2" fontId="18" fillId="0" borderId="9" xfId="0" applyNumberFormat="1" applyFont="1" applyBorder="1" applyAlignment="1">
      <alignment horizontal="center" vertical="center"/>
    </xf>
    <xf numFmtId="0" fontId="18" fillId="0" borderId="9" xfId="0" applyFont="1" applyBorder="1" applyAlignment="1">
      <alignment vertical="center" wrapText="1"/>
    </xf>
    <xf numFmtId="0" fontId="18" fillId="0" borderId="9" xfId="0" applyFont="1" applyBorder="1" applyAlignment="1">
      <alignment horizontal="center" vertical="center"/>
    </xf>
    <xf numFmtId="2" fontId="17" fillId="0" borderId="9" xfId="0" applyNumberFormat="1" applyFont="1" applyBorder="1" applyAlignment="1">
      <alignment horizontal="left" vertical="center"/>
    </xf>
    <xf numFmtId="0" fontId="17" fillId="0" borderId="9" xfId="0" applyFont="1" applyBorder="1" applyAlignment="1">
      <alignment vertical="center"/>
    </xf>
    <xf numFmtId="0" fontId="17" fillId="0" borderId="9" xfId="0" applyFont="1" applyBorder="1" applyAlignment="1">
      <alignment horizontal="center" vertical="center"/>
    </xf>
    <xf numFmtId="0" fontId="13" fillId="3" borderId="9" xfId="0" applyFont="1" applyFill="1" applyBorder="1" applyAlignment="1">
      <alignment vertical="center"/>
    </xf>
    <xf numFmtId="4" fontId="13" fillId="3" borderId="9" xfId="0" applyNumberFormat="1" applyFont="1" applyFill="1" applyBorder="1" applyAlignment="1">
      <alignment horizontal="center" vertical="center"/>
    </xf>
    <xf numFmtId="167" fontId="13" fillId="3" borderId="9" xfId="0" applyNumberFormat="1" applyFont="1" applyFill="1" applyBorder="1" applyAlignment="1">
      <alignment vertical="center"/>
    </xf>
    <xf numFmtId="0" fontId="18" fillId="0" borderId="9" xfId="0" applyFont="1" applyBorder="1" applyAlignment="1">
      <alignment vertical="center"/>
    </xf>
    <xf numFmtId="0" fontId="18" fillId="0" borderId="9" xfId="0" applyFont="1" applyBorder="1" applyAlignment="1">
      <alignment horizontal="left" vertical="center" wrapText="1"/>
    </xf>
    <xf numFmtId="0" fontId="13" fillId="0" borderId="9" xfId="0" applyFont="1" applyBorder="1" applyAlignment="1">
      <alignment vertical="center"/>
    </xf>
    <xf numFmtId="4" fontId="13" fillId="0" borderId="9" xfId="0" applyNumberFormat="1" applyFont="1" applyBorder="1" applyAlignment="1">
      <alignment horizontal="center" vertical="center"/>
    </xf>
    <xf numFmtId="167" fontId="13" fillId="0" borderId="9" xfId="0" applyNumberFormat="1" applyFont="1" applyBorder="1" applyAlignment="1">
      <alignment vertical="center"/>
    </xf>
    <xf numFmtId="167" fontId="15" fillId="0" borderId="9" xfId="0" applyNumberFormat="1" applyFont="1" applyBorder="1" applyAlignment="1">
      <alignment vertical="center"/>
    </xf>
    <xf numFmtId="0" fontId="17" fillId="0" borderId="9" xfId="0" applyFont="1" applyBorder="1" applyAlignment="1">
      <alignment vertical="center" wrapText="1"/>
    </xf>
    <xf numFmtId="187" fontId="13" fillId="0" borderId="0" xfId="3" applyNumberFormat="1" applyFont="1" applyFill="1" applyBorder="1" applyAlignment="1" applyProtection="1">
      <alignment vertical="center"/>
    </xf>
    <xf numFmtId="0" fontId="13" fillId="0" borderId="5" xfId="0" applyFont="1" applyBorder="1" applyAlignment="1">
      <alignment vertical="center"/>
    </xf>
    <xf numFmtId="0" fontId="17" fillId="0" borderId="1" xfId="0" applyFont="1" applyBorder="1" applyAlignment="1">
      <alignment horizontal="left" vertical="center"/>
    </xf>
    <xf numFmtId="0" fontId="17" fillId="0" borderId="2" xfId="0" applyFont="1" applyBorder="1" applyAlignment="1">
      <alignment horizontal="center" vertical="center"/>
    </xf>
    <xf numFmtId="167" fontId="13" fillId="0" borderId="2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17" fillId="0" borderId="0" xfId="0" applyFont="1" applyAlignment="1">
      <alignment horizontal="center" vertical="center"/>
    </xf>
    <xf numFmtId="167" fontId="13" fillId="0" borderId="0" xfId="0" applyNumberFormat="1" applyFont="1" applyAlignment="1">
      <alignment horizontal="center" vertical="center"/>
    </xf>
    <xf numFmtId="167" fontId="17" fillId="0" borderId="23" xfId="1" applyNumberFormat="1" applyFont="1" applyFill="1" applyBorder="1" applyAlignment="1">
      <alignment horizontal="center" vertical="center"/>
    </xf>
    <xf numFmtId="164" fontId="13" fillId="0" borderId="2" xfId="1" applyFont="1" applyFill="1" applyBorder="1" applyAlignment="1" applyProtection="1">
      <alignment vertical="center"/>
    </xf>
    <xf numFmtId="0" fontId="13" fillId="0" borderId="22" xfId="0" applyFont="1" applyBorder="1" applyAlignment="1">
      <alignment vertical="center"/>
    </xf>
    <xf numFmtId="167" fontId="47" fillId="11" borderId="25" xfId="1" applyNumberFormat="1" applyFont="1" applyFill="1" applyBorder="1" applyAlignment="1">
      <alignment horizontal="center" vertical="center"/>
    </xf>
    <xf numFmtId="167" fontId="17" fillId="11" borderId="26" xfId="1" applyNumberFormat="1" applyFont="1" applyFill="1" applyBorder="1" applyAlignment="1">
      <alignment horizontal="center" vertical="center"/>
    </xf>
    <xf numFmtId="167" fontId="47" fillId="11" borderId="26" xfId="1" applyNumberFormat="1" applyFont="1" applyFill="1" applyBorder="1" applyAlignment="1">
      <alignment horizontal="center" vertical="center"/>
    </xf>
    <xf numFmtId="167" fontId="13" fillId="11" borderId="26" xfId="0" applyNumberFormat="1" applyFont="1" applyFill="1" applyBorder="1" applyAlignment="1">
      <alignment vertical="center"/>
    </xf>
    <xf numFmtId="2" fontId="18" fillId="0" borderId="1" xfId="0" applyNumberFormat="1" applyFont="1" applyBorder="1" applyAlignment="1">
      <alignment horizontal="center" vertical="center"/>
    </xf>
    <xf numFmtId="0" fontId="18" fillId="0" borderId="2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167" fontId="18" fillId="0" borderId="2" xfId="1" applyNumberFormat="1" applyFont="1" applyFill="1" applyBorder="1" applyAlignment="1">
      <alignment horizontal="center" vertical="center"/>
    </xf>
    <xf numFmtId="2" fontId="18" fillId="0" borderId="4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2" fontId="18" fillId="0" borderId="4" xfId="0" applyNumberFormat="1" applyFont="1" applyBorder="1" applyAlignment="1">
      <alignment horizontal="right" vertical="center"/>
    </xf>
    <xf numFmtId="2" fontId="18" fillId="0" borderId="6" xfId="0" applyNumberFormat="1" applyFont="1" applyBorder="1" applyAlignment="1">
      <alignment horizontal="right" vertical="center"/>
    </xf>
    <xf numFmtId="0" fontId="18" fillId="0" borderId="7" xfId="0" applyFont="1" applyBorder="1" applyAlignment="1">
      <alignment vertical="center"/>
    </xf>
    <xf numFmtId="0" fontId="18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8" fillId="0" borderId="0" xfId="0" applyFont="1" applyAlignment="1">
      <alignment horizontal="left" vertical="center" wrapText="1"/>
    </xf>
    <xf numFmtId="167" fontId="18" fillId="0" borderId="0" xfId="0" applyNumberFormat="1" applyFont="1" applyAlignment="1">
      <alignment horizontal="left" vertical="center" wrapText="1"/>
    </xf>
    <xf numFmtId="2" fontId="18" fillId="10" borderId="9" xfId="0" applyNumberFormat="1" applyFont="1" applyFill="1" applyBorder="1" applyAlignment="1">
      <alignment horizontal="center" vertical="center"/>
    </xf>
    <xf numFmtId="0" fontId="18" fillId="10" borderId="9" xfId="0" applyFont="1" applyFill="1" applyBorder="1" applyAlignment="1">
      <alignment vertical="center" wrapText="1"/>
    </xf>
    <xf numFmtId="0" fontId="18" fillId="10" borderId="9" xfId="0" applyFont="1" applyFill="1" applyBorder="1" applyAlignment="1">
      <alignment horizontal="center" vertical="center"/>
    </xf>
    <xf numFmtId="0" fontId="18" fillId="10" borderId="9" xfId="0" applyFont="1" applyFill="1" applyBorder="1" applyAlignment="1">
      <alignment vertical="center"/>
    </xf>
    <xf numFmtId="0" fontId="18" fillId="10" borderId="9" xfId="0" applyFont="1" applyFill="1" applyBorder="1" applyAlignment="1">
      <alignment horizontal="left" vertical="center" wrapText="1"/>
    </xf>
    <xf numFmtId="167" fontId="18" fillId="10" borderId="9" xfId="1" applyNumberFormat="1" applyFont="1" applyFill="1" applyBorder="1" applyAlignment="1">
      <alignment horizontal="center" vertical="center"/>
    </xf>
    <xf numFmtId="179" fontId="27" fillId="0" borderId="0" xfId="18" applyNumberFormat="1" applyFont="1" applyFill="1"/>
    <xf numFmtId="0" fontId="43" fillId="0" borderId="10" xfId="0" applyNumberFormat="1" applyFont="1" applyFill="1" applyBorder="1" applyAlignment="1" applyProtection="1">
      <alignment vertical="center" wrapText="1"/>
    </xf>
    <xf numFmtId="0" fontId="43" fillId="0" borderId="0" xfId="0" applyNumberFormat="1" applyFont="1" applyFill="1" applyBorder="1" applyAlignment="1" applyProtection="1">
      <alignment vertical="center" wrapText="1"/>
    </xf>
    <xf numFmtId="0" fontId="41" fillId="0" borderId="0" xfId="0" applyFont="1" applyAlignment="1">
      <alignment vertical="center" wrapText="1"/>
    </xf>
    <xf numFmtId="0" fontId="50" fillId="0" borderId="0" xfId="0" applyFont="1" applyAlignment="1">
      <alignment horizontal="center" vertical="center"/>
    </xf>
    <xf numFmtId="189" fontId="50" fillId="0" borderId="0" xfId="34" applyNumberFormat="1" applyFont="1" applyAlignment="1">
      <alignment horizontal="center" vertical="center"/>
    </xf>
    <xf numFmtId="164" fontId="50" fillId="0" borderId="0" xfId="1" applyFont="1" applyAlignment="1">
      <alignment horizontal="center" vertical="center"/>
    </xf>
    <xf numFmtId="0" fontId="50" fillId="0" borderId="0" xfId="0" applyFont="1" applyAlignment="1">
      <alignment vertical="center" wrapText="1"/>
    </xf>
    <xf numFmtId="164" fontId="50" fillId="0" borderId="0" xfId="1" applyFont="1" applyAlignment="1">
      <alignment vertical="center"/>
    </xf>
    <xf numFmtId="165" fontId="50" fillId="0" borderId="0" xfId="34" applyFont="1" applyAlignment="1">
      <alignment horizontal="center" vertical="center"/>
    </xf>
    <xf numFmtId="190" fontId="50" fillId="0" borderId="0" xfId="34" applyNumberFormat="1" applyFont="1" applyAlignment="1">
      <alignment horizontal="center" vertical="center"/>
    </xf>
    <xf numFmtId="176" fontId="5" fillId="0" borderId="0" xfId="35" applyFont="1" applyAlignment="1">
      <alignment vertical="center"/>
    </xf>
    <xf numFmtId="0" fontId="29" fillId="0" borderId="0" xfId="0" applyFont="1" applyAlignment="1">
      <alignment horizontal="center" vertical="center"/>
    </xf>
    <xf numFmtId="176" fontId="5" fillId="0" borderId="0" xfId="35" applyFont="1" applyAlignment="1">
      <alignment horizontal="right" vertical="center"/>
    </xf>
    <xf numFmtId="2" fontId="18" fillId="12" borderId="9" xfId="0" applyNumberFormat="1" applyFont="1" applyFill="1" applyBorder="1" applyAlignment="1">
      <alignment horizontal="center" vertical="center"/>
    </xf>
    <xf numFmtId="0" fontId="18" fillId="12" borderId="9" xfId="0" applyFont="1" applyFill="1" applyBorder="1" applyAlignment="1">
      <alignment vertical="center" wrapText="1"/>
    </xf>
    <xf numFmtId="0" fontId="18" fillId="12" borderId="9" xfId="0" applyFont="1" applyFill="1" applyBorder="1" applyAlignment="1">
      <alignment horizontal="center" vertical="center"/>
    </xf>
    <xf numFmtId="167" fontId="18" fillId="12" borderId="9" xfId="1" applyNumberFormat="1" applyFont="1" applyFill="1" applyBorder="1" applyAlignment="1">
      <alignment horizontal="center" vertical="center"/>
    </xf>
    <xf numFmtId="0" fontId="18" fillId="12" borderId="9" xfId="0" applyFont="1" applyFill="1" applyBorder="1" applyAlignment="1">
      <alignment vertical="center"/>
    </xf>
    <xf numFmtId="0" fontId="18" fillId="12" borderId="9" xfId="0" applyFont="1" applyFill="1" applyBorder="1" applyAlignment="1">
      <alignment horizontal="left" vertical="center" wrapText="1"/>
    </xf>
    <xf numFmtId="0" fontId="44" fillId="0" borderId="0" xfId="16" applyFont="1" applyFill="1" applyAlignment="1">
      <alignment vertical="center"/>
    </xf>
    <xf numFmtId="39" fontId="37" fillId="0" borderId="9" xfId="0" applyNumberFormat="1" applyFont="1" applyFill="1" applyBorder="1" applyAlignment="1" applyProtection="1">
      <alignment horizontal="center" vertical="center"/>
      <protection locked="0"/>
    </xf>
    <xf numFmtId="39" fontId="37" fillId="0" borderId="9" xfId="0" applyNumberFormat="1" applyFont="1" applyFill="1" applyBorder="1" applyAlignment="1" applyProtection="1">
      <alignment horizontal="justify" vertical="center"/>
      <protection locked="0"/>
    </xf>
    <xf numFmtId="175" fontId="34" fillId="0" borderId="9" xfId="3" applyNumberFormat="1" applyFont="1" applyFill="1" applyBorder="1" applyAlignment="1" applyProtection="1">
      <alignment horizontal="center" vertical="center"/>
    </xf>
    <xf numFmtId="3" fontId="34" fillId="0" borderId="9" xfId="0" applyNumberFormat="1" applyFont="1" applyFill="1" applyBorder="1" applyAlignment="1" applyProtection="1">
      <alignment vertical="center"/>
    </xf>
    <xf numFmtId="3" fontId="37" fillId="0" borderId="9" xfId="0" applyNumberFormat="1" applyFont="1" applyFill="1" applyBorder="1" applyAlignment="1">
      <alignment vertical="center"/>
    </xf>
    <xf numFmtId="0" fontId="0" fillId="0" borderId="0" xfId="0" applyFill="1"/>
    <xf numFmtId="39" fontId="36" fillId="0" borderId="9" xfId="31" applyNumberFormat="1" applyFont="1" applyFill="1" applyBorder="1" applyAlignment="1">
      <alignment horizontal="center" vertical="center"/>
    </xf>
    <xf numFmtId="39" fontId="36" fillId="0" borderId="9" xfId="30" applyNumberFormat="1" applyFont="1" applyFill="1" applyBorder="1" applyAlignment="1">
      <alignment horizontal="center" vertical="center"/>
    </xf>
    <xf numFmtId="39" fontId="34" fillId="0" borderId="9" xfId="0" applyNumberFormat="1" applyFont="1" applyFill="1" applyBorder="1" applyAlignment="1" applyProtection="1">
      <alignment horizontal="center" vertical="center"/>
      <protection locked="0"/>
    </xf>
    <xf numFmtId="39" fontId="34" fillId="0" borderId="9" xfId="0" applyNumberFormat="1" applyFont="1" applyFill="1" applyBorder="1" applyAlignment="1" applyProtection="1">
      <alignment horizontal="justify" vertical="center"/>
      <protection locked="0"/>
    </xf>
    <xf numFmtId="175" fontId="34" fillId="0" borderId="9" xfId="3" applyNumberFormat="1" applyFont="1" applyFill="1" applyBorder="1" applyAlignment="1">
      <alignment horizontal="center" vertical="center"/>
    </xf>
    <xf numFmtId="3" fontId="34" fillId="0" borderId="9" xfId="0" applyNumberFormat="1" applyFont="1" applyFill="1" applyBorder="1" applyAlignment="1">
      <alignment vertical="center"/>
    </xf>
    <xf numFmtId="39" fontId="36" fillId="0" borderId="9" xfId="0" applyNumberFormat="1" applyFont="1" applyFill="1" applyBorder="1" applyAlignment="1">
      <alignment horizontal="center" vertical="center"/>
    </xf>
    <xf numFmtId="167" fontId="13" fillId="12" borderId="9" xfId="0" applyNumberFormat="1" applyFont="1" applyFill="1" applyBorder="1" applyAlignment="1" applyProtection="1">
      <alignment vertical="center"/>
    </xf>
    <xf numFmtId="0" fontId="17" fillId="12" borderId="9" xfId="0" applyFont="1" applyFill="1" applyBorder="1" applyAlignment="1">
      <alignment vertical="center" wrapText="1"/>
    </xf>
    <xf numFmtId="186" fontId="18" fillId="12" borderId="9" xfId="0" applyNumberFormat="1" applyFont="1" applyFill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3" fontId="41" fillId="0" borderId="0" xfId="0" applyNumberFormat="1" applyFont="1" applyAlignment="1">
      <alignment horizontal="justify" vertical="center" wrapText="1"/>
    </xf>
    <xf numFmtId="2" fontId="37" fillId="0" borderId="0" xfId="0" applyNumberFormat="1" applyFont="1" applyAlignment="1">
      <alignment horizontal="center" vertical="center"/>
    </xf>
    <xf numFmtId="176" fontId="29" fillId="0" borderId="0" xfId="35" applyFont="1" applyAlignment="1">
      <alignment vertical="center"/>
    </xf>
    <xf numFmtId="3" fontId="41" fillId="0" borderId="0" xfId="0" applyNumberFormat="1" applyFont="1" applyAlignment="1">
      <alignment horizontal="justify" vertical="center"/>
    </xf>
    <xf numFmtId="0" fontId="29" fillId="0" borderId="0" xfId="0" applyFont="1" applyAlignment="1">
      <alignment vertical="center" wrapText="1"/>
    </xf>
    <xf numFmtId="0" fontId="29" fillId="0" borderId="0" xfId="0" applyFont="1" applyAlignment="1">
      <alignment vertical="center"/>
    </xf>
    <xf numFmtId="0" fontId="41" fillId="0" borderId="0" xfId="0" applyFont="1" applyAlignment="1">
      <alignment horizontal="center" vertical="center"/>
    </xf>
    <xf numFmtId="188" fontId="41" fillId="0" borderId="0" xfId="34" applyNumberFormat="1" applyFont="1" applyAlignment="1">
      <alignment horizontal="center" vertical="center"/>
    </xf>
    <xf numFmtId="165" fontId="41" fillId="0" borderId="0" xfId="34" applyFont="1" applyAlignment="1">
      <alignment horizontal="center" vertical="center"/>
    </xf>
    <xf numFmtId="3" fontId="41" fillId="0" borderId="0" xfId="34" applyNumberFormat="1" applyFont="1" applyAlignment="1">
      <alignment vertical="center"/>
    </xf>
    <xf numFmtId="0" fontId="37" fillId="0" borderId="0" xfId="0" applyFont="1" applyAlignment="1">
      <alignment vertical="center"/>
    </xf>
    <xf numFmtId="188" fontId="50" fillId="0" borderId="0" xfId="34" applyNumberFormat="1" applyFont="1" applyAlignment="1">
      <alignment horizontal="center" vertical="center"/>
    </xf>
    <xf numFmtId="39" fontId="5" fillId="0" borderId="0" xfId="0" applyNumberFormat="1" applyFont="1" applyAlignment="1">
      <alignment horizontal="justify" vertical="center" wrapText="1"/>
    </xf>
    <xf numFmtId="44" fontId="29" fillId="0" borderId="0" xfId="0" applyNumberFormat="1" applyFont="1" applyAlignment="1">
      <alignment vertical="center"/>
    </xf>
    <xf numFmtId="10" fontId="42" fillId="2" borderId="0" xfId="33" applyNumberFormat="1" applyFont="1" applyFill="1" applyBorder="1" applyAlignment="1" applyProtection="1">
      <alignment vertical="center"/>
    </xf>
    <xf numFmtId="167" fontId="13" fillId="2" borderId="0" xfId="0" applyNumberFormat="1" applyFont="1" applyFill="1" applyBorder="1" applyAlignment="1" applyProtection="1">
      <alignment horizontal="center" vertical="center"/>
    </xf>
    <xf numFmtId="169" fontId="17" fillId="2" borderId="23" xfId="1" applyNumberFormat="1" applyFont="1" applyFill="1" applyBorder="1" applyAlignment="1">
      <alignment horizontal="center" vertical="center"/>
    </xf>
    <xf numFmtId="39" fontId="37" fillId="13" borderId="10" xfId="0" applyNumberFormat="1" applyFont="1" applyFill="1" applyBorder="1" applyAlignment="1" applyProtection="1">
      <alignment horizontal="center" vertical="center"/>
      <protection locked="0"/>
    </xf>
    <xf numFmtId="39" fontId="37" fillId="13" borderId="10" xfId="0" applyNumberFormat="1" applyFont="1" applyFill="1" applyBorder="1" applyAlignment="1" applyProtection="1">
      <alignment horizontal="justify" vertical="center"/>
      <protection locked="0"/>
    </xf>
    <xf numFmtId="175" fontId="34" fillId="13" borderId="10" xfId="3" applyNumberFormat="1" applyFont="1" applyFill="1" applyBorder="1" applyAlignment="1" applyProtection="1">
      <alignment horizontal="center" vertical="center"/>
    </xf>
    <xf numFmtId="3" fontId="34" fillId="13" borderId="10" xfId="0" applyNumberFormat="1" applyFont="1" applyFill="1" applyBorder="1" applyAlignment="1" applyProtection="1">
      <alignment vertical="center"/>
    </xf>
    <xf numFmtId="39" fontId="34" fillId="13" borderId="10" xfId="0" applyNumberFormat="1" applyFont="1" applyFill="1" applyBorder="1" applyAlignment="1">
      <alignment horizontal="center" vertical="center"/>
    </xf>
    <xf numFmtId="3" fontId="37" fillId="13" borderId="10" xfId="0" applyNumberFormat="1" applyFont="1" applyFill="1" applyBorder="1" applyAlignment="1">
      <alignment vertical="center"/>
    </xf>
    <xf numFmtId="39" fontId="36" fillId="13" borderId="0" xfId="0" applyNumberFormat="1" applyFont="1" applyFill="1" applyBorder="1" applyAlignment="1">
      <alignment horizontal="center" vertical="center"/>
    </xf>
    <xf numFmtId="39" fontId="5" fillId="13" borderId="0" xfId="0" applyNumberFormat="1" applyFont="1" applyFill="1" applyAlignment="1" applyProtection="1">
      <alignment horizontal="justify" vertical="center"/>
    </xf>
    <xf numFmtId="39" fontId="5" fillId="13" borderId="0" xfId="0" applyNumberFormat="1" applyFont="1" applyFill="1" applyAlignment="1" applyProtection="1">
      <alignment horizontal="center" vertical="center"/>
    </xf>
    <xf numFmtId="175" fontId="5" fillId="13" borderId="0" xfId="3" applyNumberFormat="1" applyFont="1" applyFill="1" applyAlignment="1" applyProtection="1">
      <alignment horizontal="center" vertical="center"/>
    </xf>
    <xf numFmtId="3" fontId="5" fillId="13" borderId="0" xfId="0" applyNumberFormat="1" applyFont="1" applyFill="1" applyAlignment="1" applyProtection="1">
      <alignment vertical="center"/>
    </xf>
    <xf numFmtId="39" fontId="36" fillId="13" borderId="15" xfId="0" applyNumberFormat="1" applyFont="1" applyFill="1" applyBorder="1" applyAlignment="1">
      <alignment horizontal="center" vertical="center"/>
    </xf>
    <xf numFmtId="181" fontId="5" fillId="13" borderId="0" xfId="3" applyNumberFormat="1" applyFont="1" applyFill="1" applyAlignment="1" applyProtection="1">
      <alignment horizontal="center" vertical="center"/>
    </xf>
    <xf numFmtId="39" fontId="36" fillId="13" borderId="18" xfId="31" applyNumberFormat="1" applyFont="1" applyFill="1" applyBorder="1" applyAlignment="1">
      <alignment horizontal="center" vertical="center"/>
    </xf>
    <xf numFmtId="39" fontId="5" fillId="13" borderId="14" xfId="0" applyNumberFormat="1" applyFont="1" applyFill="1" applyBorder="1" applyAlignment="1" applyProtection="1">
      <alignment horizontal="justify" vertical="center"/>
    </xf>
    <xf numFmtId="39" fontId="5" fillId="13" borderId="14" xfId="0" applyNumberFormat="1" applyFont="1" applyFill="1" applyBorder="1" applyAlignment="1" applyProtection="1">
      <alignment horizontal="center" vertical="center"/>
    </xf>
    <xf numFmtId="181" fontId="5" fillId="13" borderId="14" xfId="3" applyNumberFormat="1" applyFont="1" applyFill="1" applyBorder="1" applyAlignment="1" applyProtection="1">
      <alignment horizontal="center" vertical="center"/>
    </xf>
    <xf numFmtId="3" fontId="5" fillId="13" borderId="14" xfId="0" applyNumberFormat="1" applyFont="1" applyFill="1" applyBorder="1" applyAlignment="1" applyProtection="1">
      <alignment vertical="center"/>
    </xf>
    <xf numFmtId="4" fontId="5" fillId="13" borderId="0" xfId="0" applyNumberFormat="1" applyFont="1" applyFill="1" applyBorder="1" applyAlignment="1">
      <alignment horizontal="center" vertical="center"/>
    </xf>
    <xf numFmtId="191" fontId="5" fillId="13" borderId="0" xfId="3" applyNumberFormat="1" applyFont="1" applyFill="1" applyAlignment="1" applyProtection="1">
      <alignment horizontal="center" vertical="center"/>
    </xf>
    <xf numFmtId="39" fontId="29" fillId="13" borderId="0" xfId="0" applyNumberFormat="1" applyFont="1" applyFill="1" applyBorder="1" applyAlignment="1" applyProtection="1">
      <alignment horizontal="justify" vertical="center"/>
      <protection locked="0"/>
    </xf>
    <xf numFmtId="39" fontId="5" fillId="13" borderId="0" xfId="0" applyNumberFormat="1" applyFont="1" applyFill="1" applyBorder="1" applyAlignment="1" applyProtection="1">
      <alignment horizontal="justify" vertical="center"/>
    </xf>
    <xf numFmtId="39" fontId="5" fillId="13" borderId="0" xfId="0" applyNumberFormat="1" applyFont="1" applyFill="1" applyBorder="1" applyAlignment="1" applyProtection="1">
      <alignment horizontal="center" vertical="center"/>
    </xf>
    <xf numFmtId="175" fontId="5" fillId="13" borderId="0" xfId="3" applyNumberFormat="1" applyFont="1" applyFill="1" applyBorder="1" applyAlignment="1" applyProtection="1">
      <alignment horizontal="center" vertical="center"/>
    </xf>
    <xf numFmtId="3" fontId="5" fillId="13" borderId="0" xfId="0" applyNumberFormat="1" applyFont="1" applyFill="1" applyBorder="1" applyAlignment="1" applyProtection="1">
      <alignment vertical="center"/>
    </xf>
    <xf numFmtId="39" fontId="36" fillId="13" borderId="0" xfId="0" applyNumberFormat="1" applyFont="1" applyFill="1" applyBorder="1" applyAlignment="1">
      <alignment vertical="center"/>
    </xf>
    <xf numFmtId="175" fontId="5" fillId="13" borderId="14" xfId="3" applyNumberFormat="1" applyFont="1" applyFill="1" applyBorder="1" applyAlignment="1" applyProtection="1">
      <alignment horizontal="center" vertical="center"/>
    </xf>
    <xf numFmtId="0" fontId="29" fillId="13" borderId="0" xfId="0" applyFont="1" applyFill="1" applyAlignment="1">
      <alignment vertical="center"/>
    </xf>
    <xf numFmtId="0" fontId="29" fillId="13" borderId="0" xfId="0" applyFont="1" applyFill="1" applyAlignment="1">
      <alignment horizontal="center" vertical="center"/>
    </xf>
    <xf numFmtId="175" fontId="5" fillId="13" borderId="0" xfId="3" applyNumberFormat="1" applyFont="1" applyFill="1" applyBorder="1" applyAlignment="1">
      <alignment horizontal="center" vertical="center"/>
    </xf>
    <xf numFmtId="39" fontId="5" fillId="13" borderId="0" xfId="0" applyNumberFormat="1" applyFont="1" applyFill="1" applyBorder="1" applyAlignment="1">
      <alignment horizontal="center" vertical="center"/>
    </xf>
    <xf numFmtId="181" fontId="5" fillId="13" borderId="0" xfId="3" applyNumberFormat="1" applyFont="1" applyFill="1" applyBorder="1" applyAlignment="1">
      <alignment horizontal="center" vertical="center"/>
    </xf>
    <xf numFmtId="39" fontId="36" fillId="13" borderId="20" xfId="31" applyNumberFormat="1" applyFont="1" applyFill="1" applyBorder="1" applyAlignment="1">
      <alignment horizontal="center" vertical="center"/>
    </xf>
    <xf numFmtId="182" fontId="5" fillId="13" borderId="0" xfId="0" applyNumberFormat="1" applyFont="1" applyFill="1" applyAlignment="1" applyProtection="1">
      <alignment horizontal="center" vertical="center"/>
    </xf>
    <xf numFmtId="39" fontId="36" fillId="13" borderId="19" xfId="30" applyNumberFormat="1" applyFont="1" applyFill="1" applyBorder="1" applyAlignment="1">
      <alignment horizontal="center" vertical="center"/>
    </xf>
    <xf numFmtId="0" fontId="0" fillId="13" borderId="0" xfId="0" applyFill="1"/>
    <xf numFmtId="39" fontId="36" fillId="13" borderId="17" xfId="30" applyNumberFormat="1" applyFont="1" applyFill="1" applyBorder="1" applyAlignment="1">
      <alignment horizontal="center" vertical="center"/>
    </xf>
    <xf numFmtId="39" fontId="36" fillId="13" borderId="16" xfId="31" applyNumberFormat="1" applyFont="1" applyFill="1" applyBorder="1" applyAlignment="1">
      <alignment horizontal="center" vertical="center"/>
    </xf>
    <xf numFmtId="39" fontId="5" fillId="13" borderId="7" xfId="0" applyNumberFormat="1" applyFont="1" applyFill="1" applyBorder="1" applyAlignment="1" applyProtection="1">
      <alignment horizontal="justify" vertical="center"/>
    </xf>
    <xf numFmtId="39" fontId="5" fillId="13" borderId="7" xfId="0" applyNumberFormat="1" applyFont="1" applyFill="1" applyBorder="1" applyAlignment="1" applyProtection="1">
      <alignment horizontal="center" vertical="center"/>
    </xf>
    <xf numFmtId="175" fontId="5" fillId="13" borderId="7" xfId="3" applyNumberFormat="1" applyFont="1" applyFill="1" applyBorder="1" applyAlignment="1" applyProtection="1">
      <alignment horizontal="center" vertical="center"/>
    </xf>
    <xf numFmtId="3" fontId="5" fillId="13" borderId="7" xfId="0" applyNumberFormat="1" applyFont="1" applyFill="1" applyBorder="1" applyAlignment="1" applyProtection="1">
      <alignment vertical="center"/>
    </xf>
    <xf numFmtId="39" fontId="29" fillId="13" borderId="0" xfId="0" applyNumberFormat="1" applyFont="1" applyFill="1" applyBorder="1" applyAlignment="1" applyProtection="1">
      <alignment vertical="center" wrapText="1"/>
    </xf>
    <xf numFmtId="184" fontId="5" fillId="13" borderId="0" xfId="0" applyNumberFormat="1" applyFont="1" applyFill="1" applyBorder="1" applyAlignment="1" applyProtection="1">
      <alignment horizontal="center" vertical="center"/>
    </xf>
    <xf numFmtId="39" fontId="36" fillId="13" borderId="0" xfId="31" applyNumberFormat="1" applyFont="1" applyFill="1" applyBorder="1" applyAlignment="1">
      <alignment horizontal="center" vertical="center"/>
    </xf>
    <xf numFmtId="184" fontId="5" fillId="13" borderId="14" xfId="0" applyNumberFormat="1" applyFont="1" applyFill="1" applyBorder="1" applyAlignment="1" applyProtection="1">
      <alignment horizontal="center" vertical="center"/>
    </xf>
    <xf numFmtId="39" fontId="36" fillId="13" borderId="16" xfId="0" applyNumberFormat="1" applyFont="1" applyFill="1" applyBorder="1" applyAlignment="1">
      <alignment horizontal="center" vertical="center"/>
    </xf>
    <xf numFmtId="39" fontId="36" fillId="13" borderId="7" xfId="30" applyNumberFormat="1" applyFont="1" applyFill="1" applyBorder="1" applyAlignment="1">
      <alignment horizontal="center" vertical="center"/>
    </xf>
    <xf numFmtId="39" fontId="36" fillId="13" borderId="7" xfId="31" applyNumberFormat="1" applyFont="1" applyFill="1" applyBorder="1" applyAlignment="1">
      <alignment horizontal="center" vertical="center"/>
    </xf>
    <xf numFmtId="0" fontId="29" fillId="13" borderId="0" xfId="0" applyFont="1" applyFill="1" applyBorder="1" applyAlignment="1">
      <alignment vertical="center"/>
    </xf>
    <xf numFmtId="0" fontId="29" fillId="13" borderId="14" xfId="0" applyFont="1" applyFill="1" applyBorder="1" applyAlignment="1">
      <alignment vertical="center"/>
    </xf>
    <xf numFmtId="0" fontId="29" fillId="13" borderId="14" xfId="0" applyFont="1" applyFill="1" applyBorder="1" applyAlignment="1">
      <alignment horizontal="center" vertical="center"/>
    </xf>
    <xf numFmtId="3" fontId="5" fillId="13" borderId="14" xfId="0" applyNumberFormat="1" applyFont="1" applyFill="1" applyBorder="1" applyAlignment="1">
      <alignment horizontal="right" vertical="center"/>
    </xf>
    <xf numFmtId="185" fontId="5" fillId="13" borderId="14" xfId="0" applyNumberFormat="1" applyFont="1" applyFill="1" applyBorder="1" applyAlignment="1" applyProtection="1">
      <alignment horizontal="center" vertical="center"/>
    </xf>
    <xf numFmtId="39" fontId="36" fillId="13" borderId="0" xfId="30" applyNumberFormat="1" applyFont="1" applyFill="1" applyBorder="1" applyAlignment="1">
      <alignment horizontal="center" vertical="center"/>
    </xf>
    <xf numFmtId="39" fontId="37" fillId="13" borderId="10" xfId="0" applyNumberFormat="1" applyFont="1" applyFill="1" applyBorder="1" applyAlignment="1" applyProtection="1">
      <alignment horizontal="center" vertical="center" wrapText="1"/>
      <protection locked="0"/>
    </xf>
    <xf numFmtId="39" fontId="36" fillId="13" borderId="21" xfId="30" applyNumberFormat="1" applyFont="1" applyFill="1" applyBorder="1" applyAlignment="1">
      <alignment horizontal="center" vertical="center"/>
    </xf>
    <xf numFmtId="0" fontId="15" fillId="0" borderId="30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5" fillId="0" borderId="31" xfId="0" applyFont="1" applyFill="1" applyBorder="1" applyAlignment="1">
      <alignment horizontal="center" vertical="center"/>
    </xf>
    <xf numFmtId="0" fontId="15" fillId="0" borderId="10" xfId="0" applyNumberFormat="1" applyFont="1" applyFill="1" applyBorder="1" applyAlignment="1" applyProtection="1">
      <alignment horizontal="center" vertical="center" wrapText="1"/>
    </xf>
    <xf numFmtId="0" fontId="15" fillId="0" borderId="29" xfId="0" applyNumberFormat="1" applyFont="1" applyFill="1" applyBorder="1" applyAlignment="1" applyProtection="1">
      <alignment horizontal="center" vertical="center" wrapText="1"/>
    </xf>
    <xf numFmtId="0" fontId="15" fillId="0" borderId="0" xfId="0" applyNumberFormat="1" applyFont="1" applyFill="1" applyBorder="1" applyAlignment="1" applyProtection="1">
      <alignment horizontal="center" vertical="center" wrapText="1"/>
    </xf>
    <xf numFmtId="0" fontId="15" fillId="0" borderId="11" xfId="0" applyNumberFormat="1" applyFont="1" applyFill="1" applyBorder="1" applyAlignment="1" applyProtection="1">
      <alignment horizontal="center" vertical="center" wrapText="1"/>
    </xf>
    <xf numFmtId="0" fontId="13" fillId="0" borderId="13" xfId="0" applyNumberFormat="1" applyFont="1" applyFill="1" applyBorder="1" applyAlignment="1" applyProtection="1">
      <alignment horizontal="center" vertical="center"/>
    </xf>
    <xf numFmtId="0" fontId="13" fillId="0" borderId="12" xfId="0" applyNumberFormat="1" applyFont="1" applyFill="1" applyBorder="1" applyAlignment="1" applyProtection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43" fillId="0" borderId="10" xfId="0" applyNumberFormat="1" applyFont="1" applyFill="1" applyBorder="1" applyAlignment="1" applyProtection="1">
      <alignment horizontal="center" vertical="center" wrapText="1"/>
    </xf>
    <xf numFmtId="0" fontId="43" fillId="0" borderId="0" xfId="0" applyNumberFormat="1" applyFont="1" applyFill="1" applyBorder="1" applyAlignment="1" applyProtection="1">
      <alignment horizontal="center" vertical="center" wrapText="1"/>
    </xf>
    <xf numFmtId="39" fontId="36" fillId="13" borderId="0" xfId="0" applyNumberFormat="1" applyFont="1" applyFill="1" applyBorder="1" applyAlignment="1">
      <alignment horizontal="center" vertical="center"/>
    </xf>
    <xf numFmtId="39" fontId="36" fillId="13" borderId="15" xfId="0" applyNumberFormat="1" applyFont="1" applyFill="1" applyBorder="1" applyAlignment="1">
      <alignment horizontal="center" vertical="center"/>
    </xf>
    <xf numFmtId="39" fontId="36" fillId="13" borderId="16" xfId="0" applyNumberFormat="1" applyFont="1" applyFill="1" applyBorder="1" applyAlignment="1">
      <alignment horizontal="center" vertical="center" textRotation="1"/>
    </xf>
    <xf numFmtId="39" fontId="36" fillId="13" borderId="0" xfId="0" applyNumberFormat="1" applyFont="1" applyFill="1" applyBorder="1" applyAlignment="1">
      <alignment horizontal="center" vertical="center" textRotation="1"/>
    </xf>
    <xf numFmtId="39" fontId="36" fillId="13" borderId="0" xfId="0" applyNumberFormat="1" applyFont="1" applyFill="1" applyBorder="1" applyAlignment="1" applyProtection="1">
      <alignment horizontal="center" vertical="center"/>
      <protection locked="0"/>
    </xf>
    <xf numFmtId="39" fontId="36" fillId="13" borderId="16" xfId="30" applyNumberFormat="1" applyFont="1" applyFill="1" applyBorder="1" applyAlignment="1">
      <alignment horizontal="center" vertical="center"/>
    </xf>
    <xf numFmtId="39" fontId="36" fillId="13" borderId="7" xfId="30" applyNumberFormat="1" applyFont="1" applyFill="1" applyBorder="1" applyAlignment="1">
      <alignment horizontal="center" vertical="center"/>
    </xf>
    <xf numFmtId="0" fontId="36" fillId="13" borderId="16" xfId="31" applyFont="1" applyFill="1" applyBorder="1" applyAlignment="1">
      <alignment horizontal="center" vertical="center" wrapText="1"/>
    </xf>
    <xf numFmtId="0" fontId="36" fillId="13" borderId="0" xfId="31" applyFont="1" applyFill="1" applyBorder="1" applyAlignment="1">
      <alignment horizontal="center" vertical="center" wrapText="1"/>
    </xf>
    <xf numFmtId="39" fontId="36" fillId="13" borderId="0" xfId="30" applyNumberFormat="1" applyFont="1" applyFill="1" applyBorder="1" applyAlignment="1">
      <alignment horizontal="center" vertical="center"/>
    </xf>
    <xf numFmtId="39" fontId="36" fillId="13" borderId="14" xfId="30" applyNumberFormat="1" applyFont="1" applyFill="1" applyBorder="1" applyAlignment="1">
      <alignment horizontal="center" vertical="center"/>
    </xf>
    <xf numFmtId="39" fontId="36" fillId="13" borderId="0" xfId="0" applyNumberFormat="1" applyFont="1" applyFill="1" applyBorder="1" applyAlignment="1">
      <alignment horizontal="center" vertical="center" wrapText="1"/>
    </xf>
    <xf numFmtId="39" fontId="36" fillId="13" borderId="15" xfId="0" applyNumberFormat="1" applyFont="1" applyFill="1" applyBorder="1" applyAlignment="1">
      <alignment horizontal="center" vertical="center" wrapText="1"/>
    </xf>
    <xf numFmtId="39" fontId="36" fillId="13" borderId="16" xfId="0" applyNumberFormat="1" applyFont="1" applyFill="1" applyBorder="1" applyAlignment="1">
      <alignment horizontal="center" vertical="center"/>
    </xf>
    <xf numFmtId="0" fontId="13" fillId="0" borderId="0" xfId="0" applyNumberFormat="1" applyFont="1" applyFill="1" applyBorder="1" applyAlignment="1" applyProtection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39" fontId="36" fillId="0" borderId="9" xfId="0" applyNumberFormat="1" applyFont="1" applyFill="1" applyBorder="1" applyAlignment="1">
      <alignment horizontal="center" vertical="center"/>
    </xf>
    <xf numFmtId="0" fontId="17" fillId="0" borderId="0" xfId="16" applyFont="1" applyFill="1" applyBorder="1" applyAlignment="1">
      <alignment horizontal="center" vertical="center"/>
    </xf>
    <xf numFmtId="39" fontId="36" fillId="0" borderId="9" xfId="0" applyNumberFormat="1" applyFont="1" applyFill="1" applyBorder="1" applyAlignment="1">
      <alignment horizontal="center" vertical="center" textRotation="89"/>
    </xf>
    <xf numFmtId="0" fontId="45" fillId="0" borderId="0" xfId="32" applyFont="1" applyFill="1" applyBorder="1" applyAlignment="1">
      <alignment horizontal="center" vertical="center"/>
    </xf>
    <xf numFmtId="0" fontId="26" fillId="8" borderId="0" xfId="32" applyFill="1" applyBorder="1" applyAlignment="1">
      <alignment horizontal="center" vertical="center"/>
    </xf>
    <xf numFmtId="0" fontId="27" fillId="0" borderId="9" xfId="7" applyFont="1" applyFill="1" applyBorder="1" applyAlignment="1">
      <alignment horizontal="center" vertical="center"/>
    </xf>
    <xf numFmtId="39" fontId="37" fillId="13" borderId="0" xfId="0" applyNumberFormat="1" applyFont="1" applyFill="1" applyBorder="1" applyAlignment="1" applyProtection="1">
      <alignment horizontal="center" vertical="center"/>
      <protection locked="0"/>
    </xf>
  </cellXfs>
  <cellStyles count="36">
    <cellStyle name="Énfasis3" xfId="30" builtinId="37"/>
    <cellStyle name="Énfasis4" xfId="31" builtinId="41"/>
    <cellStyle name="Excel Built-in Accent4" xfId="11"/>
    <cellStyle name="Excel Built-in Comma" xfId="12"/>
    <cellStyle name="Excel Built-in Currency" xfId="10"/>
    <cellStyle name="Excel Built-in Normal" xfId="9"/>
    <cellStyle name="Millares" xfId="3" builtinId="3"/>
    <cellStyle name="Millares 2" xfId="15"/>
    <cellStyle name="Millares 2 2" xfId="34"/>
    <cellStyle name="Millares 3" xfId="17"/>
    <cellStyle name="Moneda" xfId="1" builtinId="4"/>
    <cellStyle name="Moneda [0] 2" xfId="22"/>
    <cellStyle name="Moneda [0] 2 2" xfId="35"/>
    <cellStyle name="Moneda 2" xfId="23"/>
    <cellStyle name="Moneda 2 2" xfId="6"/>
    <cellStyle name="Moneda 2 3" xfId="24"/>
    <cellStyle name="Moneda 3" xfId="18"/>
    <cellStyle name="Moneda 6" xfId="25"/>
    <cellStyle name="Normal" xfId="0" builtinId="0"/>
    <cellStyle name="Normal 2" xfId="2"/>
    <cellStyle name="Normal 2 2" xfId="26"/>
    <cellStyle name="Normal 2 2 2" xfId="20"/>
    <cellStyle name="Normal 2 2 2 2" xfId="21"/>
    <cellStyle name="Normal 2 3" xfId="27"/>
    <cellStyle name="Normal 2 4" xfId="32"/>
    <cellStyle name="Normal 3" xfId="8"/>
    <cellStyle name="Normal 3 3" xfId="28"/>
    <cellStyle name="Normal 4" xfId="13"/>
    <cellStyle name="Normal 4 4" xfId="7"/>
    <cellStyle name="Normal 4 5 2" xfId="4"/>
    <cellStyle name="Normal 5" xfId="16"/>
    <cellStyle name="Normal 6" xfId="29"/>
    <cellStyle name="Normal 9" xfId="5"/>
    <cellStyle name="Porcentaje" xfId="33" builtinId="5"/>
    <cellStyle name="Porcentaje 2" xfId="14"/>
    <cellStyle name="Porcentual 3" xfId="19"/>
  </cellStyles>
  <dxfs count="0"/>
  <tableStyles count="0" defaultTableStyle="TableStyleMedium9" defaultPivotStyle="PivotStyleLight16"/>
  <colors>
    <mruColors>
      <color rgb="FF2DF345"/>
      <color rgb="FF00FF00"/>
      <color rgb="FFFFC000"/>
      <color rgb="FF0066FF"/>
      <color rgb="FFCC3399"/>
      <color rgb="FF00B050"/>
      <color rgb="FFFFFF00"/>
      <color rgb="FF4F81BD"/>
      <color rgb="FFFF0000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1388593</xdr:colOff>
      <xdr:row>284</xdr:row>
      <xdr:rowOff>40502</xdr:rowOff>
    </xdr:from>
    <xdr:ext cx="1973732" cy="726930"/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074393" y="70354052"/>
          <a:ext cx="1973732" cy="726930"/>
        </a:xfrm>
        <a:prstGeom prst="rect">
          <a:avLst/>
        </a:prstGeom>
        <a:noFill/>
        <a:ln w="25400" cmpd="dbl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b">
          <a:spAutoFit/>
        </a:bodyPr>
        <a:lstStyle/>
        <a:p>
          <a:pPr algn="ctr"/>
          <a:endParaRPr lang="es-AR" sz="1100"/>
        </a:p>
        <a:p>
          <a:pPr algn="ctr"/>
          <a:endParaRPr lang="es-AR" sz="1100"/>
        </a:p>
        <a:p>
          <a:pPr algn="ctr"/>
          <a:endParaRPr lang="es-AR" sz="1100"/>
        </a:p>
        <a:p>
          <a:pPr algn="ctr"/>
          <a:r>
            <a:rPr lang="es-AR" sz="800">
              <a:latin typeface="Arial" pitchFamily="34" charset="0"/>
              <a:cs typeface="Arial" pitchFamily="34" charset="0"/>
            </a:rPr>
            <a:t>Revisó</a:t>
          </a:r>
        </a:p>
      </xdr:txBody>
    </xdr:sp>
    <xdr:clientData/>
  </xdr:oneCellAnchor>
  <xdr:oneCellAnchor>
    <xdr:from>
      <xdr:col>3</xdr:col>
      <xdr:colOff>0</xdr:colOff>
      <xdr:row>284</xdr:row>
      <xdr:rowOff>24962</xdr:rowOff>
    </xdr:from>
    <xdr:ext cx="1907844" cy="746563"/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4295775" y="70338512"/>
          <a:ext cx="1907844" cy="746563"/>
        </a:xfrm>
        <a:prstGeom prst="rect">
          <a:avLst/>
        </a:prstGeom>
        <a:noFill/>
        <a:ln w="25400" cmpd="dbl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b">
          <a:spAutoFit/>
        </a:bodyPr>
        <a:lstStyle/>
        <a:p>
          <a:pPr algn="ctr"/>
          <a:endParaRPr lang="es-AR" sz="1100"/>
        </a:p>
        <a:p>
          <a:pPr algn="ctr"/>
          <a:endParaRPr lang="es-AR" sz="1100"/>
        </a:p>
        <a:p>
          <a:pPr algn="ctr"/>
          <a:endParaRPr lang="es-AR" sz="1100"/>
        </a:p>
        <a:p>
          <a:pPr algn="ctr"/>
          <a:r>
            <a:rPr lang="es-AR" sz="800">
              <a:latin typeface="Arial" pitchFamily="34" charset="0"/>
              <a:cs typeface="Arial" pitchFamily="34" charset="0"/>
            </a:rPr>
            <a:t>Aprobó</a:t>
          </a:r>
        </a:p>
      </xdr:txBody>
    </xdr:sp>
    <xdr:clientData/>
  </xdr:oneCellAnchor>
  <xdr:oneCellAnchor>
    <xdr:from>
      <xdr:col>9</xdr:col>
      <xdr:colOff>1388593</xdr:colOff>
      <xdr:row>266</xdr:row>
      <xdr:rowOff>40502</xdr:rowOff>
    </xdr:from>
    <xdr:ext cx="1973732" cy="726930"/>
    <xdr:sp macro="" textlink="">
      <xdr:nvSpPr>
        <xdr:cNvPr id="7" name="2 CuadroTexto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/>
      </xdr:nvSpPr>
      <xdr:spPr>
        <a:xfrm>
          <a:off x="1874368" y="64753352"/>
          <a:ext cx="1973732" cy="726930"/>
        </a:xfrm>
        <a:prstGeom prst="rect">
          <a:avLst/>
        </a:prstGeom>
        <a:noFill/>
        <a:ln w="25400" cmpd="dbl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b">
          <a:spAutoFit/>
        </a:bodyPr>
        <a:lstStyle/>
        <a:p>
          <a:pPr algn="ctr"/>
          <a:endParaRPr lang="es-AR" sz="1100"/>
        </a:p>
        <a:p>
          <a:pPr algn="ctr"/>
          <a:endParaRPr lang="es-AR" sz="1100"/>
        </a:p>
        <a:p>
          <a:pPr algn="ctr"/>
          <a:endParaRPr lang="es-AR" sz="1100"/>
        </a:p>
        <a:p>
          <a:pPr algn="ctr"/>
          <a:r>
            <a:rPr lang="es-AR" sz="800">
              <a:latin typeface="Arial" pitchFamily="34" charset="0"/>
              <a:cs typeface="Arial" pitchFamily="34" charset="0"/>
            </a:rPr>
            <a:t>Revisó</a:t>
          </a:r>
        </a:p>
      </xdr:txBody>
    </xdr:sp>
    <xdr:clientData/>
  </xdr:oneCellAnchor>
  <xdr:oneCellAnchor>
    <xdr:from>
      <xdr:col>11</xdr:col>
      <xdr:colOff>0</xdr:colOff>
      <xdr:row>266</xdr:row>
      <xdr:rowOff>24962</xdr:rowOff>
    </xdr:from>
    <xdr:ext cx="1907844" cy="746563"/>
    <xdr:sp macro="" textlink="">
      <xdr:nvSpPr>
        <xdr:cNvPr id="8" name="3 CuadroTexto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/>
      </xdr:nvSpPr>
      <xdr:spPr>
        <a:xfrm>
          <a:off x="4762500" y="64737812"/>
          <a:ext cx="1907844" cy="746563"/>
        </a:xfrm>
        <a:prstGeom prst="rect">
          <a:avLst/>
        </a:prstGeom>
        <a:noFill/>
        <a:ln w="25400" cmpd="dbl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b">
          <a:spAutoFit/>
        </a:bodyPr>
        <a:lstStyle/>
        <a:p>
          <a:pPr algn="ctr"/>
          <a:endParaRPr lang="es-AR" sz="1100"/>
        </a:p>
        <a:p>
          <a:pPr algn="ctr"/>
          <a:endParaRPr lang="es-AR" sz="1100"/>
        </a:p>
        <a:p>
          <a:pPr algn="ctr"/>
          <a:endParaRPr lang="es-AR" sz="1100"/>
        </a:p>
        <a:p>
          <a:pPr algn="ctr"/>
          <a:r>
            <a:rPr lang="es-AR" sz="800">
              <a:latin typeface="Arial" pitchFamily="34" charset="0"/>
              <a:cs typeface="Arial" pitchFamily="34" charset="0"/>
            </a:rPr>
            <a:t>Aprobó</a:t>
          </a:r>
        </a:p>
      </xdr:txBody>
    </xdr:sp>
    <xdr:clientData/>
  </xdr:oneCellAnchor>
  <xdr:twoCellAnchor editAs="oneCell">
    <xdr:from>
      <xdr:col>5</xdr:col>
      <xdr:colOff>380645</xdr:colOff>
      <xdr:row>1</xdr:row>
      <xdr:rowOff>132222</xdr:rowOff>
    </xdr:from>
    <xdr:to>
      <xdr:col>5</xdr:col>
      <xdr:colOff>977702</xdr:colOff>
      <xdr:row>5</xdr:row>
      <xdr:rowOff>76200</xdr:rowOff>
    </xdr:to>
    <xdr:pic>
      <xdr:nvPicPr>
        <xdr:cNvPr id="9" name="4 Imagen" descr="ESCUDO OFICIAL BOMBEROS PEREIRA.JPE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943370" y="303672"/>
          <a:ext cx="597057" cy="620253"/>
        </a:xfrm>
        <a:prstGeom prst="rect">
          <a:avLst/>
        </a:prstGeom>
      </xdr:spPr>
    </xdr:pic>
    <xdr:clientData/>
  </xdr:twoCellAnchor>
  <xdr:twoCellAnchor editAs="oneCell">
    <xdr:from>
      <xdr:col>3</xdr:col>
      <xdr:colOff>85725</xdr:colOff>
      <xdr:row>1</xdr:row>
      <xdr:rowOff>114301</xdr:rowOff>
    </xdr:from>
    <xdr:to>
      <xdr:col>5</xdr:col>
      <xdr:colOff>295276</xdr:colOff>
      <xdr:row>5</xdr:row>
      <xdr:rowOff>115616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905375" y="285751"/>
          <a:ext cx="1952626" cy="67759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104420</xdr:colOff>
      <xdr:row>3</xdr:row>
      <xdr:rowOff>84596</xdr:rowOff>
    </xdr:from>
    <xdr:to>
      <xdr:col>0</xdr:col>
      <xdr:colOff>701477</xdr:colOff>
      <xdr:row>7</xdr:row>
      <xdr:rowOff>76199</xdr:rowOff>
    </xdr:to>
    <xdr:pic>
      <xdr:nvPicPr>
        <xdr:cNvPr id="2" name="4 Imagen" descr="ESCUDO OFICIAL BOMBEROS PEREIRA.JPEG">
          <a:extLst>
            <a:ext uri="{FF2B5EF4-FFF2-40B4-BE49-F238E27FC236}">
              <a16:creationId xmlns:a16="http://schemas.microsoft.com/office/drawing/2014/main" xmlns="" id="{E3CCC276-7312-4001-B02B-93033801A1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420" y="246521"/>
          <a:ext cx="597057" cy="620253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3</xdr:row>
      <xdr:rowOff>66675</xdr:rowOff>
    </xdr:from>
    <xdr:to>
      <xdr:col>5</xdr:col>
      <xdr:colOff>990601</xdr:colOff>
      <xdr:row>7</xdr:row>
      <xdr:rowOff>68040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A2694ED2-ECEE-45B5-A44D-70533C4933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238750" y="552450"/>
          <a:ext cx="1819276" cy="64906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104420</xdr:colOff>
      <xdr:row>1</xdr:row>
      <xdr:rowOff>84596</xdr:rowOff>
    </xdr:from>
    <xdr:to>
      <xdr:col>0</xdr:col>
      <xdr:colOff>701477</xdr:colOff>
      <xdr:row>5</xdr:row>
      <xdr:rowOff>38099</xdr:rowOff>
    </xdr:to>
    <xdr:pic>
      <xdr:nvPicPr>
        <xdr:cNvPr id="5" name="4 Imagen" descr="ESCUDO OFICIAL BOMBEROS PEREIRA.JPEG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420" y="246521"/>
          <a:ext cx="597057" cy="620253"/>
        </a:xfrm>
        <a:prstGeom prst="rect">
          <a:avLst/>
        </a:prstGeom>
      </xdr:spPr>
    </xdr:pic>
    <xdr:clientData/>
  </xdr:twoCellAnchor>
  <xdr:twoCellAnchor editAs="oneCell">
    <xdr:from>
      <xdr:col>3</xdr:col>
      <xdr:colOff>752475</xdr:colOff>
      <xdr:row>1</xdr:row>
      <xdr:rowOff>66675</xdr:rowOff>
    </xdr:from>
    <xdr:to>
      <xdr:col>6</xdr:col>
      <xdr:colOff>581026</xdr:colOff>
      <xdr:row>5</xdr:row>
      <xdr:rowOff>77515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619875" y="228600"/>
          <a:ext cx="1952626" cy="67759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1196620</xdr:colOff>
      <xdr:row>0</xdr:row>
      <xdr:rowOff>287796</xdr:rowOff>
    </xdr:from>
    <xdr:to>
      <xdr:col>5</xdr:col>
      <xdr:colOff>444302</xdr:colOff>
      <xdr:row>0</xdr:row>
      <xdr:rowOff>908049</xdr:rowOff>
    </xdr:to>
    <xdr:pic>
      <xdr:nvPicPr>
        <xdr:cNvPr id="3" name="4 Imagen" descr="ESCUDO OFICIAL BOMBEROS PEREIRA.JPEG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51495" y="446546"/>
          <a:ext cx="597057" cy="620253"/>
        </a:xfrm>
        <a:prstGeom prst="rect">
          <a:avLst/>
        </a:prstGeom>
      </xdr:spPr>
    </xdr:pic>
    <xdr:clientData/>
  </xdr:twoCellAnchor>
  <xdr:twoCellAnchor editAs="oneCell">
    <xdr:from>
      <xdr:col>3</xdr:col>
      <xdr:colOff>1174750</xdr:colOff>
      <xdr:row>0</xdr:row>
      <xdr:rowOff>269875</xdr:rowOff>
    </xdr:from>
    <xdr:to>
      <xdr:col>4</xdr:col>
      <xdr:colOff>1111251</xdr:colOff>
      <xdr:row>0</xdr:row>
      <xdr:rowOff>947465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13500" y="428625"/>
          <a:ext cx="1952626" cy="67759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/JOSE%20LOPEZ/JERL/PRECIOS/Precios%20Unitarios%202017%20Gobernaci&#243;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/JOSE%20LOPEZ/PRESUPUESTOS%20BOMBEROS%202017/QUINCH&#205;A/PRESUPUESTO/PPTO%20BOMBEROS%20QUINCH&#205;A%202017%20Definitiv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MANO DE OBRA"/>
      <sheetName val="BASE DE DATOS"/>
      <sheetName val="Hoja1"/>
      <sheetName val="ANALISIS UNITARIOS"/>
      <sheetName val="ITEMS"/>
      <sheetName val="Datos de ejemplo"/>
      <sheetName val="TRANSPORTE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OFICIAL"/>
      <sheetName val="MEMORIA"/>
      <sheetName val="APUS"/>
      <sheetName val="ACERO"/>
      <sheetName val="Analisis de AU"/>
      <sheetName val="PRESUPUESTO HS"/>
      <sheetName val="MEMORIA HS"/>
      <sheetName val=" MANO DE OBRA"/>
      <sheetName val="APUS primarios"/>
      <sheetName val="Programación"/>
    </sheetNames>
    <sheetDataSet>
      <sheetData sheetId="0">
        <row r="142">
          <cell r="C142" t="str">
            <v>un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rgb="FF00FF00"/>
  </sheetPr>
  <dimension ref="A1:CM292"/>
  <sheetViews>
    <sheetView view="pageBreakPreview" topLeftCell="A40" zoomScaleNormal="100" zoomScaleSheetLayoutView="100" workbookViewId="0">
      <selection activeCell="B85" sqref="B85"/>
    </sheetView>
  </sheetViews>
  <sheetFormatPr baseColWidth="10" defaultColWidth="11.44140625" defaultRowHeight="13.8" x14ac:dyDescent="0.25"/>
  <cols>
    <col min="1" max="1" width="10.33203125" style="4" customWidth="1"/>
    <col min="2" max="2" width="56.109375" style="4" customWidth="1"/>
    <col min="3" max="3" width="5.88671875" style="4" customWidth="1"/>
    <col min="4" max="4" width="11.44140625" style="4" customWidth="1"/>
    <col min="5" max="5" width="14.6640625" style="7" customWidth="1"/>
    <col min="6" max="6" width="16.33203125" style="4" customWidth="1"/>
    <col min="7" max="7" width="1.5546875" style="4" customWidth="1"/>
    <col min="8" max="8" width="11.44140625" style="45"/>
    <col min="9" max="9" width="7.33203125" style="130" customWidth="1"/>
    <col min="10" max="10" width="57.88671875" style="130" customWidth="1"/>
    <col min="11" max="11" width="6.33203125" style="130" customWidth="1"/>
    <col min="12" max="12" width="10.109375" style="130" customWidth="1"/>
    <col min="13" max="13" width="15" style="155" customWidth="1"/>
    <col min="14" max="14" width="19.109375" style="130" customWidth="1"/>
    <col min="15" max="16384" width="11.44140625" style="4"/>
  </cols>
  <sheetData>
    <row r="1" spans="1:91" ht="14.4" thickBot="1" x14ac:dyDescent="0.3">
      <c r="B1" s="1"/>
      <c r="C1" s="1"/>
      <c r="D1" s="1"/>
      <c r="E1" s="2"/>
      <c r="F1" s="3"/>
      <c r="I1" s="135"/>
      <c r="J1" s="136"/>
      <c r="K1" s="136"/>
      <c r="L1" s="136"/>
      <c r="M1" s="137"/>
      <c r="N1" s="138"/>
    </row>
    <row r="2" spans="1:91" ht="14.25" customHeight="1" x14ac:dyDescent="0.25">
      <c r="A2" s="327"/>
      <c r="B2" s="334" t="s">
        <v>293</v>
      </c>
      <c r="C2" s="334"/>
      <c r="D2" s="209"/>
      <c r="E2" s="323"/>
      <c r="F2" s="324"/>
      <c r="I2" s="135"/>
      <c r="J2" s="139"/>
      <c r="K2" s="139"/>
      <c r="L2" s="139"/>
      <c r="M2" s="139"/>
      <c r="N2" s="140"/>
    </row>
    <row r="3" spans="1:91" x14ac:dyDescent="0.25">
      <c r="A3" s="328"/>
      <c r="B3" s="335"/>
      <c r="C3" s="335"/>
      <c r="D3" s="210"/>
      <c r="E3" s="325"/>
      <c r="F3" s="326"/>
      <c r="I3" s="141"/>
      <c r="J3" s="142"/>
      <c r="K3" s="329"/>
      <c r="L3" s="329"/>
      <c r="M3" s="329"/>
      <c r="N3" s="330"/>
    </row>
    <row r="4" spans="1:91" x14ac:dyDescent="0.25">
      <c r="A4" s="328"/>
      <c r="B4" s="335"/>
      <c r="C4" s="335"/>
      <c r="D4" s="210"/>
      <c r="E4" s="325"/>
      <c r="F4" s="326"/>
      <c r="I4" s="141"/>
      <c r="J4" s="142"/>
      <c r="K4" s="142"/>
      <c r="L4" s="142"/>
      <c r="M4" s="142"/>
      <c r="N4" s="143"/>
    </row>
    <row r="5" spans="1:91" ht="14.4" thickBot="1" x14ac:dyDescent="0.3">
      <c r="A5" s="328"/>
      <c r="B5" s="335"/>
      <c r="C5" s="335"/>
      <c r="D5" s="210"/>
      <c r="E5" s="325"/>
      <c r="F5" s="326"/>
      <c r="I5" s="331"/>
      <c r="J5" s="332"/>
      <c r="K5" s="332"/>
      <c r="L5" s="332"/>
      <c r="M5" s="332"/>
      <c r="N5" s="333"/>
    </row>
    <row r="6" spans="1:91" ht="14.4" thickBot="1" x14ac:dyDescent="0.3">
      <c r="A6" s="328"/>
      <c r="B6" s="335"/>
      <c r="C6" s="335"/>
      <c r="D6" s="210"/>
      <c r="E6" s="325"/>
      <c r="F6" s="326"/>
      <c r="I6" s="144"/>
      <c r="J6" s="145"/>
      <c r="K6" s="145"/>
      <c r="L6" s="145"/>
      <c r="M6" s="146"/>
      <c r="N6" s="147"/>
    </row>
    <row r="7" spans="1:91" ht="14.4" thickBot="1" x14ac:dyDescent="0.3">
      <c r="A7" s="320"/>
      <c r="B7" s="321"/>
      <c r="C7" s="321"/>
      <c r="D7" s="321"/>
      <c r="E7" s="321"/>
      <c r="F7" s="322"/>
      <c r="I7" s="148"/>
      <c r="J7" s="149"/>
      <c r="K7" s="150"/>
      <c r="L7" s="151"/>
      <c r="M7" s="152"/>
      <c r="N7" s="153"/>
    </row>
    <row r="8" spans="1:91" ht="8.25" customHeight="1" x14ac:dyDescent="0.25">
      <c r="A8" s="48"/>
      <c r="B8" s="48"/>
      <c r="C8" s="48"/>
      <c r="D8" s="48"/>
      <c r="E8" s="49"/>
      <c r="F8" s="48"/>
      <c r="L8" s="154"/>
    </row>
    <row r="9" spans="1:91" ht="15.6" x14ac:dyDescent="0.25">
      <c r="A9" s="131" t="s">
        <v>0</v>
      </c>
      <c r="B9" s="132" t="s">
        <v>1</v>
      </c>
      <c r="C9" s="132" t="s">
        <v>2</v>
      </c>
      <c r="D9" s="132" t="s">
        <v>3</v>
      </c>
      <c r="E9" s="133" t="s">
        <v>4</v>
      </c>
      <c r="F9" s="134" t="s">
        <v>5</v>
      </c>
      <c r="I9" s="53"/>
      <c r="J9" s="53"/>
      <c r="K9" s="53"/>
      <c r="L9" s="53"/>
      <c r="M9" s="54"/>
      <c r="N9" s="53"/>
    </row>
    <row r="10" spans="1:91" ht="8.25" customHeight="1" x14ac:dyDescent="0.25">
      <c r="A10" s="50"/>
      <c r="B10" s="50"/>
      <c r="C10" s="50"/>
      <c r="D10" s="51"/>
      <c r="E10" s="52"/>
      <c r="F10" s="50"/>
      <c r="I10" s="156"/>
      <c r="J10" s="157"/>
      <c r="K10" s="158"/>
      <c r="L10" s="156"/>
      <c r="N10" s="57"/>
    </row>
    <row r="11" spans="1:91" x14ac:dyDescent="0.25">
      <c r="A11" s="53" t="s">
        <v>6</v>
      </c>
      <c r="B11" s="53"/>
      <c r="C11" s="53"/>
      <c r="D11" s="53"/>
      <c r="E11" s="54"/>
      <c r="F11" s="53"/>
      <c r="I11" s="156"/>
      <c r="J11" s="157"/>
      <c r="K11" s="158"/>
      <c r="L11" s="156"/>
      <c r="N11" s="57"/>
    </row>
    <row r="12" spans="1:91" s="6" customFormat="1" ht="27.6" x14ac:dyDescent="0.25">
      <c r="A12" s="202">
        <v>1.01</v>
      </c>
      <c r="B12" s="203" t="s">
        <v>190</v>
      </c>
      <c r="C12" s="204" t="s">
        <v>7</v>
      </c>
      <c r="D12" s="202">
        <v>6</v>
      </c>
      <c r="E12" s="207" t="e">
        <f>'APUS 7 -10'!#REF!</f>
        <v>#REF!</v>
      </c>
      <c r="F12" s="207" t="e">
        <f>ROUND(D12*E12,0)</f>
        <v>#REF!</v>
      </c>
      <c r="G12" s="4"/>
      <c r="H12" s="57"/>
      <c r="I12" s="156"/>
      <c r="J12" s="157"/>
      <c r="K12" s="158"/>
      <c r="L12" s="156"/>
      <c r="N12" s="57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</row>
    <row r="13" spans="1:91" x14ac:dyDescent="0.25">
      <c r="A13" s="202">
        <v>1.02</v>
      </c>
      <c r="B13" s="205" t="s">
        <v>234</v>
      </c>
      <c r="C13" s="204" t="s">
        <v>7</v>
      </c>
      <c r="D13" s="202">
        <v>364</v>
      </c>
      <c r="E13" s="207" t="e">
        <f>'APUS 7 -10'!#REF!</f>
        <v>#REF!</v>
      </c>
      <c r="F13" s="207" t="e">
        <f t="shared" ref="F13:F17" si="0">ROUND(D13*E13,0)</f>
        <v>#REF!</v>
      </c>
      <c r="H13" s="57"/>
      <c r="I13" s="156"/>
      <c r="J13" s="157"/>
      <c r="K13" s="158"/>
      <c r="L13" s="156"/>
      <c r="N13" s="57"/>
    </row>
    <row r="14" spans="1:91" s="6" customFormat="1" ht="27.6" x14ac:dyDescent="0.25">
      <c r="A14" s="202">
        <v>1.03</v>
      </c>
      <c r="B14" s="203" t="s">
        <v>235</v>
      </c>
      <c r="C14" s="204" t="s">
        <v>8</v>
      </c>
      <c r="D14" s="202">
        <v>160</v>
      </c>
      <c r="E14" s="207" t="e">
        <f>'APUS 7 -10'!#REF!</f>
        <v>#REF!</v>
      </c>
      <c r="F14" s="207" t="e">
        <f t="shared" si="0"/>
        <v>#REF!</v>
      </c>
      <c r="G14" s="4"/>
      <c r="H14" s="57"/>
      <c r="I14" s="156"/>
      <c r="J14" s="157"/>
      <c r="K14" s="158"/>
      <c r="L14" s="156"/>
      <c r="N14" s="57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</row>
    <row r="15" spans="1:91" ht="27.6" x14ac:dyDescent="0.25">
      <c r="A15" s="202">
        <v>1.04</v>
      </c>
      <c r="B15" s="203" t="s">
        <v>236</v>
      </c>
      <c r="C15" s="204" t="s">
        <v>7</v>
      </c>
      <c r="D15" s="202">
        <v>60</v>
      </c>
      <c r="E15" s="207" t="e">
        <f>'APUS 7 -10'!#REF!</f>
        <v>#REF!</v>
      </c>
      <c r="F15" s="207" t="e">
        <f t="shared" si="0"/>
        <v>#REF!</v>
      </c>
      <c r="H15" s="57"/>
      <c r="I15" s="156"/>
      <c r="J15" s="157"/>
      <c r="K15" s="158"/>
      <c r="L15" s="156"/>
      <c r="N15" s="57"/>
    </row>
    <row r="16" spans="1:91" ht="41.4" x14ac:dyDescent="0.25">
      <c r="A16" s="202">
        <v>1.05</v>
      </c>
      <c r="B16" s="203" t="s">
        <v>237</v>
      </c>
      <c r="C16" s="204" t="s">
        <v>8</v>
      </c>
      <c r="D16" s="202">
        <v>25</v>
      </c>
      <c r="E16" s="207" t="e">
        <f>'APUS 7 -10'!#REF!</f>
        <v>#REF!</v>
      </c>
      <c r="F16" s="207" t="e">
        <f t="shared" si="0"/>
        <v>#REF!</v>
      </c>
      <c r="H16" s="57"/>
      <c r="I16" s="63"/>
      <c r="J16" s="63"/>
      <c r="K16" s="162"/>
      <c r="L16" s="163"/>
      <c r="M16" s="164"/>
      <c r="N16" s="162"/>
    </row>
    <row r="17" spans="1:91" ht="27.6" x14ac:dyDescent="0.25">
      <c r="A17" s="202">
        <v>1.06</v>
      </c>
      <c r="B17" s="203" t="s">
        <v>238</v>
      </c>
      <c r="C17" s="204" t="s">
        <v>8</v>
      </c>
      <c r="D17" s="202">
        <v>67</v>
      </c>
      <c r="E17" s="207" t="e">
        <f>'APUS 7 -10'!#REF!</f>
        <v>#REF!</v>
      </c>
      <c r="F17" s="207" t="e">
        <f t="shared" si="0"/>
        <v>#REF!</v>
      </c>
      <c r="H17" s="57"/>
      <c r="I17" s="156"/>
      <c r="J17" s="165"/>
      <c r="K17" s="158"/>
      <c r="L17" s="156"/>
      <c r="M17" s="57"/>
      <c r="N17" s="57"/>
    </row>
    <row r="18" spans="1:91" x14ac:dyDescent="0.25">
      <c r="A18" s="55"/>
      <c r="B18" s="58"/>
      <c r="C18" s="59"/>
      <c r="D18" s="59"/>
      <c r="E18" s="60"/>
      <c r="F18" s="60"/>
      <c r="I18" s="156"/>
      <c r="J18" s="157"/>
      <c r="K18" s="158"/>
      <c r="L18" s="156"/>
      <c r="M18" s="57"/>
      <c r="N18" s="57"/>
    </row>
    <row r="19" spans="1:91" x14ac:dyDescent="0.25">
      <c r="A19" s="53" t="s">
        <v>9</v>
      </c>
      <c r="B19" s="53"/>
      <c r="C19" s="53"/>
      <c r="D19" s="61"/>
      <c r="E19" s="54"/>
      <c r="F19" s="53"/>
      <c r="I19" s="156"/>
      <c r="J19" s="165"/>
      <c r="K19" s="158"/>
      <c r="L19" s="156"/>
      <c r="M19" s="57"/>
      <c r="N19" s="57"/>
    </row>
    <row r="20" spans="1:91" s="6" customFormat="1" x14ac:dyDescent="0.25">
      <c r="A20" s="202">
        <v>2.0099999999999998</v>
      </c>
      <c r="B20" s="205" t="s">
        <v>239</v>
      </c>
      <c r="C20" s="204" t="s">
        <v>7</v>
      </c>
      <c r="D20" s="202">
        <v>440</v>
      </c>
      <c r="E20" s="207" t="e">
        <f>'APUS 7 -10'!#REF!</f>
        <v>#REF!</v>
      </c>
      <c r="F20" s="207" t="e">
        <f t="shared" ref="F20:F26" si="1">ROUND(D20*E20,0)</f>
        <v>#REF!</v>
      </c>
      <c r="G20" s="4"/>
      <c r="H20" s="57"/>
      <c r="I20" s="156"/>
      <c r="J20" s="165"/>
      <c r="K20" s="158"/>
      <c r="L20" s="156"/>
      <c r="N20" s="57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</row>
    <row r="21" spans="1:91" s="6" customFormat="1" x14ac:dyDescent="0.25">
      <c r="A21" s="202">
        <v>2.02</v>
      </c>
      <c r="B21" s="203" t="s">
        <v>44</v>
      </c>
      <c r="C21" s="204" t="s">
        <v>10</v>
      </c>
      <c r="D21" s="202">
        <v>181.24</v>
      </c>
      <c r="E21" s="207" t="e">
        <f>'APUS 7 -10'!#REF!</f>
        <v>#REF!</v>
      </c>
      <c r="F21" s="207" t="e">
        <f t="shared" si="1"/>
        <v>#REF!</v>
      </c>
      <c r="G21" s="4"/>
      <c r="H21" s="57"/>
      <c r="I21" s="156"/>
      <c r="J21" s="157"/>
      <c r="K21" s="158"/>
      <c r="L21" s="156"/>
      <c r="N21" s="57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</row>
    <row r="22" spans="1:91" s="6" customFormat="1" x14ac:dyDescent="0.25">
      <c r="A22" s="202">
        <v>2.0299999999999998</v>
      </c>
      <c r="B22" s="205" t="s">
        <v>240</v>
      </c>
      <c r="C22" s="204" t="s">
        <v>10</v>
      </c>
      <c r="D22" s="202">
        <v>75.5</v>
      </c>
      <c r="E22" s="207" t="e">
        <f>'APUS 7 -10'!#REF!</f>
        <v>#REF!</v>
      </c>
      <c r="F22" s="207" t="e">
        <f t="shared" si="1"/>
        <v>#REF!</v>
      </c>
      <c r="G22" s="4"/>
      <c r="H22" s="57"/>
      <c r="I22" s="156"/>
      <c r="J22" s="165"/>
      <c r="K22" s="158"/>
      <c r="L22" s="156"/>
      <c r="N22" s="60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</row>
    <row r="23" spans="1:91" s="6" customFormat="1" ht="27.6" x14ac:dyDescent="0.25">
      <c r="A23" s="202">
        <v>2.04</v>
      </c>
      <c r="B23" s="203" t="s">
        <v>241</v>
      </c>
      <c r="C23" s="204" t="s">
        <v>10</v>
      </c>
      <c r="D23" s="202">
        <v>3057.74</v>
      </c>
      <c r="E23" s="207" t="e">
        <f>'APUS 7 -10'!#REF!</f>
        <v>#REF!</v>
      </c>
      <c r="F23" s="207" t="e">
        <f t="shared" si="1"/>
        <v>#REF!</v>
      </c>
      <c r="G23" s="4"/>
      <c r="H23" s="57"/>
      <c r="I23" s="156"/>
      <c r="J23" s="157"/>
      <c r="K23" s="158"/>
      <c r="L23" s="156"/>
      <c r="N23" s="162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</row>
    <row r="24" spans="1:91" s="6" customFormat="1" x14ac:dyDescent="0.25">
      <c r="A24" s="202">
        <v>2.0499999999999998</v>
      </c>
      <c r="B24" s="205" t="s">
        <v>161</v>
      </c>
      <c r="C24" s="204" t="s">
        <v>10</v>
      </c>
      <c r="D24" s="202">
        <v>35</v>
      </c>
      <c r="E24" s="207" t="e">
        <f>'APUS 7 -10'!#REF!</f>
        <v>#REF!</v>
      </c>
      <c r="F24" s="207" t="e">
        <f t="shared" si="1"/>
        <v>#REF!</v>
      </c>
      <c r="G24" s="4"/>
      <c r="H24" s="57"/>
      <c r="I24" s="156"/>
      <c r="J24" s="165"/>
      <c r="K24" s="158"/>
      <c r="L24" s="156"/>
      <c r="N24" s="57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</row>
    <row r="25" spans="1:91" s="6" customFormat="1" x14ac:dyDescent="0.25">
      <c r="A25" s="202">
        <v>2.06</v>
      </c>
      <c r="B25" s="205" t="s">
        <v>243</v>
      </c>
      <c r="C25" s="204" t="s">
        <v>10</v>
      </c>
      <c r="D25" s="202">
        <v>2850</v>
      </c>
      <c r="E25" s="207" t="e">
        <f>'APUS 7 -10'!#REF!</f>
        <v>#REF!</v>
      </c>
      <c r="F25" s="207" t="e">
        <f t="shared" si="1"/>
        <v>#REF!</v>
      </c>
      <c r="G25" s="4"/>
      <c r="H25" s="57"/>
      <c r="I25" s="156"/>
      <c r="J25" s="165"/>
      <c r="K25" s="158"/>
      <c r="L25" s="156"/>
      <c r="N25" s="57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</row>
    <row r="26" spans="1:91" s="6" customFormat="1" x14ac:dyDescent="0.25">
      <c r="A26" s="202">
        <v>2.0699999999999998</v>
      </c>
      <c r="B26" s="205" t="s">
        <v>244</v>
      </c>
      <c r="C26" s="204" t="s">
        <v>10</v>
      </c>
      <c r="D26" s="202">
        <v>22.5</v>
      </c>
      <c r="E26" s="207" t="e">
        <f>'APUS 7 -10'!#REF!</f>
        <v>#REF!</v>
      </c>
      <c r="F26" s="207" t="e">
        <f t="shared" si="1"/>
        <v>#REF!</v>
      </c>
      <c r="G26" s="4"/>
      <c r="H26" s="57"/>
      <c r="I26" s="156"/>
      <c r="J26" s="165"/>
      <c r="K26" s="158"/>
      <c r="L26" s="156"/>
      <c r="N26" s="57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</row>
    <row r="27" spans="1:91" x14ac:dyDescent="0.25">
      <c r="A27" s="62"/>
      <c r="B27" s="58"/>
      <c r="C27" s="59"/>
      <c r="D27" s="59"/>
      <c r="E27" s="60"/>
      <c r="F27" s="60"/>
      <c r="I27" s="156"/>
      <c r="J27" s="165"/>
      <c r="K27" s="158"/>
      <c r="L27" s="156"/>
      <c r="M27" s="57"/>
      <c r="N27" s="57"/>
    </row>
    <row r="28" spans="1:91" x14ac:dyDescent="0.25">
      <c r="A28" s="63" t="s">
        <v>11</v>
      </c>
      <c r="B28" s="63"/>
      <c r="C28" s="64"/>
      <c r="D28" s="65"/>
      <c r="E28" s="66"/>
      <c r="F28" s="64"/>
      <c r="I28" s="156"/>
      <c r="J28" s="165"/>
      <c r="K28" s="158"/>
      <c r="L28" s="156"/>
      <c r="M28" s="57"/>
      <c r="N28" s="57"/>
    </row>
    <row r="29" spans="1:91" s="6" customFormat="1" ht="27.6" x14ac:dyDescent="0.25">
      <c r="A29" s="202">
        <v>3.01</v>
      </c>
      <c r="B29" s="203" t="s">
        <v>245</v>
      </c>
      <c r="C29" s="204" t="s">
        <v>10</v>
      </c>
      <c r="D29" s="202">
        <v>110.25</v>
      </c>
      <c r="E29" s="207" t="e">
        <f>'APUS 7 -10'!#REF!</f>
        <v>#REF!</v>
      </c>
      <c r="F29" s="207" t="e">
        <f t="shared" ref="F29:F34" si="2">ROUND(D29*E29,0)</f>
        <v>#REF!</v>
      </c>
      <c r="G29" s="4"/>
      <c r="H29" s="57"/>
      <c r="I29" s="156"/>
      <c r="J29" s="157"/>
      <c r="K29" s="158"/>
      <c r="L29" s="156"/>
      <c r="M29" s="57"/>
      <c r="N29" s="57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</row>
    <row r="30" spans="1:91" s="6" customFormat="1" ht="27.6" x14ac:dyDescent="0.25">
      <c r="A30" s="202">
        <v>3.02</v>
      </c>
      <c r="B30" s="203" t="s">
        <v>246</v>
      </c>
      <c r="C30" s="204" t="s">
        <v>10</v>
      </c>
      <c r="D30" s="202">
        <v>90.27</v>
      </c>
      <c r="E30" s="207" t="e">
        <f>'APUS 7 -10'!#REF!</f>
        <v>#REF!</v>
      </c>
      <c r="F30" s="207" t="e">
        <f>ROUND(D30*E30,0)</f>
        <v>#REF!</v>
      </c>
      <c r="G30" s="4"/>
      <c r="H30" s="57"/>
      <c r="I30" s="156"/>
      <c r="J30" s="165"/>
      <c r="K30" s="158"/>
      <c r="L30" s="156"/>
      <c r="M30" s="57"/>
      <c r="N30" s="60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</row>
    <row r="31" spans="1:91" s="6" customFormat="1" x14ac:dyDescent="0.25">
      <c r="A31" s="202">
        <v>3.03</v>
      </c>
      <c r="B31" s="205" t="s">
        <v>247</v>
      </c>
      <c r="C31" s="204" t="s">
        <v>7</v>
      </c>
      <c r="D31" s="202">
        <v>303</v>
      </c>
      <c r="E31" s="207" t="e">
        <f>'APUS 7 -10'!#REF!</f>
        <v>#REF!</v>
      </c>
      <c r="F31" s="207" t="e">
        <f t="shared" si="2"/>
        <v>#REF!</v>
      </c>
      <c r="G31" s="4"/>
      <c r="H31" s="57"/>
      <c r="I31" s="156"/>
      <c r="J31" s="157"/>
      <c r="K31" s="158"/>
      <c r="L31" s="156"/>
      <c r="M31" s="57"/>
      <c r="N31" s="57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</row>
    <row r="32" spans="1:91" s="6" customFormat="1" x14ac:dyDescent="0.25">
      <c r="A32" s="202">
        <v>3.04</v>
      </c>
      <c r="B32" s="205" t="s">
        <v>249</v>
      </c>
      <c r="C32" s="204" t="s">
        <v>7</v>
      </c>
      <c r="D32" s="202">
        <v>250.2</v>
      </c>
      <c r="E32" s="207" t="e">
        <f>'APUS 7 -10'!#REF!</f>
        <v>#REF!</v>
      </c>
      <c r="F32" s="207" t="e">
        <f t="shared" si="2"/>
        <v>#REF!</v>
      </c>
      <c r="G32" s="4"/>
      <c r="H32" s="57"/>
      <c r="I32" s="156"/>
      <c r="J32" s="165"/>
      <c r="K32" s="158"/>
      <c r="L32" s="156"/>
      <c r="M32" s="57"/>
      <c r="N32" s="162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</row>
    <row r="33" spans="1:91" s="6" customFormat="1" x14ac:dyDescent="0.25">
      <c r="A33" s="202">
        <v>3.05</v>
      </c>
      <c r="B33" s="205" t="s">
        <v>250</v>
      </c>
      <c r="C33" s="204" t="s">
        <v>8</v>
      </c>
      <c r="D33" s="202">
        <v>67</v>
      </c>
      <c r="E33" s="207" t="e">
        <f>'APUS 7 -10'!#REF!</f>
        <v>#REF!</v>
      </c>
      <c r="F33" s="207" t="e">
        <f t="shared" si="2"/>
        <v>#REF!</v>
      </c>
      <c r="G33" s="4"/>
      <c r="H33" s="57"/>
      <c r="I33" s="156"/>
      <c r="J33" s="165"/>
      <c r="K33" s="158"/>
      <c r="L33" s="156"/>
      <c r="M33" s="57"/>
      <c r="N33" s="57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</row>
    <row r="34" spans="1:91" s="6" customFormat="1" x14ac:dyDescent="0.25">
      <c r="A34" s="202" t="s">
        <v>251</v>
      </c>
      <c r="B34" s="205" t="s">
        <v>252</v>
      </c>
      <c r="C34" s="204" t="s">
        <v>248</v>
      </c>
      <c r="D34" s="202">
        <v>54</v>
      </c>
      <c r="E34" s="207" t="e">
        <f>+'APUS 7 -10'!#REF!</f>
        <v>#REF!</v>
      </c>
      <c r="F34" s="207" t="e">
        <f t="shared" si="2"/>
        <v>#REF!</v>
      </c>
      <c r="G34" s="4"/>
      <c r="H34" s="57"/>
      <c r="I34" s="156"/>
      <c r="J34" s="165"/>
      <c r="K34" s="158"/>
      <c r="L34" s="156"/>
      <c r="M34" s="57"/>
      <c r="N34" s="57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</row>
    <row r="35" spans="1:91" s="6" customFormat="1" ht="27.6" x14ac:dyDescent="0.25">
      <c r="A35" s="202" t="s">
        <v>253</v>
      </c>
      <c r="B35" s="203" t="s">
        <v>254</v>
      </c>
      <c r="C35" s="204" t="s">
        <v>248</v>
      </c>
      <c r="D35" s="202">
        <v>6</v>
      </c>
      <c r="E35" s="207"/>
      <c r="F35" s="207">
        <f t="shared" ref="F35" si="3">ROUND(D35*E35,0)</f>
        <v>0</v>
      </c>
      <c r="G35" s="4"/>
      <c r="H35" s="57"/>
      <c r="I35" s="156"/>
      <c r="J35" s="165"/>
      <c r="K35" s="158"/>
      <c r="L35" s="156"/>
      <c r="M35" s="57"/>
      <c r="N35" s="57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</row>
    <row r="36" spans="1:91" x14ac:dyDescent="0.25">
      <c r="A36" s="62"/>
      <c r="B36" s="58"/>
      <c r="C36" s="59"/>
      <c r="D36" s="59"/>
      <c r="E36" s="60"/>
      <c r="F36" s="60"/>
      <c r="I36" s="156"/>
      <c r="J36" s="165"/>
      <c r="K36" s="158"/>
      <c r="L36" s="156"/>
      <c r="M36" s="57"/>
      <c r="N36" s="57"/>
    </row>
    <row r="37" spans="1:91" x14ac:dyDescent="0.25">
      <c r="A37" s="53" t="s">
        <v>12</v>
      </c>
      <c r="B37" s="53"/>
      <c r="C37" s="53"/>
      <c r="D37" s="61"/>
      <c r="E37" s="54"/>
      <c r="F37" s="53"/>
      <c r="I37" s="156"/>
      <c r="J37" s="157"/>
      <c r="K37" s="158"/>
      <c r="L37" s="156"/>
      <c r="M37" s="57"/>
      <c r="N37" s="57"/>
    </row>
    <row r="38" spans="1:91" s="6" customFormat="1" x14ac:dyDescent="0.25">
      <c r="A38" s="202" t="s">
        <v>13</v>
      </c>
      <c r="B38" s="205" t="s">
        <v>255</v>
      </c>
      <c r="C38" s="204" t="s">
        <v>26</v>
      </c>
      <c r="D38" s="202">
        <v>28791</v>
      </c>
      <c r="E38" s="207">
        <f>'APUS primarios'!E72</f>
        <v>6671</v>
      </c>
      <c r="F38" s="207">
        <f t="shared" ref="F38:F50" si="4">ROUND(D38*E38,0)</f>
        <v>192064761</v>
      </c>
      <c r="G38" s="4"/>
      <c r="H38" s="57"/>
      <c r="I38" s="156"/>
      <c r="J38" s="165"/>
      <c r="K38" s="158"/>
      <c r="L38" s="156"/>
      <c r="N38" s="57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</row>
    <row r="39" spans="1:91" s="6" customFormat="1" x14ac:dyDescent="0.25">
      <c r="A39" s="202" t="s">
        <v>36</v>
      </c>
      <c r="B39" s="205" t="s">
        <v>256</v>
      </c>
      <c r="C39" s="204" t="s">
        <v>10</v>
      </c>
      <c r="D39" s="202">
        <v>3.54</v>
      </c>
      <c r="E39" s="207" t="e">
        <f>'APUS 7 -10'!#REF!</f>
        <v>#REF!</v>
      </c>
      <c r="F39" s="207" t="e">
        <f t="shared" si="4"/>
        <v>#REF!</v>
      </c>
      <c r="G39" s="4"/>
      <c r="H39" s="57"/>
      <c r="I39" s="156"/>
      <c r="J39" s="165"/>
      <c r="K39" s="158"/>
      <c r="L39" s="156"/>
      <c r="N39" s="57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</row>
    <row r="40" spans="1:91" s="6" customFormat="1" x14ac:dyDescent="0.25">
      <c r="A40" s="202" t="s">
        <v>37</v>
      </c>
      <c r="B40" s="205" t="s">
        <v>257</v>
      </c>
      <c r="C40" s="204" t="s">
        <v>10</v>
      </c>
      <c r="D40" s="202">
        <v>19.170000000000002</v>
      </c>
      <c r="E40" s="207" t="e">
        <f>'APUS 7 -10'!#REF!</f>
        <v>#REF!</v>
      </c>
      <c r="F40" s="207" t="e">
        <f t="shared" si="4"/>
        <v>#REF!</v>
      </c>
      <c r="G40" s="4"/>
      <c r="H40" s="57"/>
      <c r="I40" s="156"/>
      <c r="J40" s="165"/>
      <c r="K40" s="158"/>
      <c r="L40" s="156"/>
      <c r="N40" s="57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</row>
    <row r="41" spans="1:91" s="6" customFormat="1" x14ac:dyDescent="0.25">
      <c r="A41" s="202" t="s">
        <v>38</v>
      </c>
      <c r="B41" s="205" t="s">
        <v>258</v>
      </c>
      <c r="C41" s="204" t="s">
        <v>10</v>
      </c>
      <c r="D41" s="202">
        <v>6.13</v>
      </c>
      <c r="E41" s="207" t="e">
        <f>'APUS 7 -10'!#REF!</f>
        <v>#REF!</v>
      </c>
      <c r="F41" s="207" t="e">
        <f t="shared" si="4"/>
        <v>#REF!</v>
      </c>
      <c r="G41" s="4"/>
      <c r="H41" s="57"/>
      <c r="I41" s="156"/>
      <c r="J41" s="165"/>
      <c r="K41" s="158"/>
      <c r="L41" s="156"/>
      <c r="N41" s="57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</row>
    <row r="42" spans="1:91" s="6" customFormat="1" x14ac:dyDescent="0.25">
      <c r="A42" s="202" t="s">
        <v>275</v>
      </c>
      <c r="B42" s="205" t="s">
        <v>259</v>
      </c>
      <c r="C42" s="204" t="s">
        <v>10</v>
      </c>
      <c r="D42" s="202">
        <v>7.45</v>
      </c>
      <c r="E42" s="207" t="e">
        <f>'APUS 7 -10'!#REF!</f>
        <v>#REF!</v>
      </c>
      <c r="F42" s="207" t="e">
        <f t="shared" si="4"/>
        <v>#REF!</v>
      </c>
      <c r="G42" s="4"/>
      <c r="H42" s="57"/>
      <c r="I42" s="156"/>
      <c r="J42" s="165"/>
      <c r="K42" s="158"/>
      <c r="L42" s="156"/>
      <c r="N42" s="57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</row>
    <row r="43" spans="1:91" s="6" customFormat="1" x14ac:dyDescent="0.25">
      <c r="A43" s="202" t="s">
        <v>45</v>
      </c>
      <c r="B43" s="205" t="s">
        <v>260</v>
      </c>
      <c r="C43" s="204" t="s">
        <v>10</v>
      </c>
      <c r="D43" s="202">
        <v>0.88</v>
      </c>
      <c r="E43" s="207" t="e">
        <f>+'APUS 7 -10'!#REF!</f>
        <v>#REF!</v>
      </c>
      <c r="F43" s="207" t="e">
        <f t="shared" ref="F43" si="5">ROUND(D43*E43,0)</f>
        <v>#REF!</v>
      </c>
      <c r="G43" s="4"/>
      <c r="H43" s="57"/>
      <c r="I43" s="156"/>
      <c r="J43" s="165"/>
      <c r="K43" s="158"/>
      <c r="L43" s="156"/>
      <c r="M43" s="57"/>
      <c r="N43" s="57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</row>
    <row r="44" spans="1:91" s="6" customFormat="1" x14ac:dyDescent="0.25">
      <c r="A44" s="202" t="s">
        <v>46</v>
      </c>
      <c r="B44" s="205" t="s">
        <v>261</v>
      </c>
      <c r="C44" s="204" t="s">
        <v>10</v>
      </c>
      <c r="D44" s="202">
        <v>13.44</v>
      </c>
      <c r="E44" s="207" t="e">
        <f>'APUS 7 -10'!#REF!</f>
        <v>#REF!</v>
      </c>
      <c r="F44" s="207" t="e">
        <f t="shared" si="4"/>
        <v>#REF!</v>
      </c>
      <c r="G44" s="4"/>
      <c r="H44" s="57"/>
      <c r="I44" s="156"/>
      <c r="J44" s="165"/>
      <c r="K44" s="158"/>
      <c r="L44" s="156"/>
      <c r="N44" s="57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</row>
    <row r="45" spans="1:91" s="6" customFormat="1" x14ac:dyDescent="0.25">
      <c r="A45" s="202" t="s">
        <v>39</v>
      </c>
      <c r="B45" s="205" t="s">
        <v>262</v>
      </c>
      <c r="C45" s="204" t="s">
        <v>10</v>
      </c>
      <c r="D45" s="202">
        <v>13.53</v>
      </c>
      <c r="E45" s="207" t="e">
        <f>+'APUS 7 -10'!#REF!</f>
        <v>#REF!</v>
      </c>
      <c r="F45" s="207" t="e">
        <f t="shared" ref="F45" si="6">ROUND(D45*E45,0)</f>
        <v>#REF!</v>
      </c>
      <c r="G45" s="4"/>
      <c r="H45" s="57"/>
      <c r="I45" s="156"/>
      <c r="J45" s="165"/>
      <c r="K45" s="158"/>
      <c r="L45" s="156"/>
      <c r="N45" s="57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</row>
    <row r="46" spans="1:91" s="6" customFormat="1" ht="27.6" x14ac:dyDescent="0.25">
      <c r="A46" s="202" t="s">
        <v>276</v>
      </c>
      <c r="B46" s="203" t="s">
        <v>263</v>
      </c>
      <c r="C46" s="204" t="s">
        <v>7</v>
      </c>
      <c r="D46" s="202">
        <v>229</v>
      </c>
      <c r="E46" s="207" t="e">
        <f>'APUS 7 -10'!#REF!</f>
        <v>#REF!</v>
      </c>
      <c r="F46" s="207" t="e">
        <f t="shared" si="4"/>
        <v>#REF!</v>
      </c>
      <c r="G46" s="4"/>
      <c r="H46" s="57"/>
      <c r="I46" s="156"/>
      <c r="J46" s="157"/>
      <c r="K46" s="158"/>
      <c r="L46" s="156"/>
      <c r="M46" s="57"/>
      <c r="N46" s="57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</row>
    <row r="47" spans="1:91" s="6" customFormat="1" ht="41.4" x14ac:dyDescent="0.25">
      <c r="A47" s="202" t="s">
        <v>34</v>
      </c>
      <c r="B47" s="205" t="s">
        <v>264</v>
      </c>
      <c r="C47" s="204" t="s">
        <v>242</v>
      </c>
      <c r="D47" s="202">
        <v>12.96</v>
      </c>
      <c r="E47" s="207" t="e">
        <f>'APUS 7 -10'!#REF!</f>
        <v>#REF!</v>
      </c>
      <c r="F47" s="207" t="e">
        <f t="shared" si="4"/>
        <v>#REF!</v>
      </c>
      <c r="G47" s="4"/>
      <c r="H47" s="57"/>
      <c r="I47" s="156" t="s">
        <v>191</v>
      </c>
      <c r="J47" s="157" t="s">
        <v>271</v>
      </c>
      <c r="K47" s="158"/>
      <c r="L47" s="156"/>
      <c r="M47" s="57"/>
      <c r="N47" s="57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</row>
    <row r="48" spans="1:91" s="6" customFormat="1" ht="27.6" x14ac:dyDescent="0.25">
      <c r="A48" s="202" t="s">
        <v>35</v>
      </c>
      <c r="B48" s="203" t="s">
        <v>265</v>
      </c>
      <c r="C48" s="204" t="s">
        <v>8</v>
      </c>
      <c r="D48" s="202">
        <v>95</v>
      </c>
      <c r="E48" s="207" t="e">
        <f>+'APUS 7 -10'!#REF!</f>
        <v>#REF!</v>
      </c>
      <c r="F48" s="207" t="e">
        <f t="shared" si="4"/>
        <v>#REF!</v>
      </c>
      <c r="G48" s="4"/>
      <c r="H48" s="57"/>
      <c r="I48" s="156" t="s">
        <v>192</v>
      </c>
      <c r="J48" s="157" t="s">
        <v>272</v>
      </c>
      <c r="K48" s="158"/>
      <c r="L48" s="156"/>
      <c r="M48" s="57"/>
      <c r="N48" s="57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</row>
    <row r="49" spans="1:91" x14ac:dyDescent="0.25">
      <c r="A49" s="202" t="s">
        <v>40</v>
      </c>
      <c r="B49" s="205" t="s">
        <v>266</v>
      </c>
      <c r="C49" s="204" t="s">
        <v>15</v>
      </c>
      <c r="D49" s="202">
        <v>245</v>
      </c>
      <c r="E49" s="207" t="e">
        <f>'APUS 7 -10'!#REF!</f>
        <v>#REF!</v>
      </c>
      <c r="F49" s="207" t="e">
        <f t="shared" si="4"/>
        <v>#REF!</v>
      </c>
      <c r="H49" s="57"/>
      <c r="I49" s="156" t="s">
        <v>193</v>
      </c>
      <c r="J49" s="157" t="s">
        <v>273</v>
      </c>
      <c r="K49" s="158"/>
      <c r="L49" s="156"/>
      <c r="M49" s="57"/>
      <c r="N49" s="57"/>
    </row>
    <row r="50" spans="1:91" x14ac:dyDescent="0.25">
      <c r="A50" s="202" t="s">
        <v>277</v>
      </c>
      <c r="B50" s="205" t="s">
        <v>267</v>
      </c>
      <c r="C50" s="204" t="s">
        <v>15</v>
      </c>
      <c r="D50" s="202">
        <v>85</v>
      </c>
      <c r="E50" s="207" t="e">
        <f>'APUS 7 -10'!#REF!</f>
        <v>#REF!</v>
      </c>
      <c r="F50" s="207" t="e">
        <f t="shared" si="4"/>
        <v>#REF!</v>
      </c>
      <c r="H50" s="57"/>
      <c r="I50" s="156"/>
      <c r="J50" s="165"/>
      <c r="K50" s="158"/>
      <c r="L50" s="156"/>
      <c r="M50" s="57"/>
      <c r="N50" s="57"/>
    </row>
    <row r="51" spans="1:91" s="6" customFormat="1" ht="27.6" x14ac:dyDescent="0.25">
      <c r="A51" s="202" t="s">
        <v>278</v>
      </c>
      <c r="B51" s="203" t="s">
        <v>268</v>
      </c>
      <c r="C51" s="204" t="s">
        <v>10</v>
      </c>
      <c r="D51" s="202">
        <v>27.8</v>
      </c>
      <c r="E51" s="207" t="e">
        <f>'APUS 7 -10'!#REF!</f>
        <v>#REF!</v>
      </c>
      <c r="F51" s="207" t="e">
        <f>ROUND(D51*E51,0)</f>
        <v>#REF!</v>
      </c>
      <c r="G51" s="4"/>
      <c r="H51" s="57"/>
      <c r="I51" s="156"/>
      <c r="J51" s="157"/>
      <c r="K51" s="158"/>
      <c r="L51" s="156"/>
      <c r="M51" s="57"/>
      <c r="N51" s="57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</row>
    <row r="52" spans="1:91" ht="27.6" x14ac:dyDescent="0.25">
      <c r="A52" s="202" t="s">
        <v>47</v>
      </c>
      <c r="B52" s="203" t="s">
        <v>269</v>
      </c>
      <c r="C52" s="204" t="s">
        <v>233</v>
      </c>
      <c r="D52" s="202">
        <v>22</v>
      </c>
      <c r="E52" s="207" t="e">
        <f>+'APUS 7 -10'!#REF!</f>
        <v>#REF!</v>
      </c>
      <c r="F52" s="207" t="e">
        <f>ROUND(D52*E52,0)</f>
        <v>#REF!</v>
      </c>
      <c r="H52" s="57"/>
      <c r="I52" s="156"/>
      <c r="J52" s="165"/>
      <c r="K52" s="158"/>
      <c r="L52" s="156"/>
      <c r="M52" s="57"/>
      <c r="N52" s="57"/>
    </row>
    <row r="53" spans="1:91" ht="27.6" x14ac:dyDescent="0.25">
      <c r="A53" s="202" t="s">
        <v>49</v>
      </c>
      <c r="B53" s="203" t="s">
        <v>270</v>
      </c>
      <c r="C53" s="204" t="s">
        <v>233</v>
      </c>
      <c r="D53" s="202">
        <v>4.5</v>
      </c>
      <c r="E53" s="207" t="e">
        <f>'APUS 7 -10'!#REF!</f>
        <v>#REF!</v>
      </c>
      <c r="F53" s="207" t="e">
        <f t="shared" ref="F53" si="7">ROUND(D53*E53,0)</f>
        <v>#REF!</v>
      </c>
      <c r="H53" s="57"/>
      <c r="K53" s="158" t="s">
        <v>7</v>
      </c>
      <c r="L53" s="156">
        <v>127.89</v>
      </c>
      <c r="M53" s="57">
        <v>202000</v>
      </c>
      <c r="N53" s="57"/>
    </row>
    <row r="54" spans="1:91" ht="41.4" x14ac:dyDescent="0.25">
      <c r="A54" s="202" t="s">
        <v>191</v>
      </c>
      <c r="B54" s="203" t="s">
        <v>271</v>
      </c>
      <c r="C54" s="204" t="s">
        <v>7</v>
      </c>
      <c r="D54" s="202">
        <v>127.89</v>
      </c>
      <c r="E54" s="57"/>
      <c r="F54" s="57"/>
      <c r="H54" s="57"/>
      <c r="I54" s="156"/>
      <c r="J54" s="157"/>
      <c r="K54" s="158"/>
      <c r="L54" s="156"/>
      <c r="M54" s="57"/>
      <c r="N54" s="60"/>
    </row>
    <row r="55" spans="1:91" x14ac:dyDescent="0.25">
      <c r="A55" s="202" t="s">
        <v>192</v>
      </c>
      <c r="B55" s="203" t="s">
        <v>272</v>
      </c>
      <c r="C55" s="204" t="s">
        <v>43</v>
      </c>
      <c r="D55" s="202">
        <v>6750</v>
      </c>
      <c r="E55" s="57"/>
      <c r="F55" s="57"/>
      <c r="H55" s="57"/>
      <c r="I55" s="156"/>
      <c r="J55" s="157"/>
      <c r="K55" s="158"/>
      <c r="L55" s="156"/>
      <c r="M55" s="57"/>
      <c r="N55" s="162"/>
    </row>
    <row r="56" spans="1:91" x14ac:dyDescent="0.25">
      <c r="A56" s="202" t="s">
        <v>193</v>
      </c>
      <c r="B56" s="203" t="s">
        <v>273</v>
      </c>
      <c r="C56" s="204" t="s">
        <v>233</v>
      </c>
      <c r="D56" s="202">
        <v>58</v>
      </c>
      <c r="E56" s="57"/>
      <c r="F56" s="57"/>
      <c r="H56" s="57"/>
      <c r="K56" s="158" t="s">
        <v>233</v>
      </c>
      <c r="L56" s="156">
        <v>4.5</v>
      </c>
      <c r="M56" s="57">
        <v>75000</v>
      </c>
      <c r="N56" s="57"/>
    </row>
    <row r="57" spans="1:91" x14ac:dyDescent="0.25">
      <c r="A57" s="62"/>
      <c r="B57" s="58"/>
      <c r="C57" s="59"/>
      <c r="D57" s="59"/>
      <c r="E57" s="60"/>
      <c r="F57" s="60"/>
      <c r="I57" s="63"/>
      <c r="J57" s="63"/>
      <c r="K57" s="162"/>
      <c r="L57" s="163"/>
      <c r="M57" s="164"/>
      <c r="N57" s="162"/>
    </row>
    <row r="58" spans="1:91" x14ac:dyDescent="0.25">
      <c r="A58" s="53" t="s">
        <v>14</v>
      </c>
      <c r="B58" s="53"/>
      <c r="C58" s="53"/>
      <c r="D58" s="61"/>
      <c r="E58" s="54"/>
      <c r="F58" s="53"/>
      <c r="I58" s="156"/>
      <c r="J58" s="157"/>
      <c r="K58" s="158"/>
      <c r="L58" s="156"/>
      <c r="M58" s="57"/>
      <c r="N58" s="57"/>
    </row>
    <row r="59" spans="1:91" s="6" customFormat="1" ht="41.4" x14ac:dyDescent="0.25">
      <c r="A59" s="202" t="s">
        <v>231</v>
      </c>
      <c r="B59" s="203" t="s">
        <v>279</v>
      </c>
      <c r="C59" s="204" t="s">
        <v>280</v>
      </c>
      <c r="D59" s="202">
        <v>1830</v>
      </c>
      <c r="E59" s="207" t="e">
        <f>'APUS 7 -10'!#REF!</f>
        <v>#REF!</v>
      </c>
      <c r="F59" s="207" t="e">
        <f t="shared" ref="F59" si="8">ROUND(D59*E59,0)</f>
        <v>#REF!</v>
      </c>
      <c r="G59" s="4"/>
      <c r="H59" s="57"/>
      <c r="I59" s="156"/>
      <c r="J59" s="157"/>
      <c r="K59" s="158"/>
      <c r="L59" s="156"/>
      <c r="M59" s="57"/>
      <c r="N59" s="57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</row>
    <row r="60" spans="1:91" s="6" customFormat="1" ht="41.4" x14ac:dyDescent="0.25">
      <c r="A60" s="202" t="s">
        <v>281</v>
      </c>
      <c r="B60" s="203" t="s">
        <v>282</v>
      </c>
      <c r="C60" s="204" t="s">
        <v>280</v>
      </c>
      <c r="D60" s="202">
        <v>5097</v>
      </c>
      <c r="E60" s="207" t="e">
        <f>'APUS 7 -10'!#REF!</f>
        <v>#REF!</v>
      </c>
      <c r="F60" s="207" t="e">
        <f t="shared" ref="F60" si="9">ROUND(D60*E60,0)</f>
        <v>#REF!</v>
      </c>
      <c r="G60" s="4"/>
      <c r="H60" s="57"/>
      <c r="I60" s="156"/>
      <c r="J60" s="157"/>
      <c r="K60" s="158"/>
      <c r="L60" s="156"/>
      <c r="M60" s="57"/>
      <c r="N60" s="57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</row>
    <row r="61" spans="1:91" s="6" customFormat="1" ht="27.6" x14ac:dyDescent="0.25">
      <c r="A61" s="202" t="s">
        <v>283</v>
      </c>
      <c r="B61" s="203" t="s">
        <v>284</v>
      </c>
      <c r="C61" s="204" t="s">
        <v>280</v>
      </c>
      <c r="D61" s="202">
        <v>3860</v>
      </c>
      <c r="E61" s="207" t="e">
        <f>+'APUS 7 -10'!#REF!</f>
        <v>#REF!</v>
      </c>
      <c r="F61" s="207" t="e">
        <f t="shared" ref="F61" si="10">ROUND(D61*E61,0)</f>
        <v>#REF!</v>
      </c>
      <c r="G61" s="4"/>
      <c r="H61" s="57"/>
      <c r="I61" s="156"/>
      <c r="J61" s="157"/>
      <c r="K61" s="158"/>
      <c r="L61" s="156"/>
      <c r="M61" s="57"/>
      <c r="N61" s="57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</row>
    <row r="62" spans="1:91" x14ac:dyDescent="0.25">
      <c r="A62" s="62"/>
      <c r="B62" s="58"/>
      <c r="C62" s="59"/>
      <c r="D62" s="59"/>
      <c r="E62" s="60"/>
      <c r="F62" s="60"/>
      <c r="I62" s="156"/>
      <c r="J62" s="157"/>
      <c r="K62" s="158"/>
      <c r="L62" s="156"/>
      <c r="M62" s="57"/>
      <c r="N62" s="57"/>
    </row>
    <row r="63" spans="1:91" x14ac:dyDescent="0.25">
      <c r="A63" s="53" t="s">
        <v>28</v>
      </c>
      <c r="B63" s="53"/>
      <c r="C63" s="53"/>
      <c r="D63" s="61"/>
      <c r="E63" s="54"/>
      <c r="F63" s="53"/>
      <c r="I63" s="156"/>
      <c r="J63" s="157"/>
      <c r="K63" s="158"/>
      <c r="L63" s="156"/>
      <c r="M63" s="57"/>
      <c r="N63" s="57"/>
    </row>
    <row r="64" spans="1:91" ht="41.4" x14ac:dyDescent="0.25">
      <c r="A64" s="202" t="s">
        <v>285</v>
      </c>
      <c r="B64" s="206" t="s">
        <v>286</v>
      </c>
      <c r="C64" s="204" t="s">
        <v>7</v>
      </c>
      <c r="D64" s="202">
        <v>257</v>
      </c>
      <c r="E64" s="207" t="e">
        <f>'APUS 7 -10'!#REF!</f>
        <v>#REF!</v>
      </c>
      <c r="F64" s="207" t="e">
        <f t="shared" ref="F64:F67" si="11">ROUND(D64*E64,0)</f>
        <v>#REF!</v>
      </c>
      <c r="H64" s="57"/>
      <c r="I64" s="156"/>
      <c r="J64" s="166"/>
      <c r="K64" s="158"/>
      <c r="L64" s="156"/>
      <c r="M64" s="57"/>
      <c r="N64" s="57"/>
    </row>
    <row r="65" spans="1:14" ht="27.6" x14ac:dyDescent="0.25">
      <c r="A65" s="202">
        <v>6.02</v>
      </c>
      <c r="B65" s="206" t="s">
        <v>287</v>
      </c>
      <c r="C65" s="204" t="s">
        <v>7</v>
      </c>
      <c r="D65" s="202">
        <v>128</v>
      </c>
      <c r="E65" s="207" t="e">
        <f>+'APUS 7 -10'!#REF!</f>
        <v>#REF!</v>
      </c>
      <c r="F65" s="207" t="e">
        <f>ROUND(D65*E65,0)</f>
        <v>#REF!</v>
      </c>
      <c r="H65" s="57"/>
      <c r="I65" s="156"/>
      <c r="J65" s="157"/>
      <c r="K65" s="158"/>
      <c r="L65" s="156"/>
      <c r="M65" s="57"/>
      <c r="N65" s="57"/>
    </row>
    <row r="66" spans="1:14" ht="41.4" x14ac:dyDescent="0.25">
      <c r="A66" s="202">
        <v>6.03</v>
      </c>
      <c r="B66" s="203" t="s">
        <v>232</v>
      </c>
      <c r="C66" s="204" t="s">
        <v>7</v>
      </c>
      <c r="D66" s="202">
        <v>153</v>
      </c>
      <c r="E66" s="207" t="e">
        <f>'APUS 7 -10'!#REF!</f>
        <v>#REF!</v>
      </c>
      <c r="F66" s="207" t="e">
        <f>ROUND(D66*E66,0)</f>
        <v>#REF!</v>
      </c>
      <c r="I66" s="156"/>
      <c r="J66" s="157"/>
      <c r="K66" s="158"/>
      <c r="L66" s="156"/>
      <c r="M66" s="57"/>
      <c r="N66" s="57"/>
    </row>
    <row r="67" spans="1:14" ht="27.6" x14ac:dyDescent="0.25">
      <c r="A67" s="202">
        <v>6.04</v>
      </c>
      <c r="B67" s="203" t="s">
        <v>227</v>
      </c>
      <c r="C67" s="204" t="s">
        <v>7</v>
      </c>
      <c r="D67" s="202">
        <v>265</v>
      </c>
      <c r="E67" s="207" t="e">
        <f>'APUS 7 -10'!#REF!</f>
        <v>#REF!</v>
      </c>
      <c r="F67" s="207" t="e">
        <f t="shared" si="11"/>
        <v>#REF!</v>
      </c>
      <c r="I67" s="156"/>
      <c r="J67" s="157"/>
      <c r="K67" s="158"/>
      <c r="L67" s="156"/>
      <c r="M67" s="57"/>
      <c r="N67" s="57"/>
    </row>
    <row r="68" spans="1:14" x14ac:dyDescent="0.25">
      <c r="A68" s="62"/>
      <c r="B68" s="58"/>
      <c r="C68" s="59"/>
      <c r="D68" s="59"/>
      <c r="E68" s="60"/>
      <c r="F68" s="60"/>
      <c r="I68" s="156"/>
      <c r="J68" s="157"/>
      <c r="K68" s="158"/>
      <c r="L68" s="156"/>
      <c r="M68" s="57"/>
      <c r="N68" s="57"/>
    </row>
    <row r="69" spans="1:14" x14ac:dyDescent="0.25">
      <c r="A69" s="53" t="s">
        <v>29</v>
      </c>
      <c r="B69" s="53"/>
      <c r="C69" s="53"/>
      <c r="D69" s="61"/>
      <c r="E69" s="54"/>
      <c r="F69" s="53"/>
      <c r="I69" s="156"/>
      <c r="J69" s="166"/>
      <c r="K69" s="158"/>
      <c r="L69" s="156"/>
      <c r="M69" s="4"/>
      <c r="N69" s="57"/>
    </row>
    <row r="70" spans="1:14" x14ac:dyDescent="0.25">
      <c r="A70" s="222">
        <v>7.01</v>
      </c>
      <c r="B70" s="223" t="s">
        <v>288</v>
      </c>
      <c r="C70" s="224" t="s">
        <v>7</v>
      </c>
      <c r="D70" s="222">
        <v>597</v>
      </c>
      <c r="E70" s="225">
        <f>'APUS 7 -10'!E5</f>
        <v>47002</v>
      </c>
      <c r="F70" s="225">
        <f t="shared" ref="F70:F78" si="12">ROUND(D70*E70,0)</f>
        <v>28060194</v>
      </c>
      <c r="H70" s="57"/>
      <c r="I70" s="156"/>
      <c r="J70" s="157"/>
      <c r="K70" s="158"/>
      <c r="L70" s="156"/>
      <c r="M70" s="57"/>
      <c r="N70" s="57"/>
    </row>
    <row r="71" spans="1:14" x14ac:dyDescent="0.25">
      <c r="A71" s="222">
        <v>7.02</v>
      </c>
      <c r="B71" s="226" t="s">
        <v>289</v>
      </c>
      <c r="C71" s="224" t="s">
        <v>8</v>
      </c>
      <c r="D71" s="222">
        <v>205</v>
      </c>
      <c r="E71" s="225">
        <f>'APUS 7 -10'!E14</f>
        <v>36576</v>
      </c>
      <c r="F71" s="225">
        <f>ROUND(D71*E71,0)</f>
        <v>7498080</v>
      </c>
      <c r="H71" s="57"/>
      <c r="I71" s="156"/>
      <c r="J71" s="157"/>
      <c r="K71" s="158"/>
      <c r="L71" s="158"/>
      <c r="M71" s="57"/>
      <c r="N71" s="57"/>
    </row>
    <row r="72" spans="1:14" x14ac:dyDescent="0.25">
      <c r="A72" s="222">
        <v>7.03</v>
      </c>
      <c r="B72" s="226" t="s">
        <v>290</v>
      </c>
      <c r="C72" s="224" t="s">
        <v>8</v>
      </c>
      <c r="D72" s="222">
        <v>190</v>
      </c>
      <c r="E72" s="225">
        <f>'APUS 7 -10'!E28</f>
        <v>39880</v>
      </c>
      <c r="F72" s="225">
        <f>ROUND(D72*E72,0)</f>
        <v>7577200</v>
      </c>
      <c r="H72" s="57"/>
      <c r="I72" s="156"/>
      <c r="J72" s="157"/>
      <c r="K72" s="158"/>
      <c r="L72" s="158"/>
      <c r="M72" s="57"/>
      <c r="N72" s="57"/>
    </row>
    <row r="73" spans="1:14" ht="41.4" x14ac:dyDescent="0.25">
      <c r="A73" s="222">
        <v>7.04</v>
      </c>
      <c r="B73" s="223" t="s">
        <v>48</v>
      </c>
      <c r="C73" s="224" t="s">
        <v>7</v>
      </c>
      <c r="D73" s="222">
        <v>84</v>
      </c>
      <c r="E73" s="225">
        <f>'APUS 7 -10'!E42</f>
        <v>84055</v>
      </c>
      <c r="F73" s="225">
        <f t="shared" si="12"/>
        <v>7060620</v>
      </c>
      <c r="H73" s="57"/>
      <c r="I73" s="156"/>
      <c r="J73" s="157"/>
      <c r="K73" s="158"/>
      <c r="L73" s="156"/>
      <c r="M73" s="57"/>
      <c r="N73" s="57"/>
    </row>
    <row r="74" spans="1:14" ht="27.6" x14ac:dyDescent="0.25">
      <c r="A74" s="222">
        <v>7.05</v>
      </c>
      <c r="B74" s="223" t="s">
        <v>369</v>
      </c>
      <c r="C74" s="224" t="s">
        <v>7</v>
      </c>
      <c r="D74" s="222">
        <v>56</v>
      </c>
      <c r="E74" s="225">
        <f>'APUS 7 -10'!E43</f>
        <v>4500</v>
      </c>
      <c r="F74" s="225">
        <f t="shared" ref="F74:F75" si="13">ROUND(D74*E74,0)</f>
        <v>252000</v>
      </c>
      <c r="H74" s="57"/>
      <c r="I74" s="156"/>
      <c r="J74" s="157"/>
      <c r="K74" s="158"/>
      <c r="L74" s="156"/>
      <c r="M74" s="57"/>
      <c r="N74" s="57"/>
    </row>
    <row r="75" spans="1:14" ht="27.6" x14ac:dyDescent="0.25">
      <c r="A75" s="222">
        <v>7.06</v>
      </c>
      <c r="B75" s="223" t="s">
        <v>291</v>
      </c>
      <c r="C75" s="224" t="s">
        <v>8</v>
      </c>
      <c r="D75" s="222">
        <v>186.5625</v>
      </c>
      <c r="E75" s="225">
        <f>'APUS 7 -10'!E65</f>
        <v>37850</v>
      </c>
      <c r="F75" s="225">
        <f t="shared" si="13"/>
        <v>7061391</v>
      </c>
      <c r="H75" s="57"/>
      <c r="I75" s="156"/>
      <c r="J75" s="157"/>
      <c r="K75" s="158"/>
      <c r="L75" s="156"/>
      <c r="M75" s="57"/>
      <c r="N75" s="57"/>
    </row>
    <row r="76" spans="1:14" x14ac:dyDescent="0.25">
      <c r="A76" s="222">
        <v>7.07</v>
      </c>
      <c r="B76" s="226" t="s">
        <v>292</v>
      </c>
      <c r="C76" s="224" t="s">
        <v>7</v>
      </c>
      <c r="D76" s="222">
        <v>1194</v>
      </c>
      <c r="E76" s="225">
        <f>'APUS 7 -10'!E77</f>
        <v>29484</v>
      </c>
      <c r="F76" s="225">
        <f t="shared" si="12"/>
        <v>35203896</v>
      </c>
      <c r="H76" s="57"/>
      <c r="I76" s="156"/>
      <c r="J76" s="157"/>
      <c r="K76" s="158"/>
      <c r="L76" s="156"/>
      <c r="M76" s="57"/>
      <c r="N76" s="57"/>
    </row>
    <row r="77" spans="1:14" x14ac:dyDescent="0.25">
      <c r="A77" s="222">
        <v>7.08</v>
      </c>
      <c r="B77" s="223" t="s">
        <v>371</v>
      </c>
      <c r="C77" s="224" t="s">
        <v>8</v>
      </c>
      <c r="D77" s="222">
        <v>36</v>
      </c>
      <c r="E77" s="225">
        <f>'APUS 7 -10'!E84</f>
        <v>49374</v>
      </c>
      <c r="F77" s="225">
        <f t="shared" si="12"/>
        <v>1777464</v>
      </c>
      <c r="H77" s="57"/>
      <c r="I77" s="159"/>
      <c r="J77" s="160"/>
      <c r="K77" s="161"/>
      <c r="L77" s="161"/>
      <c r="M77" s="60"/>
      <c r="N77" s="60"/>
    </row>
    <row r="78" spans="1:14" x14ac:dyDescent="0.25">
      <c r="A78" s="222">
        <v>7.09</v>
      </c>
      <c r="B78" s="226" t="s">
        <v>372</v>
      </c>
      <c r="C78" s="224" t="s">
        <v>8</v>
      </c>
      <c r="D78" s="222">
        <v>76</v>
      </c>
      <c r="E78" s="225">
        <f>'APUS 7 -10'!E96</f>
        <v>51552</v>
      </c>
      <c r="F78" s="225">
        <f t="shared" si="12"/>
        <v>3917952</v>
      </c>
      <c r="H78" s="57"/>
      <c r="I78" s="53"/>
      <c r="J78" s="53"/>
      <c r="K78" s="53"/>
      <c r="L78" s="61"/>
      <c r="M78" s="54"/>
      <c r="N78" s="53"/>
    </row>
    <row r="79" spans="1:14" x14ac:dyDescent="0.25">
      <c r="A79" s="62"/>
      <c r="B79" s="58"/>
      <c r="C79" s="59"/>
      <c r="D79" s="59"/>
      <c r="E79" s="60"/>
      <c r="F79" s="60"/>
      <c r="I79" s="156"/>
      <c r="J79" s="166"/>
      <c r="K79" s="158"/>
      <c r="L79" s="156"/>
      <c r="M79" s="57"/>
      <c r="N79" s="57"/>
    </row>
    <row r="80" spans="1:14" x14ac:dyDescent="0.25">
      <c r="A80" s="53" t="s">
        <v>30</v>
      </c>
      <c r="B80" s="53"/>
      <c r="C80" s="53"/>
      <c r="D80" s="61"/>
      <c r="E80" s="54"/>
      <c r="F80" s="53"/>
      <c r="I80" s="156"/>
      <c r="J80" s="166"/>
      <c r="K80" s="158"/>
      <c r="L80" s="156"/>
      <c r="M80" s="57"/>
      <c r="N80" s="57"/>
    </row>
    <row r="81" spans="1:14" ht="41.4" x14ac:dyDescent="0.25">
      <c r="A81" s="222" t="s">
        <v>373</v>
      </c>
      <c r="B81" s="223" t="s">
        <v>294</v>
      </c>
      <c r="C81" s="224" t="s">
        <v>7</v>
      </c>
      <c r="D81" s="224">
        <v>303</v>
      </c>
      <c r="E81" s="225">
        <f>'APUS 7 -10'!E107</f>
        <v>103911</v>
      </c>
      <c r="F81" s="225">
        <f t="shared" ref="F81:F100" si="14">ROUND(D81*E81,0)</f>
        <v>31485033</v>
      </c>
      <c r="H81" s="57"/>
      <c r="I81" s="156"/>
      <c r="J81" s="157"/>
      <c r="K81" s="158"/>
      <c r="L81" s="156"/>
      <c r="M81" s="57"/>
      <c r="N81" s="57"/>
    </row>
    <row r="82" spans="1:14" x14ac:dyDescent="0.25">
      <c r="A82" s="222" t="s">
        <v>374</v>
      </c>
      <c r="B82" s="223" t="s">
        <v>295</v>
      </c>
      <c r="C82" s="224" t="s">
        <v>8</v>
      </c>
      <c r="D82" s="224">
        <v>258</v>
      </c>
      <c r="E82" s="225">
        <f>'APUS 7 -10'!E119</f>
        <v>31571</v>
      </c>
      <c r="F82" s="225">
        <f t="shared" si="14"/>
        <v>8145318</v>
      </c>
      <c r="H82" s="57"/>
      <c r="I82" s="156"/>
      <c r="J82" s="165"/>
      <c r="K82" s="158"/>
      <c r="L82" s="156"/>
      <c r="M82" s="57"/>
      <c r="N82" s="57"/>
    </row>
    <row r="83" spans="1:14" ht="27.6" x14ac:dyDescent="0.25">
      <c r="A83" s="222" t="s">
        <v>375</v>
      </c>
      <c r="B83" s="223" t="s">
        <v>395</v>
      </c>
      <c r="C83" s="224" t="s">
        <v>7</v>
      </c>
      <c r="D83" s="224">
        <v>35.6</v>
      </c>
      <c r="E83" s="225">
        <f>'APUS 7 -10'!E128</f>
        <v>108534</v>
      </c>
      <c r="F83" s="225">
        <f t="shared" si="14"/>
        <v>3863810</v>
      </c>
      <c r="H83" s="12"/>
      <c r="I83" s="156"/>
      <c r="J83" s="165"/>
      <c r="K83" s="158"/>
      <c r="L83" s="156"/>
      <c r="M83" s="57"/>
      <c r="N83" s="57"/>
    </row>
    <row r="84" spans="1:14" ht="27.6" x14ac:dyDescent="0.25">
      <c r="A84" s="222" t="s">
        <v>376</v>
      </c>
      <c r="B84" s="223" t="s">
        <v>296</v>
      </c>
      <c r="C84" s="224" t="s">
        <v>7</v>
      </c>
      <c r="D84" s="224">
        <v>33.980000000000004</v>
      </c>
      <c r="E84" s="225">
        <f>'APUS 7 -10'!E137</f>
        <v>64213</v>
      </c>
      <c r="F84" s="225">
        <f t="shared" si="14"/>
        <v>2181958</v>
      </c>
      <c r="H84" s="12"/>
      <c r="I84" s="156"/>
      <c r="J84" s="165"/>
      <c r="K84" s="158"/>
      <c r="L84" s="156"/>
      <c r="M84" s="57"/>
      <c r="N84" s="57"/>
    </row>
    <row r="85" spans="1:14" x14ac:dyDescent="0.25">
      <c r="A85" s="222" t="s">
        <v>377</v>
      </c>
      <c r="B85" s="223" t="s">
        <v>399</v>
      </c>
      <c r="C85" s="224" t="s">
        <v>7</v>
      </c>
      <c r="D85" s="224">
        <v>89.580000000000013</v>
      </c>
      <c r="E85" s="225">
        <f>+'APUS 7 -10'!E146</f>
        <v>31555</v>
      </c>
      <c r="F85" s="225">
        <f t="shared" si="14"/>
        <v>2826697</v>
      </c>
      <c r="H85" s="12"/>
      <c r="I85" s="156"/>
      <c r="J85" s="165"/>
      <c r="K85" s="158"/>
      <c r="L85" s="156"/>
      <c r="M85" s="57"/>
      <c r="N85" s="57"/>
    </row>
    <row r="86" spans="1:14" x14ac:dyDescent="0.25">
      <c r="A86" s="222" t="s">
        <v>378</v>
      </c>
      <c r="B86" s="223" t="s">
        <v>297</v>
      </c>
      <c r="C86" s="224" t="s">
        <v>7</v>
      </c>
      <c r="D86" s="224">
        <v>149.30000000000001</v>
      </c>
      <c r="E86" s="225">
        <f>+'APUS 7 -10'!E151</f>
        <v>93045</v>
      </c>
      <c r="F86" s="225">
        <f t="shared" si="14"/>
        <v>13891619</v>
      </c>
      <c r="H86" s="12"/>
      <c r="I86" s="156"/>
      <c r="J86" s="165"/>
      <c r="K86" s="158"/>
      <c r="L86" s="156"/>
      <c r="M86" s="57"/>
      <c r="N86" s="57"/>
    </row>
    <row r="87" spans="1:14" x14ac:dyDescent="0.25">
      <c r="A87" s="222" t="s">
        <v>379</v>
      </c>
      <c r="B87" s="223" t="s">
        <v>298</v>
      </c>
      <c r="C87" s="224" t="s">
        <v>7</v>
      </c>
      <c r="D87" s="224">
        <v>420</v>
      </c>
      <c r="E87" s="225">
        <f>+'APUS 7 -10'!E159</f>
        <v>9025</v>
      </c>
      <c r="F87" s="225">
        <f t="shared" si="14"/>
        <v>3790500</v>
      </c>
      <c r="H87" s="12"/>
      <c r="I87" s="156"/>
      <c r="J87" s="165"/>
      <c r="K87" s="158"/>
      <c r="L87" s="156"/>
      <c r="M87" s="57"/>
      <c r="N87" s="57"/>
    </row>
    <row r="88" spans="1:14" x14ac:dyDescent="0.25">
      <c r="A88" s="222" t="s">
        <v>380</v>
      </c>
      <c r="B88" s="223" t="s">
        <v>299</v>
      </c>
      <c r="C88" s="224" t="s">
        <v>233</v>
      </c>
      <c r="D88" s="224">
        <v>55</v>
      </c>
      <c r="E88" s="225">
        <f>+'APUS 7 -10'!E167</f>
        <v>63148</v>
      </c>
      <c r="F88" s="225">
        <f t="shared" si="14"/>
        <v>3473140</v>
      </c>
      <c r="H88" s="12"/>
      <c r="I88" s="156"/>
      <c r="J88" s="165"/>
      <c r="K88" s="158"/>
      <c r="L88" s="156"/>
      <c r="M88" s="57"/>
      <c r="N88" s="57"/>
    </row>
    <row r="89" spans="1:14" ht="27.6" x14ac:dyDescent="0.25">
      <c r="A89" s="222" t="s">
        <v>381</v>
      </c>
      <c r="B89" s="223" t="s">
        <v>300</v>
      </c>
      <c r="C89" s="224" t="s">
        <v>7</v>
      </c>
      <c r="D89" s="224">
        <v>15</v>
      </c>
      <c r="E89" s="225">
        <f>'APUS 7 -10'!E175</f>
        <v>52326</v>
      </c>
      <c r="F89" s="225">
        <f t="shared" si="14"/>
        <v>784890</v>
      </c>
      <c r="H89" s="12"/>
      <c r="I89" s="156"/>
      <c r="J89" s="157"/>
      <c r="K89" s="158"/>
      <c r="L89" s="156"/>
      <c r="M89" s="57"/>
      <c r="N89" s="57"/>
    </row>
    <row r="90" spans="1:14" ht="27.6" x14ac:dyDescent="0.25">
      <c r="A90" s="222" t="s">
        <v>382</v>
      </c>
      <c r="B90" s="223" t="s">
        <v>301</v>
      </c>
      <c r="C90" s="224" t="s">
        <v>7</v>
      </c>
      <c r="D90" s="224">
        <v>35.6</v>
      </c>
      <c r="E90" s="225">
        <f>+'APUS 7 -10'!E175</f>
        <v>52326</v>
      </c>
      <c r="F90" s="225">
        <f t="shared" si="14"/>
        <v>1862806</v>
      </c>
      <c r="H90" s="12"/>
      <c r="I90" s="156"/>
      <c r="J90" s="157"/>
      <c r="K90" s="158"/>
      <c r="L90" s="156"/>
      <c r="M90" s="57"/>
      <c r="N90" s="57"/>
    </row>
    <row r="91" spans="1:14" x14ac:dyDescent="0.25">
      <c r="A91" s="222" t="s">
        <v>383</v>
      </c>
      <c r="B91" s="223" t="s">
        <v>302</v>
      </c>
      <c r="C91" s="224" t="s">
        <v>7</v>
      </c>
      <c r="D91" s="224">
        <v>762</v>
      </c>
      <c r="E91" s="225">
        <f>'APUS 7 -10'!E201</f>
        <v>22934</v>
      </c>
      <c r="F91" s="225">
        <f t="shared" si="14"/>
        <v>17475708</v>
      </c>
      <c r="H91" s="12"/>
      <c r="I91" s="156"/>
      <c r="J91" s="165"/>
      <c r="K91" s="158"/>
      <c r="L91" s="156"/>
      <c r="M91" s="57"/>
      <c r="N91" s="57"/>
    </row>
    <row r="92" spans="1:14" x14ac:dyDescent="0.25">
      <c r="A92" s="222" t="s">
        <v>384</v>
      </c>
      <c r="B92" s="223" t="s">
        <v>303</v>
      </c>
      <c r="C92" s="224" t="s">
        <v>7</v>
      </c>
      <c r="D92" s="224">
        <v>69</v>
      </c>
      <c r="E92" s="225">
        <f>+'APUS 7 -10'!E213</f>
        <v>25672</v>
      </c>
      <c r="F92" s="225">
        <f t="shared" si="14"/>
        <v>1771368</v>
      </c>
      <c r="H92" s="12"/>
      <c r="I92" s="156"/>
      <c r="J92" s="165"/>
      <c r="K92" s="158"/>
      <c r="L92" s="156"/>
      <c r="M92" s="57"/>
      <c r="N92" s="57"/>
    </row>
    <row r="93" spans="1:14" x14ac:dyDescent="0.25">
      <c r="A93" s="222" t="s">
        <v>385</v>
      </c>
      <c r="B93" s="223" t="s">
        <v>386</v>
      </c>
      <c r="C93" s="224" t="s">
        <v>7</v>
      </c>
      <c r="D93" s="224">
        <v>432</v>
      </c>
      <c r="E93" s="225">
        <f>'APUS 7 -10'!E224</f>
        <v>26709</v>
      </c>
      <c r="F93" s="225">
        <f t="shared" si="14"/>
        <v>11538288</v>
      </c>
      <c r="H93" s="12"/>
      <c r="I93" s="156"/>
      <c r="J93" s="157"/>
      <c r="K93" s="158"/>
      <c r="L93" s="156"/>
      <c r="M93" s="57"/>
      <c r="N93" s="57"/>
    </row>
    <row r="94" spans="1:14" ht="27.6" x14ac:dyDescent="0.25">
      <c r="A94" s="222" t="s">
        <v>387</v>
      </c>
      <c r="B94" s="223" t="s">
        <v>304</v>
      </c>
      <c r="C94" s="224" t="s">
        <v>7</v>
      </c>
      <c r="D94" s="224">
        <v>50.7</v>
      </c>
      <c r="E94" s="225">
        <f>+'APUS 7 -10'!E231</f>
        <v>76728</v>
      </c>
      <c r="F94" s="225">
        <f t="shared" si="14"/>
        <v>3890110</v>
      </c>
      <c r="H94" s="12"/>
      <c r="I94" s="156"/>
      <c r="J94" s="165"/>
      <c r="K94" s="158"/>
      <c r="L94" s="156"/>
      <c r="M94" s="57"/>
      <c r="N94" s="57"/>
    </row>
    <row r="95" spans="1:14" ht="27.6" x14ac:dyDescent="0.25">
      <c r="A95" s="222" t="s">
        <v>388</v>
      </c>
      <c r="B95" s="223" t="s">
        <v>305</v>
      </c>
      <c r="C95" s="224" t="s">
        <v>8</v>
      </c>
      <c r="D95" s="224">
        <v>42</v>
      </c>
      <c r="E95" s="225">
        <f>+'APUS 7 -10'!E239</f>
        <v>36176</v>
      </c>
      <c r="F95" s="225">
        <f t="shared" si="14"/>
        <v>1519392</v>
      </c>
      <c r="H95" s="12"/>
      <c r="I95" s="156"/>
      <c r="J95" s="165"/>
      <c r="K95" s="158"/>
      <c r="L95" s="156"/>
      <c r="M95" s="57"/>
      <c r="N95" s="57"/>
    </row>
    <row r="96" spans="1:14" ht="27.6" x14ac:dyDescent="0.25">
      <c r="A96" s="222" t="s">
        <v>389</v>
      </c>
      <c r="B96" s="223" t="s">
        <v>306</v>
      </c>
      <c r="C96" s="224" t="s">
        <v>7</v>
      </c>
      <c r="D96" s="224">
        <v>18.399999999999999</v>
      </c>
      <c r="E96" s="225">
        <f>+'APUS 7 -10'!E251</f>
        <v>113630</v>
      </c>
      <c r="F96" s="225">
        <f t="shared" si="14"/>
        <v>2090792</v>
      </c>
      <c r="H96" s="12"/>
      <c r="I96" s="156"/>
      <c r="J96" s="165"/>
      <c r="K96" s="158"/>
      <c r="L96" s="156"/>
      <c r="M96" s="57"/>
      <c r="N96" s="57"/>
    </row>
    <row r="97" spans="1:14" ht="27.6" x14ac:dyDescent="0.25">
      <c r="A97" s="222" t="s">
        <v>390</v>
      </c>
      <c r="B97" s="227" t="s">
        <v>307</v>
      </c>
      <c r="C97" s="224" t="s">
        <v>7</v>
      </c>
      <c r="D97" s="224">
        <v>18.3</v>
      </c>
      <c r="E97" s="225">
        <f>'APUS 7 -10'!E265</f>
        <v>146614</v>
      </c>
      <c r="F97" s="225">
        <f t="shared" si="14"/>
        <v>2683036</v>
      </c>
      <c r="I97" s="156"/>
      <c r="J97" s="157"/>
      <c r="K97" s="158"/>
      <c r="L97" s="156"/>
      <c r="M97" s="57"/>
      <c r="N97" s="57"/>
    </row>
    <row r="98" spans="1:14" ht="55.2" x14ac:dyDescent="0.25">
      <c r="A98" s="222" t="s">
        <v>391</v>
      </c>
      <c r="B98" s="223" t="s">
        <v>308</v>
      </c>
      <c r="C98" s="224" t="s">
        <v>233</v>
      </c>
      <c r="D98" s="224">
        <v>3.1</v>
      </c>
      <c r="E98" s="225">
        <f>+'APUS 7 -10'!E276</f>
        <v>1382639</v>
      </c>
      <c r="F98" s="225">
        <f t="shared" si="14"/>
        <v>4286181</v>
      </c>
      <c r="H98" s="12"/>
      <c r="I98" s="156"/>
      <c r="J98" s="165"/>
      <c r="K98" s="158"/>
      <c r="L98" s="156"/>
      <c r="M98" s="57"/>
      <c r="N98" s="57"/>
    </row>
    <row r="99" spans="1:14" ht="27.6" x14ac:dyDescent="0.25">
      <c r="A99" s="222" t="s">
        <v>392</v>
      </c>
      <c r="B99" s="223" t="s">
        <v>309</v>
      </c>
      <c r="C99" s="224" t="s">
        <v>2</v>
      </c>
      <c r="D99" s="224">
        <v>1</v>
      </c>
      <c r="E99" s="225">
        <f>+'APUS 7 -10'!E281</f>
        <v>369916</v>
      </c>
      <c r="F99" s="225">
        <f t="shared" si="14"/>
        <v>369916</v>
      </c>
      <c r="H99" s="12"/>
      <c r="I99" s="156"/>
      <c r="J99" s="165"/>
      <c r="K99" s="158"/>
      <c r="L99" s="156"/>
      <c r="M99" s="57"/>
      <c r="N99" s="57"/>
    </row>
    <row r="100" spans="1:14" x14ac:dyDescent="0.25">
      <c r="A100" s="222" t="s">
        <v>393</v>
      </c>
      <c r="B100" s="223" t="s">
        <v>310</v>
      </c>
      <c r="C100" s="224" t="s">
        <v>233</v>
      </c>
      <c r="D100" s="224">
        <v>3.1</v>
      </c>
      <c r="E100" s="225">
        <f>+'APUS 7 -10'!E287</f>
        <v>51805</v>
      </c>
      <c r="F100" s="225">
        <f t="shared" si="14"/>
        <v>160596</v>
      </c>
      <c r="H100" s="12"/>
      <c r="I100" s="156"/>
      <c r="J100" s="165"/>
      <c r="K100" s="158"/>
      <c r="L100" s="156"/>
      <c r="M100" s="57"/>
      <c r="N100" s="57"/>
    </row>
    <row r="101" spans="1:14" x14ac:dyDescent="0.25">
      <c r="A101" s="62"/>
      <c r="B101" s="58"/>
      <c r="C101" s="59"/>
      <c r="D101" s="59"/>
      <c r="E101" s="60"/>
      <c r="F101" s="60"/>
      <c r="I101" s="156"/>
      <c r="J101" s="166"/>
      <c r="K101" s="158"/>
      <c r="L101" s="156"/>
      <c r="M101" s="57"/>
      <c r="N101" s="57"/>
    </row>
    <row r="102" spans="1:14" x14ac:dyDescent="0.25">
      <c r="A102" s="53" t="s">
        <v>32</v>
      </c>
      <c r="B102" s="53"/>
      <c r="C102" s="53"/>
      <c r="D102" s="61"/>
      <c r="E102" s="54"/>
      <c r="F102" s="53"/>
      <c r="I102" s="156"/>
      <c r="J102" s="166"/>
      <c r="K102" s="158"/>
      <c r="L102" s="156"/>
      <c r="M102" s="57"/>
      <c r="N102" s="57"/>
    </row>
    <row r="103" spans="1:14" ht="27.6" x14ac:dyDescent="0.25">
      <c r="A103" s="222" t="s">
        <v>411</v>
      </c>
      <c r="B103" s="223" t="s">
        <v>412</v>
      </c>
      <c r="C103" s="224" t="s">
        <v>7</v>
      </c>
      <c r="D103" s="222">
        <v>166.464</v>
      </c>
      <c r="E103" s="225">
        <f>'APUS 7 -10'!E293</f>
        <v>368486</v>
      </c>
      <c r="F103" s="225">
        <f t="shared" ref="F103:F106" si="15">ROUND(D103*E103,0)</f>
        <v>61339654</v>
      </c>
      <c r="I103" s="156"/>
      <c r="J103" s="157"/>
      <c r="K103" s="4"/>
      <c r="L103" s="4"/>
      <c r="M103" s="4"/>
      <c r="N103" s="57"/>
    </row>
    <row r="104" spans="1:14" ht="27.6" x14ac:dyDescent="0.25">
      <c r="A104" s="222" t="s">
        <v>413</v>
      </c>
      <c r="B104" s="223" t="s">
        <v>414</v>
      </c>
      <c r="C104" s="224" t="s">
        <v>233</v>
      </c>
      <c r="D104" s="222">
        <v>12.65</v>
      </c>
      <c r="E104" s="225">
        <f>+'APUS 7 -10'!E305</f>
        <v>94615</v>
      </c>
      <c r="F104" s="225">
        <f t="shared" si="15"/>
        <v>1196880</v>
      </c>
      <c r="I104" s="156"/>
      <c r="J104" s="157"/>
      <c r="K104" s="4"/>
      <c r="L104" s="4"/>
      <c r="M104" s="4"/>
      <c r="N104" s="57"/>
    </row>
    <row r="105" spans="1:14" ht="27.6" x14ac:dyDescent="0.25">
      <c r="A105" s="222" t="s">
        <v>415</v>
      </c>
      <c r="B105" s="223" t="s">
        <v>416</v>
      </c>
      <c r="C105" s="224" t="s">
        <v>233</v>
      </c>
      <c r="D105" s="222">
        <v>26.55</v>
      </c>
      <c r="E105" s="225">
        <f>+'APUS 7 -10'!E315</f>
        <v>245897</v>
      </c>
      <c r="F105" s="225">
        <f t="shared" si="15"/>
        <v>6528565</v>
      </c>
      <c r="I105" s="156"/>
      <c r="J105" s="166"/>
      <c r="K105" s="158"/>
      <c r="L105" s="156"/>
      <c r="M105" s="57"/>
      <c r="N105" s="57"/>
    </row>
    <row r="106" spans="1:14" x14ac:dyDescent="0.25">
      <c r="A106" s="222" t="s">
        <v>417</v>
      </c>
      <c r="B106" s="223" t="s">
        <v>418</v>
      </c>
      <c r="C106" s="224" t="s">
        <v>7</v>
      </c>
      <c r="D106" s="222">
        <v>204.60000000000002</v>
      </c>
      <c r="E106" s="225">
        <f>+'APUS 7 -10'!E328</f>
        <v>270430</v>
      </c>
      <c r="F106" s="225">
        <f t="shared" si="15"/>
        <v>55329978</v>
      </c>
      <c r="I106" s="159"/>
      <c r="J106" s="166"/>
      <c r="K106" s="158"/>
      <c r="L106" s="156"/>
      <c r="M106" s="57"/>
      <c r="N106" s="60"/>
    </row>
    <row r="107" spans="1:14" x14ac:dyDescent="0.25">
      <c r="A107" s="50"/>
      <c r="B107" s="50"/>
      <c r="C107" s="50"/>
      <c r="D107" s="67"/>
      <c r="E107" s="52"/>
      <c r="F107" s="52"/>
      <c r="I107" s="156"/>
      <c r="J107" s="165"/>
      <c r="K107" s="158"/>
      <c r="L107" s="156"/>
      <c r="M107" s="57"/>
      <c r="N107" s="57"/>
    </row>
    <row r="108" spans="1:14" x14ac:dyDescent="0.25">
      <c r="A108" s="53" t="s">
        <v>33</v>
      </c>
      <c r="B108" s="53"/>
      <c r="C108" s="53"/>
      <c r="D108" s="61"/>
      <c r="E108" s="54"/>
      <c r="F108" s="53"/>
      <c r="I108" s="156"/>
      <c r="J108" s="157"/>
      <c r="K108" s="158"/>
      <c r="L108" s="156"/>
      <c r="M108" s="57"/>
      <c r="N108" s="57"/>
    </row>
    <row r="109" spans="1:14" x14ac:dyDescent="0.25">
      <c r="A109" s="222" t="s">
        <v>31</v>
      </c>
      <c r="B109" s="226" t="s">
        <v>419</v>
      </c>
      <c r="C109" s="224" t="s">
        <v>7</v>
      </c>
      <c r="D109" s="222">
        <v>9.4499999999999993</v>
      </c>
      <c r="E109" s="225">
        <f>'APUS 7 -10'!E340</f>
        <v>366994</v>
      </c>
      <c r="F109" s="225">
        <f t="shared" ref="F109:F120" si="16">ROUND(D109*E109,0)</f>
        <v>3468093</v>
      </c>
      <c r="I109" s="156"/>
      <c r="J109" s="157"/>
      <c r="K109" s="158"/>
      <c r="L109" s="156"/>
      <c r="M109" s="57"/>
      <c r="N109" s="57"/>
    </row>
    <row r="110" spans="1:14" x14ac:dyDescent="0.25">
      <c r="A110" s="222" t="s">
        <v>16</v>
      </c>
      <c r="B110" s="226" t="s">
        <v>420</v>
      </c>
      <c r="C110" s="224" t="s">
        <v>7</v>
      </c>
      <c r="D110" s="222">
        <v>4.41</v>
      </c>
      <c r="E110" s="225">
        <f>+'APUS 7 -10'!E350</f>
        <v>358176</v>
      </c>
      <c r="F110" s="225">
        <f t="shared" si="16"/>
        <v>1579556</v>
      </c>
      <c r="I110" s="53"/>
      <c r="J110" s="165"/>
      <c r="K110" s="158"/>
      <c r="L110" s="156"/>
      <c r="M110" s="57"/>
      <c r="N110" s="53"/>
    </row>
    <row r="111" spans="1:14" x14ac:dyDescent="0.25">
      <c r="A111" s="222" t="s">
        <v>17</v>
      </c>
      <c r="B111" s="226" t="s">
        <v>421</v>
      </c>
      <c r="C111" s="224" t="s">
        <v>7</v>
      </c>
      <c r="D111" s="222">
        <v>11.76</v>
      </c>
      <c r="E111" s="225">
        <f>+'APUS 7 -10'!E360</f>
        <v>465036</v>
      </c>
      <c r="F111" s="225">
        <f t="shared" si="16"/>
        <v>5468823</v>
      </c>
      <c r="I111" s="156"/>
      <c r="J111" s="165"/>
      <c r="K111" s="158"/>
      <c r="L111" s="156"/>
      <c r="M111" s="57"/>
      <c r="N111" s="57"/>
    </row>
    <row r="112" spans="1:14" x14ac:dyDescent="0.25">
      <c r="A112" s="222" t="s">
        <v>18</v>
      </c>
      <c r="B112" s="226" t="s">
        <v>422</v>
      </c>
      <c r="C112" s="224" t="s">
        <v>7</v>
      </c>
      <c r="D112" s="222">
        <v>2.84</v>
      </c>
      <c r="E112" s="225">
        <f>+'APUS 7 -10'!E371</f>
        <v>369176</v>
      </c>
      <c r="F112" s="225">
        <f t="shared" si="16"/>
        <v>1048460</v>
      </c>
      <c r="I112" s="156"/>
      <c r="J112" s="165"/>
      <c r="K112" s="158"/>
      <c r="L112" s="156"/>
      <c r="M112" s="57"/>
      <c r="N112" s="57"/>
    </row>
    <row r="113" spans="1:14" x14ac:dyDescent="0.25">
      <c r="A113" s="222" t="s">
        <v>19</v>
      </c>
      <c r="B113" s="226" t="s">
        <v>423</v>
      </c>
      <c r="C113" s="224" t="s">
        <v>7</v>
      </c>
      <c r="D113" s="222">
        <v>12.6</v>
      </c>
      <c r="E113" s="225">
        <f>+'APUS 7 -10'!E381</f>
        <v>361726</v>
      </c>
      <c r="F113" s="225">
        <f t="shared" si="16"/>
        <v>4557748</v>
      </c>
      <c r="I113" s="156"/>
      <c r="J113" s="157"/>
      <c r="K113" s="158"/>
      <c r="L113" s="156"/>
      <c r="M113" s="57"/>
      <c r="N113" s="57"/>
    </row>
    <row r="114" spans="1:14" x14ac:dyDescent="0.25">
      <c r="A114" s="222" t="s">
        <v>20</v>
      </c>
      <c r="B114" s="226" t="s">
        <v>424</v>
      </c>
      <c r="C114" s="224" t="s">
        <v>7</v>
      </c>
      <c r="D114" s="222">
        <v>5.88</v>
      </c>
      <c r="E114" s="225">
        <f>+'APUS 7 -10'!E391</f>
        <v>379576</v>
      </c>
      <c r="F114" s="225">
        <f t="shared" si="16"/>
        <v>2231907</v>
      </c>
      <c r="I114" s="156"/>
      <c r="J114" s="157"/>
      <c r="K114" s="158"/>
      <c r="L114" s="156"/>
      <c r="M114" s="57"/>
      <c r="N114" s="57"/>
    </row>
    <row r="115" spans="1:14" x14ac:dyDescent="0.25">
      <c r="A115" s="222" t="s">
        <v>21</v>
      </c>
      <c r="B115" s="226" t="s">
        <v>425</v>
      </c>
      <c r="C115" s="224" t="s">
        <v>7</v>
      </c>
      <c r="D115" s="222">
        <v>7.2</v>
      </c>
      <c r="E115" s="225">
        <f>+'APUS 7 -10'!E401</f>
        <v>387774</v>
      </c>
      <c r="F115" s="225">
        <f t="shared" si="16"/>
        <v>2791973</v>
      </c>
      <c r="I115" s="156"/>
      <c r="J115" s="157"/>
      <c r="K115" s="158"/>
      <c r="L115" s="156"/>
      <c r="M115" s="57"/>
      <c r="N115" s="57"/>
    </row>
    <row r="116" spans="1:14" x14ac:dyDescent="0.25">
      <c r="A116" s="222" t="s">
        <v>41</v>
      </c>
      <c r="B116" s="226" t="s">
        <v>426</v>
      </c>
      <c r="C116" s="224" t="s">
        <v>7</v>
      </c>
      <c r="D116" s="222">
        <v>8.4</v>
      </c>
      <c r="E116" s="225">
        <f>+'APUS 7 -10'!E411</f>
        <v>387774</v>
      </c>
      <c r="F116" s="225">
        <f t="shared" si="16"/>
        <v>3257302</v>
      </c>
      <c r="I116" s="156"/>
      <c r="J116" s="166"/>
      <c r="K116" s="158"/>
      <c r="L116" s="156"/>
      <c r="M116" s="57"/>
      <c r="N116" s="57"/>
    </row>
    <row r="117" spans="1:14" ht="27.6" x14ac:dyDescent="0.25">
      <c r="A117" s="222" t="s">
        <v>42</v>
      </c>
      <c r="B117" s="223" t="s">
        <v>427</v>
      </c>
      <c r="C117" s="224" t="s">
        <v>7</v>
      </c>
      <c r="D117" s="222">
        <v>12.6</v>
      </c>
      <c r="E117" s="225">
        <f>+'APUS 7 -10'!E422</f>
        <v>891334</v>
      </c>
      <c r="F117" s="225">
        <f t="shared" si="16"/>
        <v>11230808</v>
      </c>
      <c r="I117" s="156"/>
      <c r="J117" s="166"/>
      <c r="K117" s="158"/>
      <c r="L117" s="156"/>
      <c r="M117" s="57"/>
      <c r="N117" s="57"/>
    </row>
    <row r="118" spans="1:14" x14ac:dyDescent="0.25">
      <c r="A118" s="222" t="s">
        <v>52</v>
      </c>
      <c r="B118" s="226" t="s">
        <v>428</v>
      </c>
      <c r="C118" s="224" t="s">
        <v>7</v>
      </c>
      <c r="D118" s="222">
        <v>3.8</v>
      </c>
      <c r="E118" s="225">
        <f>+'APUS 7 -10'!E430</f>
        <v>371064</v>
      </c>
      <c r="F118" s="225">
        <f t="shared" si="16"/>
        <v>1410043</v>
      </c>
      <c r="I118" s="156"/>
      <c r="J118" s="166"/>
      <c r="K118" s="158"/>
      <c r="L118" s="156"/>
      <c r="M118" s="57"/>
      <c r="N118" s="57"/>
    </row>
    <row r="119" spans="1:14" x14ac:dyDescent="0.25">
      <c r="A119" s="222" t="s">
        <v>194</v>
      </c>
      <c r="B119" s="226" t="s">
        <v>429</v>
      </c>
      <c r="C119" s="224" t="s">
        <v>7</v>
      </c>
      <c r="D119" s="222">
        <v>27.2</v>
      </c>
      <c r="E119" s="225">
        <f>+'APUS 7 -10'!E437</f>
        <v>284911</v>
      </c>
      <c r="F119" s="225">
        <f t="shared" si="16"/>
        <v>7749579</v>
      </c>
      <c r="I119" s="156"/>
      <c r="J119" s="166"/>
      <c r="K119" s="158"/>
      <c r="L119" s="156"/>
      <c r="M119" s="57"/>
      <c r="N119" s="57"/>
    </row>
    <row r="120" spans="1:14" x14ac:dyDescent="0.25">
      <c r="A120" s="222" t="s">
        <v>430</v>
      </c>
      <c r="B120" s="226" t="s">
        <v>431</v>
      </c>
      <c r="C120" s="224" t="s">
        <v>7</v>
      </c>
      <c r="D120" s="222">
        <v>123.8</v>
      </c>
      <c r="E120" s="242">
        <f>+'APUS 7 -10'!E445</f>
        <v>316161</v>
      </c>
      <c r="F120" s="225">
        <f t="shared" si="16"/>
        <v>39140732</v>
      </c>
      <c r="I120" s="156"/>
      <c r="J120" s="166"/>
      <c r="K120" s="158"/>
      <c r="L120" s="156"/>
      <c r="M120" s="57"/>
      <c r="N120" s="57"/>
    </row>
    <row r="121" spans="1:14" s="8" customFormat="1" x14ac:dyDescent="0.25">
      <c r="A121" s="68"/>
      <c r="B121" s="69"/>
      <c r="C121" s="70"/>
      <c r="D121" s="71"/>
      <c r="E121" s="72"/>
      <c r="F121" s="73"/>
      <c r="H121" s="46"/>
      <c r="I121" s="156"/>
      <c r="J121" s="165"/>
      <c r="K121" s="158"/>
      <c r="L121" s="156"/>
      <c r="M121" s="57"/>
      <c r="N121" s="57"/>
    </row>
    <row r="122" spans="1:14" x14ac:dyDescent="0.25">
      <c r="A122" s="53" t="s">
        <v>51</v>
      </c>
      <c r="B122" s="53"/>
      <c r="C122" s="53"/>
      <c r="D122" s="61"/>
      <c r="E122" s="54"/>
      <c r="F122" s="53"/>
      <c r="I122" s="156"/>
      <c r="J122" s="165"/>
      <c r="K122" s="158"/>
      <c r="L122" s="156"/>
      <c r="M122" s="57"/>
      <c r="N122" s="57"/>
    </row>
    <row r="123" spans="1:14" s="8" customFormat="1" x14ac:dyDescent="0.25">
      <c r="A123" s="156"/>
      <c r="B123" s="171" t="s">
        <v>432</v>
      </c>
      <c r="C123" s="158"/>
      <c r="D123" s="156"/>
      <c r="E123" s="72"/>
      <c r="F123" s="73"/>
      <c r="H123" s="46"/>
      <c r="I123" s="156"/>
      <c r="J123" s="165"/>
      <c r="K123" s="158"/>
      <c r="L123" s="156"/>
      <c r="M123" s="57"/>
      <c r="N123" s="57"/>
    </row>
    <row r="124" spans="1:14" s="8" customFormat="1" x14ac:dyDescent="0.25">
      <c r="A124" s="222" t="s">
        <v>433</v>
      </c>
      <c r="B124" s="165" t="s">
        <v>434</v>
      </c>
      <c r="C124" s="158" t="s">
        <v>224</v>
      </c>
      <c r="D124" s="156">
        <v>34</v>
      </c>
      <c r="E124" s="72">
        <v>5690</v>
      </c>
      <c r="F124" s="57">
        <f t="shared" ref="F124:F187" si="17">ROUND(D124*E124,0)</f>
        <v>193460</v>
      </c>
      <c r="H124" s="46"/>
      <c r="I124" s="167"/>
      <c r="J124" s="167"/>
      <c r="K124" s="167"/>
      <c r="L124" s="168"/>
      <c r="M124" s="169"/>
      <c r="N124" s="170"/>
    </row>
    <row r="125" spans="1:14" s="8" customFormat="1" x14ac:dyDescent="0.25">
      <c r="A125" s="222" t="s">
        <v>435</v>
      </c>
      <c r="B125" s="165" t="s">
        <v>436</v>
      </c>
      <c r="C125" s="158" t="s">
        <v>222</v>
      </c>
      <c r="D125" s="156">
        <v>1</v>
      </c>
      <c r="E125" s="72">
        <v>88273</v>
      </c>
      <c r="F125" s="57">
        <f t="shared" si="17"/>
        <v>88273</v>
      </c>
      <c r="H125" s="46"/>
      <c r="I125" s="53"/>
      <c r="J125" s="53"/>
      <c r="K125" s="53"/>
      <c r="L125" s="61"/>
      <c r="M125" s="54"/>
      <c r="N125" s="53"/>
    </row>
    <row r="126" spans="1:14" s="8" customFormat="1" x14ac:dyDescent="0.25">
      <c r="A126" s="222" t="s">
        <v>437</v>
      </c>
      <c r="B126" s="165" t="s">
        <v>438</v>
      </c>
      <c r="C126" s="158" t="s">
        <v>222</v>
      </c>
      <c r="D126" s="156">
        <v>1</v>
      </c>
      <c r="E126" s="72">
        <v>402701</v>
      </c>
      <c r="F126" s="57">
        <f t="shared" si="17"/>
        <v>402701</v>
      </c>
      <c r="H126" s="46"/>
      <c r="I126" s="156"/>
      <c r="J126" s="171"/>
      <c r="K126" s="158"/>
      <c r="L126" s="156"/>
      <c r="M126" s="57"/>
      <c r="N126" s="57"/>
    </row>
    <row r="127" spans="1:14" s="8" customFormat="1" x14ac:dyDescent="0.25">
      <c r="A127" s="222" t="s">
        <v>439</v>
      </c>
      <c r="B127" s="165" t="s">
        <v>440</v>
      </c>
      <c r="C127" s="158" t="s">
        <v>222</v>
      </c>
      <c r="D127" s="156">
        <v>1</v>
      </c>
      <c r="E127" s="72">
        <v>90652</v>
      </c>
      <c r="F127" s="57">
        <f t="shared" si="17"/>
        <v>90652</v>
      </c>
      <c r="H127" s="46"/>
      <c r="I127" s="156"/>
      <c r="J127" s="165"/>
      <c r="K127" s="158"/>
      <c r="L127" s="156"/>
      <c r="M127" s="57"/>
      <c r="N127" s="57"/>
    </row>
    <row r="128" spans="1:14" s="8" customFormat="1" x14ac:dyDescent="0.25">
      <c r="A128" s="222" t="s">
        <v>441</v>
      </c>
      <c r="B128" s="165" t="s">
        <v>442</v>
      </c>
      <c r="C128" s="158" t="s">
        <v>222</v>
      </c>
      <c r="D128" s="156">
        <v>1</v>
      </c>
      <c r="E128" s="72">
        <v>285000</v>
      </c>
      <c r="F128" s="57">
        <f t="shared" si="17"/>
        <v>285000</v>
      </c>
      <c r="H128" s="46"/>
      <c r="I128" s="156"/>
      <c r="J128" s="165"/>
      <c r="K128" s="158"/>
      <c r="L128" s="156"/>
      <c r="M128" s="57"/>
      <c r="N128" s="57"/>
    </row>
    <row r="129" spans="1:14" s="8" customFormat="1" x14ac:dyDescent="0.25">
      <c r="A129" s="222" t="s">
        <v>443</v>
      </c>
      <c r="B129" s="165" t="s">
        <v>444</v>
      </c>
      <c r="C129" s="158" t="s">
        <v>224</v>
      </c>
      <c r="D129" s="156">
        <v>30</v>
      </c>
      <c r="E129" s="72">
        <v>21179</v>
      </c>
      <c r="F129" s="57">
        <f t="shared" si="17"/>
        <v>635370</v>
      </c>
      <c r="H129" s="46"/>
      <c r="I129" s="156"/>
      <c r="J129" s="165"/>
      <c r="K129" s="158"/>
      <c r="L129" s="156"/>
      <c r="M129" s="57"/>
      <c r="N129" s="57"/>
    </row>
    <row r="130" spans="1:14" s="8" customFormat="1" x14ac:dyDescent="0.25">
      <c r="A130" s="222" t="s">
        <v>445</v>
      </c>
      <c r="B130" s="165" t="s">
        <v>446</v>
      </c>
      <c r="C130" s="158" t="s">
        <v>224</v>
      </c>
      <c r="D130" s="156">
        <v>3</v>
      </c>
      <c r="E130" s="72">
        <v>15015</v>
      </c>
      <c r="F130" s="57">
        <f t="shared" si="17"/>
        <v>45045</v>
      </c>
      <c r="H130" s="46"/>
      <c r="I130" s="156"/>
      <c r="J130" s="165"/>
      <c r="K130" s="158"/>
      <c r="L130" s="156"/>
      <c r="M130" s="57"/>
      <c r="N130" s="57"/>
    </row>
    <row r="131" spans="1:14" s="8" customFormat="1" x14ac:dyDescent="0.25">
      <c r="A131" s="222" t="s">
        <v>447</v>
      </c>
      <c r="B131" s="165" t="s">
        <v>448</v>
      </c>
      <c r="C131" s="158" t="s">
        <v>224</v>
      </c>
      <c r="D131" s="156">
        <v>3</v>
      </c>
      <c r="E131" s="72">
        <v>12359</v>
      </c>
      <c r="F131" s="57">
        <f t="shared" si="17"/>
        <v>37077</v>
      </c>
      <c r="H131" s="46"/>
      <c r="I131" s="156"/>
      <c r="J131" s="165"/>
      <c r="K131" s="158"/>
      <c r="L131" s="156"/>
      <c r="M131" s="57"/>
      <c r="N131" s="57"/>
    </row>
    <row r="132" spans="1:14" s="8" customFormat="1" x14ac:dyDescent="0.25">
      <c r="A132" s="222" t="s">
        <v>449</v>
      </c>
      <c r="B132" s="165" t="s">
        <v>450</v>
      </c>
      <c r="C132" s="158" t="s">
        <v>224</v>
      </c>
      <c r="D132" s="156">
        <v>7</v>
      </c>
      <c r="E132" s="72">
        <v>8693</v>
      </c>
      <c r="F132" s="57">
        <f t="shared" si="17"/>
        <v>60851</v>
      </c>
      <c r="H132" s="46"/>
      <c r="I132" s="156"/>
      <c r="J132" s="165"/>
      <c r="K132" s="158"/>
      <c r="L132" s="156"/>
      <c r="M132" s="57"/>
      <c r="N132" s="57"/>
    </row>
    <row r="133" spans="1:14" s="8" customFormat="1" x14ac:dyDescent="0.25">
      <c r="A133" s="222" t="s">
        <v>451</v>
      </c>
      <c r="B133" s="165" t="s">
        <v>452</v>
      </c>
      <c r="C133" s="158" t="s">
        <v>224</v>
      </c>
      <c r="D133" s="156">
        <v>16</v>
      </c>
      <c r="E133" s="72">
        <v>5690</v>
      </c>
      <c r="F133" s="57">
        <f t="shared" si="17"/>
        <v>91040</v>
      </c>
      <c r="H133" s="46"/>
      <c r="I133" s="156"/>
      <c r="J133" s="165"/>
      <c r="K133" s="158"/>
      <c r="L133" s="156"/>
      <c r="M133" s="57"/>
      <c r="N133" s="57"/>
    </row>
    <row r="134" spans="1:14" s="8" customFormat="1" x14ac:dyDescent="0.25">
      <c r="A134" s="222" t="s">
        <v>453</v>
      </c>
      <c r="B134" s="165" t="s">
        <v>454</v>
      </c>
      <c r="C134" s="158" t="s">
        <v>224</v>
      </c>
      <c r="D134" s="156">
        <v>43</v>
      </c>
      <c r="E134" s="72">
        <v>4754.7249279999996</v>
      </c>
      <c r="F134" s="57">
        <f t="shared" si="17"/>
        <v>204453</v>
      </c>
      <c r="H134" s="46"/>
      <c r="I134" s="156"/>
      <c r="J134" s="165"/>
      <c r="K134" s="158"/>
      <c r="L134" s="156"/>
      <c r="M134" s="57"/>
      <c r="N134" s="57"/>
    </row>
    <row r="135" spans="1:14" s="8" customFormat="1" x14ac:dyDescent="0.25">
      <c r="A135" s="222" t="s">
        <v>455</v>
      </c>
      <c r="B135" s="165" t="s">
        <v>456</v>
      </c>
      <c r="C135" s="158" t="s">
        <v>187</v>
      </c>
      <c r="D135" s="156">
        <v>8</v>
      </c>
      <c r="E135" s="72">
        <v>54577.999999999993</v>
      </c>
      <c r="F135" s="57">
        <f t="shared" si="17"/>
        <v>436624</v>
      </c>
      <c r="H135" s="46"/>
      <c r="I135" s="156"/>
      <c r="J135" s="165"/>
      <c r="K135" s="158"/>
      <c r="L135" s="156"/>
      <c r="M135" s="57"/>
      <c r="N135" s="57"/>
    </row>
    <row r="136" spans="1:14" s="8" customFormat="1" x14ac:dyDescent="0.25">
      <c r="A136" s="222" t="s">
        <v>457</v>
      </c>
      <c r="B136" s="165" t="s">
        <v>458</v>
      </c>
      <c r="C136" s="158" t="s">
        <v>187</v>
      </c>
      <c r="D136" s="156">
        <v>32</v>
      </c>
      <c r="E136" s="72">
        <v>34200</v>
      </c>
      <c r="F136" s="57">
        <f t="shared" si="17"/>
        <v>1094400</v>
      </c>
      <c r="H136" s="46"/>
      <c r="I136" s="156"/>
      <c r="J136" s="165"/>
      <c r="K136" s="158"/>
      <c r="L136" s="156"/>
      <c r="M136" s="57"/>
      <c r="N136" s="57"/>
    </row>
    <row r="137" spans="1:14" s="8" customFormat="1" x14ac:dyDescent="0.25">
      <c r="A137" s="222" t="s">
        <v>459</v>
      </c>
      <c r="B137" s="165" t="s">
        <v>460</v>
      </c>
      <c r="C137" s="158" t="s">
        <v>187</v>
      </c>
      <c r="D137" s="156">
        <v>2</v>
      </c>
      <c r="E137" s="72">
        <v>37031</v>
      </c>
      <c r="F137" s="57">
        <f t="shared" si="17"/>
        <v>74062</v>
      </c>
      <c r="H137" s="46"/>
      <c r="I137" s="156"/>
      <c r="J137" s="165"/>
      <c r="K137" s="158"/>
      <c r="L137" s="156"/>
      <c r="M137" s="57"/>
      <c r="N137" s="57"/>
    </row>
    <row r="138" spans="1:14" s="8" customFormat="1" x14ac:dyDescent="0.25">
      <c r="A138" s="222" t="s">
        <v>461</v>
      </c>
      <c r="B138" s="165" t="s">
        <v>462</v>
      </c>
      <c r="C138" s="158" t="s">
        <v>187</v>
      </c>
      <c r="D138" s="156">
        <v>2</v>
      </c>
      <c r="E138" s="72">
        <v>89000</v>
      </c>
      <c r="F138" s="57">
        <f t="shared" si="17"/>
        <v>178000</v>
      </c>
      <c r="H138" s="46"/>
      <c r="I138" s="156"/>
      <c r="J138" s="165"/>
      <c r="K138" s="158"/>
      <c r="L138" s="156"/>
      <c r="M138" s="57"/>
      <c r="N138" s="57"/>
    </row>
    <row r="139" spans="1:14" s="8" customFormat="1" x14ac:dyDescent="0.25">
      <c r="A139" s="222" t="s">
        <v>463</v>
      </c>
      <c r="B139" s="165" t="s">
        <v>464</v>
      </c>
      <c r="C139" s="158" t="s">
        <v>187</v>
      </c>
      <c r="D139" s="156">
        <v>1</v>
      </c>
      <c r="E139" s="72">
        <v>67000</v>
      </c>
      <c r="F139" s="57">
        <f t="shared" si="17"/>
        <v>67000</v>
      </c>
      <c r="H139" s="46"/>
      <c r="I139" s="156"/>
      <c r="J139" s="165"/>
      <c r="K139" s="158"/>
      <c r="L139" s="156"/>
      <c r="M139" s="57"/>
      <c r="N139" s="57"/>
    </row>
    <row r="140" spans="1:14" s="8" customFormat="1" x14ac:dyDescent="0.25">
      <c r="A140" s="222" t="s">
        <v>465</v>
      </c>
      <c r="B140" s="165" t="s">
        <v>466</v>
      </c>
      <c r="C140" s="158" t="s">
        <v>187</v>
      </c>
      <c r="D140" s="156">
        <v>2</v>
      </c>
      <c r="E140" s="72">
        <v>39500</v>
      </c>
      <c r="F140" s="57">
        <f t="shared" si="17"/>
        <v>79000</v>
      </c>
      <c r="H140" s="46"/>
      <c r="I140" s="156"/>
      <c r="J140" s="165"/>
      <c r="K140" s="158"/>
      <c r="L140" s="156"/>
      <c r="M140" s="57"/>
      <c r="N140" s="57"/>
    </row>
    <row r="141" spans="1:14" s="8" customFormat="1" x14ac:dyDescent="0.25">
      <c r="A141" s="222" t="s">
        <v>467</v>
      </c>
      <c r="B141" s="165" t="s">
        <v>468</v>
      </c>
      <c r="C141" s="158" t="s">
        <v>187</v>
      </c>
      <c r="D141" s="156">
        <v>5</v>
      </c>
      <c r="E141" s="72">
        <v>27000</v>
      </c>
      <c r="F141" s="57">
        <f t="shared" si="17"/>
        <v>135000</v>
      </c>
      <c r="H141" s="46"/>
      <c r="I141" s="156"/>
      <c r="J141" s="165"/>
      <c r="K141" s="158"/>
      <c r="L141" s="156"/>
      <c r="M141" s="57"/>
      <c r="N141" s="57"/>
    </row>
    <row r="142" spans="1:14" s="8" customFormat="1" x14ac:dyDescent="0.25">
      <c r="A142" s="222" t="s">
        <v>469</v>
      </c>
      <c r="B142" s="165" t="s">
        <v>470</v>
      </c>
      <c r="C142" s="158" t="s">
        <v>222</v>
      </c>
      <c r="D142" s="156">
        <v>8</v>
      </c>
      <c r="E142" s="72">
        <v>14000</v>
      </c>
      <c r="F142" s="57">
        <f t="shared" si="17"/>
        <v>112000</v>
      </c>
      <c r="H142" s="46"/>
      <c r="I142" s="156"/>
      <c r="J142" s="165"/>
      <c r="K142" s="158"/>
      <c r="L142" s="156"/>
      <c r="M142" s="57"/>
      <c r="N142" s="57"/>
    </row>
    <row r="143" spans="1:14" s="8" customFormat="1" x14ac:dyDescent="0.25">
      <c r="A143" s="222" t="s">
        <v>471</v>
      </c>
      <c r="B143" s="165" t="s">
        <v>472</v>
      </c>
      <c r="C143" s="158" t="s">
        <v>187</v>
      </c>
      <c r="D143" s="156">
        <v>2</v>
      </c>
      <c r="E143" s="72">
        <v>30500</v>
      </c>
      <c r="F143" s="57">
        <f t="shared" si="17"/>
        <v>61000</v>
      </c>
      <c r="H143" s="46"/>
      <c r="I143" s="156"/>
      <c r="J143" s="165"/>
      <c r="K143" s="158"/>
      <c r="L143" s="156"/>
      <c r="M143" s="57"/>
      <c r="N143" s="57"/>
    </row>
    <row r="144" spans="1:14" s="8" customFormat="1" ht="27.6" x14ac:dyDescent="0.25">
      <c r="A144" s="222" t="s">
        <v>473</v>
      </c>
      <c r="B144" s="157" t="s">
        <v>474</v>
      </c>
      <c r="C144" s="158" t="s">
        <v>187</v>
      </c>
      <c r="D144" s="156">
        <v>17</v>
      </c>
      <c r="E144" s="72">
        <v>16800</v>
      </c>
      <c r="F144" s="57">
        <f t="shared" si="17"/>
        <v>285600</v>
      </c>
      <c r="H144" s="46"/>
      <c r="I144" s="156"/>
      <c r="J144" s="165"/>
      <c r="K144" s="158"/>
      <c r="L144" s="156"/>
      <c r="M144" s="57"/>
      <c r="N144" s="57"/>
    </row>
    <row r="145" spans="1:14" s="8" customFormat="1" x14ac:dyDescent="0.25">
      <c r="A145" s="222"/>
      <c r="B145" s="160" t="s">
        <v>475</v>
      </c>
      <c r="C145" s="158"/>
      <c r="D145" s="156"/>
      <c r="E145" s="72"/>
      <c r="F145" s="57"/>
      <c r="H145" s="46"/>
      <c r="I145" s="156"/>
      <c r="J145" s="165"/>
      <c r="K145" s="158"/>
      <c r="L145" s="156"/>
      <c r="M145" s="57"/>
      <c r="N145" s="57"/>
    </row>
    <row r="146" spans="1:14" s="8" customFormat="1" x14ac:dyDescent="0.25">
      <c r="A146" s="222" t="s">
        <v>476</v>
      </c>
      <c r="B146" s="165" t="s">
        <v>477</v>
      </c>
      <c r="C146" s="158" t="s">
        <v>222</v>
      </c>
      <c r="D146" s="156">
        <v>1</v>
      </c>
      <c r="E146" s="72">
        <v>609500</v>
      </c>
      <c r="F146" s="57">
        <f t="shared" si="17"/>
        <v>609500</v>
      </c>
      <c r="H146" s="46"/>
      <c r="I146" s="156"/>
      <c r="J146" s="165"/>
      <c r="K146" s="158"/>
      <c r="L146" s="156"/>
      <c r="M146" s="57"/>
      <c r="N146" s="57"/>
    </row>
    <row r="147" spans="1:14" s="8" customFormat="1" x14ac:dyDescent="0.25">
      <c r="A147" s="222" t="s">
        <v>478</v>
      </c>
      <c r="B147" s="165" t="s">
        <v>479</v>
      </c>
      <c r="C147" s="158" t="s">
        <v>187</v>
      </c>
      <c r="D147" s="156">
        <v>1</v>
      </c>
      <c r="E147" s="72">
        <v>1916000</v>
      </c>
      <c r="F147" s="57">
        <f t="shared" si="17"/>
        <v>1916000</v>
      </c>
      <c r="H147" s="46"/>
      <c r="I147" s="156"/>
      <c r="J147" s="157"/>
      <c r="K147" s="158"/>
      <c r="L147" s="156"/>
      <c r="M147" s="57"/>
      <c r="N147" s="57"/>
    </row>
    <row r="148" spans="1:14" s="8" customFormat="1" x14ac:dyDescent="0.25">
      <c r="A148" s="222" t="s">
        <v>480</v>
      </c>
      <c r="B148" s="165" t="s">
        <v>481</v>
      </c>
      <c r="C148" s="158" t="s">
        <v>187</v>
      </c>
      <c r="D148" s="156">
        <v>1</v>
      </c>
      <c r="E148" s="72">
        <v>189500</v>
      </c>
      <c r="F148" s="57">
        <f t="shared" si="17"/>
        <v>189500</v>
      </c>
      <c r="H148" s="46"/>
      <c r="I148" s="156"/>
      <c r="J148" s="160"/>
      <c r="K148" s="158"/>
      <c r="L148" s="156"/>
      <c r="M148" s="57"/>
      <c r="N148" s="57"/>
    </row>
    <row r="149" spans="1:14" s="8" customFormat="1" x14ac:dyDescent="0.25">
      <c r="A149" s="222" t="s">
        <v>482</v>
      </c>
      <c r="B149" s="165" t="s">
        <v>483</v>
      </c>
      <c r="C149" s="158" t="s">
        <v>187</v>
      </c>
      <c r="D149" s="156">
        <v>1</v>
      </c>
      <c r="E149" s="72">
        <v>1147000</v>
      </c>
      <c r="F149" s="57">
        <f t="shared" si="17"/>
        <v>1147000</v>
      </c>
      <c r="H149" s="46"/>
      <c r="I149" s="156"/>
      <c r="J149" s="165"/>
      <c r="K149" s="158"/>
      <c r="L149" s="156"/>
      <c r="M149" s="57"/>
      <c r="N149" s="57"/>
    </row>
    <row r="150" spans="1:14" s="8" customFormat="1" x14ac:dyDescent="0.25">
      <c r="A150" s="222" t="s">
        <v>484</v>
      </c>
      <c r="B150" s="165" t="s">
        <v>485</v>
      </c>
      <c r="C150" s="158" t="s">
        <v>222</v>
      </c>
      <c r="D150" s="156">
        <v>2</v>
      </c>
      <c r="E150" s="72">
        <v>1063500</v>
      </c>
      <c r="F150" s="57">
        <f t="shared" si="17"/>
        <v>2127000</v>
      </c>
      <c r="H150" s="46"/>
      <c r="I150" s="156"/>
      <c r="J150" s="165"/>
      <c r="K150" s="158"/>
      <c r="L150" s="156"/>
      <c r="M150" s="57"/>
      <c r="N150" s="57"/>
    </row>
    <row r="151" spans="1:14" s="8" customFormat="1" x14ac:dyDescent="0.25">
      <c r="A151" s="222" t="s">
        <v>486</v>
      </c>
      <c r="B151" s="165" t="s">
        <v>487</v>
      </c>
      <c r="C151" s="158" t="s">
        <v>222</v>
      </c>
      <c r="D151" s="156">
        <v>1</v>
      </c>
      <c r="E151" s="72">
        <v>955900</v>
      </c>
      <c r="F151" s="57">
        <f t="shared" si="17"/>
        <v>955900</v>
      </c>
      <c r="H151" s="46"/>
      <c r="I151" s="156"/>
      <c r="J151" s="165"/>
      <c r="K151" s="158"/>
      <c r="L151" s="156"/>
      <c r="M151" s="57"/>
      <c r="N151" s="57"/>
    </row>
    <row r="152" spans="1:14" s="8" customFormat="1" x14ac:dyDescent="0.25">
      <c r="A152" s="222" t="s">
        <v>488</v>
      </c>
      <c r="B152" s="165" t="s">
        <v>489</v>
      </c>
      <c r="C152" s="158" t="s">
        <v>222</v>
      </c>
      <c r="D152" s="156">
        <v>2</v>
      </c>
      <c r="E152" s="72">
        <v>1987900</v>
      </c>
      <c r="F152" s="57">
        <f t="shared" si="17"/>
        <v>3975800</v>
      </c>
      <c r="H152" s="46"/>
      <c r="I152" s="156"/>
      <c r="J152" s="165"/>
      <c r="K152" s="158"/>
      <c r="L152" s="156"/>
      <c r="M152" s="57"/>
      <c r="N152" s="57"/>
    </row>
    <row r="153" spans="1:14" s="8" customFormat="1" x14ac:dyDescent="0.25">
      <c r="A153" s="222" t="s">
        <v>490</v>
      </c>
      <c r="B153" s="157" t="s">
        <v>491</v>
      </c>
      <c r="C153" s="158" t="s">
        <v>224</v>
      </c>
      <c r="D153" s="156">
        <v>35</v>
      </c>
      <c r="E153" s="72">
        <v>203848</v>
      </c>
      <c r="F153" s="57">
        <f t="shared" si="17"/>
        <v>7134680</v>
      </c>
      <c r="H153" s="46"/>
      <c r="I153" s="156"/>
      <c r="J153" s="165"/>
      <c r="K153" s="158"/>
      <c r="L153" s="156"/>
      <c r="M153" s="57"/>
      <c r="N153" s="57"/>
    </row>
    <row r="154" spans="1:14" s="8" customFormat="1" x14ac:dyDescent="0.25">
      <c r="A154" s="222" t="s">
        <v>492</v>
      </c>
      <c r="B154" s="157" t="s">
        <v>493</v>
      </c>
      <c r="C154" s="158" t="s">
        <v>224</v>
      </c>
      <c r="D154" s="156">
        <v>16</v>
      </c>
      <c r="E154" s="72">
        <v>146950</v>
      </c>
      <c r="F154" s="57">
        <f t="shared" si="17"/>
        <v>2351200</v>
      </c>
      <c r="H154" s="46"/>
      <c r="I154" s="156"/>
      <c r="J154" s="165"/>
      <c r="K154" s="158"/>
      <c r="L154" s="156"/>
      <c r="M154" s="57"/>
      <c r="N154" s="57"/>
    </row>
    <row r="155" spans="1:14" s="8" customFormat="1" x14ac:dyDescent="0.25">
      <c r="A155" s="222" t="s">
        <v>494</v>
      </c>
      <c r="B155" s="157" t="s">
        <v>495</v>
      </c>
      <c r="C155" s="158" t="s">
        <v>224</v>
      </c>
      <c r="D155" s="156">
        <v>12</v>
      </c>
      <c r="E155" s="72">
        <v>139265</v>
      </c>
      <c r="F155" s="57">
        <f t="shared" si="17"/>
        <v>1671180</v>
      </c>
      <c r="H155" s="46"/>
      <c r="I155" s="156"/>
      <c r="J155" s="165"/>
      <c r="K155" s="158"/>
      <c r="L155" s="156"/>
      <c r="M155" s="57"/>
      <c r="N155" s="57"/>
    </row>
    <row r="156" spans="1:14" s="8" customFormat="1" x14ac:dyDescent="0.25">
      <c r="A156" s="222" t="s">
        <v>496</v>
      </c>
      <c r="B156" s="157" t="s">
        <v>497</v>
      </c>
      <c r="C156" s="158" t="s">
        <v>224</v>
      </c>
      <c r="D156" s="156">
        <v>9</v>
      </c>
      <c r="E156" s="72">
        <v>87990</v>
      </c>
      <c r="F156" s="57">
        <f t="shared" si="17"/>
        <v>791910</v>
      </c>
      <c r="H156" s="46"/>
      <c r="I156" s="156"/>
      <c r="J156" s="157"/>
      <c r="K156" s="158"/>
      <c r="L156" s="156"/>
      <c r="M156" s="57"/>
      <c r="N156" s="57"/>
    </row>
    <row r="157" spans="1:14" s="8" customFormat="1" x14ac:dyDescent="0.25">
      <c r="A157" s="222" t="s">
        <v>498</v>
      </c>
      <c r="B157" s="157" t="s">
        <v>499</v>
      </c>
      <c r="C157" s="158" t="s">
        <v>224</v>
      </c>
      <c r="D157" s="156">
        <v>17</v>
      </c>
      <c r="E157" s="72">
        <v>63433</v>
      </c>
      <c r="F157" s="57">
        <f t="shared" si="17"/>
        <v>1078361</v>
      </c>
      <c r="H157" s="46"/>
      <c r="I157" s="156"/>
      <c r="J157" s="157"/>
      <c r="K157" s="158"/>
      <c r="L157" s="156"/>
      <c r="M157" s="57"/>
      <c r="N157" s="57"/>
    </row>
    <row r="158" spans="1:14" s="8" customFormat="1" x14ac:dyDescent="0.25">
      <c r="A158" s="222" t="s">
        <v>500</v>
      </c>
      <c r="B158" s="157" t="s">
        <v>501</v>
      </c>
      <c r="C158" s="158" t="s">
        <v>224</v>
      </c>
      <c r="D158" s="156">
        <v>35</v>
      </c>
      <c r="E158" s="72">
        <v>49419</v>
      </c>
      <c r="F158" s="57">
        <f t="shared" si="17"/>
        <v>1729665</v>
      </c>
      <c r="H158" s="46"/>
      <c r="I158" s="156"/>
      <c r="J158" s="157"/>
      <c r="K158" s="158"/>
      <c r="L158" s="156"/>
      <c r="M158" s="57"/>
      <c r="N158" s="57"/>
    </row>
    <row r="159" spans="1:14" s="8" customFormat="1" x14ac:dyDescent="0.25">
      <c r="A159" s="222" t="s">
        <v>502</v>
      </c>
      <c r="B159" s="157" t="s">
        <v>503</v>
      </c>
      <c r="C159" s="158" t="s">
        <v>224</v>
      </c>
      <c r="D159" s="156">
        <v>54</v>
      </c>
      <c r="E159" s="72">
        <v>36550</v>
      </c>
      <c r="F159" s="57">
        <f t="shared" si="17"/>
        <v>1973700</v>
      </c>
      <c r="H159" s="46"/>
      <c r="I159" s="156"/>
      <c r="J159" s="157"/>
      <c r="K159" s="158"/>
      <c r="L159" s="156"/>
      <c r="M159" s="57"/>
      <c r="N159" s="57"/>
    </row>
    <row r="160" spans="1:14" s="8" customFormat="1" x14ac:dyDescent="0.25">
      <c r="A160" s="222" t="s">
        <v>504</v>
      </c>
      <c r="B160" s="165" t="s">
        <v>505</v>
      </c>
      <c r="C160" s="158" t="s">
        <v>187</v>
      </c>
      <c r="D160" s="156">
        <v>43</v>
      </c>
      <c r="E160" s="72">
        <v>18940</v>
      </c>
      <c r="F160" s="57">
        <f t="shared" si="17"/>
        <v>814420</v>
      </c>
      <c r="H160" s="46"/>
      <c r="I160" s="156"/>
      <c r="J160" s="157"/>
      <c r="K160" s="158"/>
      <c r="L160" s="156"/>
      <c r="M160" s="57"/>
      <c r="N160" s="57"/>
    </row>
    <row r="161" spans="1:14" s="8" customFormat="1" x14ac:dyDescent="0.25">
      <c r="A161" s="222" t="s">
        <v>506</v>
      </c>
      <c r="B161" s="165" t="s">
        <v>507</v>
      </c>
      <c r="C161" s="158" t="s">
        <v>187</v>
      </c>
      <c r="D161" s="156">
        <v>34</v>
      </c>
      <c r="E161" s="72">
        <v>41900</v>
      </c>
      <c r="F161" s="57">
        <f t="shared" si="17"/>
        <v>1424600</v>
      </c>
      <c r="H161" s="46"/>
      <c r="I161" s="156"/>
      <c r="J161" s="157"/>
      <c r="K161" s="158"/>
      <c r="L161" s="156"/>
      <c r="M161" s="57"/>
      <c r="N161" s="57"/>
    </row>
    <row r="162" spans="1:14" s="8" customFormat="1" x14ac:dyDescent="0.25">
      <c r="A162" s="222" t="s">
        <v>508</v>
      </c>
      <c r="B162" s="165" t="s">
        <v>509</v>
      </c>
      <c r="C162" s="158" t="s">
        <v>187</v>
      </c>
      <c r="D162" s="156">
        <v>9</v>
      </c>
      <c r="E162" s="72">
        <v>38000</v>
      </c>
      <c r="F162" s="57">
        <f t="shared" si="17"/>
        <v>342000</v>
      </c>
      <c r="H162" s="46"/>
      <c r="I162" s="156"/>
      <c r="J162" s="157"/>
      <c r="K162" s="158"/>
      <c r="L162" s="156"/>
      <c r="M162" s="57"/>
      <c r="N162" s="57"/>
    </row>
    <row r="163" spans="1:14" s="8" customFormat="1" x14ac:dyDescent="0.25">
      <c r="A163" s="222" t="s">
        <v>510</v>
      </c>
      <c r="B163" s="165" t="s">
        <v>511</v>
      </c>
      <c r="C163" s="158" t="s">
        <v>187</v>
      </c>
      <c r="D163" s="156">
        <v>71</v>
      </c>
      <c r="E163" s="72">
        <v>8600</v>
      </c>
      <c r="F163" s="57">
        <f t="shared" si="17"/>
        <v>610600</v>
      </c>
      <c r="H163" s="46"/>
      <c r="I163" s="156"/>
      <c r="J163" s="165"/>
      <c r="K163" s="158"/>
      <c r="L163" s="156"/>
      <c r="M163" s="57"/>
      <c r="N163" s="57"/>
    </row>
    <row r="164" spans="1:14" s="8" customFormat="1" x14ac:dyDescent="0.25">
      <c r="A164" s="222" t="s">
        <v>512</v>
      </c>
      <c r="B164" s="165" t="s">
        <v>513</v>
      </c>
      <c r="C164" s="158" t="s">
        <v>187</v>
      </c>
      <c r="D164" s="156">
        <v>10</v>
      </c>
      <c r="E164" s="72">
        <v>25000</v>
      </c>
      <c r="F164" s="57">
        <f t="shared" si="17"/>
        <v>250000</v>
      </c>
      <c r="H164" s="46"/>
      <c r="I164" s="156"/>
      <c r="J164" s="165"/>
      <c r="K164" s="158"/>
      <c r="L164" s="156"/>
      <c r="M164" s="57"/>
      <c r="N164" s="57"/>
    </row>
    <row r="165" spans="1:14" s="8" customFormat="1" ht="55.2" x14ac:dyDescent="0.25">
      <c r="A165" s="222" t="s">
        <v>514</v>
      </c>
      <c r="B165" s="157" t="s">
        <v>515</v>
      </c>
      <c r="C165" s="158" t="s">
        <v>187</v>
      </c>
      <c r="D165" s="156">
        <v>1</v>
      </c>
      <c r="E165" s="72">
        <v>35800000</v>
      </c>
      <c r="F165" s="57">
        <f t="shared" si="17"/>
        <v>35800000</v>
      </c>
      <c r="H165" s="46"/>
      <c r="I165" s="156"/>
      <c r="J165" s="165"/>
      <c r="K165" s="158"/>
      <c r="L165" s="156"/>
      <c r="M165" s="57"/>
      <c r="N165" s="57"/>
    </row>
    <row r="166" spans="1:14" s="8" customFormat="1" x14ac:dyDescent="0.25">
      <c r="A166" s="222"/>
      <c r="B166" s="160" t="s">
        <v>516</v>
      </c>
      <c r="C166" s="158"/>
      <c r="D166" s="156"/>
      <c r="E166" s="72"/>
      <c r="F166" s="57"/>
      <c r="H166" s="46"/>
      <c r="I166" s="156"/>
      <c r="J166" s="165"/>
      <c r="K166" s="158"/>
      <c r="L166" s="156"/>
      <c r="M166" s="57"/>
      <c r="N166" s="57"/>
    </row>
    <row r="167" spans="1:14" s="8" customFormat="1" x14ac:dyDescent="0.25">
      <c r="A167" s="222" t="s">
        <v>517</v>
      </c>
      <c r="B167" s="165" t="s">
        <v>518</v>
      </c>
      <c r="C167" s="158" t="s">
        <v>8</v>
      </c>
      <c r="D167" s="156">
        <v>35</v>
      </c>
      <c r="E167" s="72">
        <v>36800</v>
      </c>
      <c r="F167" s="57">
        <f t="shared" si="17"/>
        <v>1288000</v>
      </c>
      <c r="H167" s="46"/>
      <c r="I167" s="156"/>
      <c r="J167" s="165"/>
      <c r="K167" s="158"/>
      <c r="L167" s="156"/>
      <c r="M167" s="57"/>
      <c r="N167" s="57"/>
    </row>
    <row r="168" spans="1:14" s="8" customFormat="1" x14ac:dyDescent="0.25">
      <c r="A168" s="222" t="s">
        <v>519</v>
      </c>
      <c r="B168" s="165" t="s">
        <v>520</v>
      </c>
      <c r="C168" s="158" t="s">
        <v>187</v>
      </c>
      <c r="D168" s="156">
        <v>3</v>
      </c>
      <c r="E168" s="72">
        <v>60000</v>
      </c>
      <c r="F168" s="57">
        <f t="shared" si="17"/>
        <v>180000</v>
      </c>
      <c r="H168" s="46"/>
      <c r="I168" s="156"/>
      <c r="J168" s="157"/>
      <c r="K168" s="158"/>
      <c r="L168" s="156"/>
      <c r="M168" s="57"/>
      <c r="N168" s="57"/>
    </row>
    <row r="169" spans="1:14" s="8" customFormat="1" x14ac:dyDescent="0.25">
      <c r="A169" s="222" t="s">
        <v>521</v>
      </c>
      <c r="B169" s="165" t="s">
        <v>522</v>
      </c>
      <c r="C169" s="158" t="s">
        <v>187</v>
      </c>
      <c r="D169" s="156">
        <v>3</v>
      </c>
      <c r="E169" s="72">
        <v>265000</v>
      </c>
      <c r="F169" s="57">
        <f t="shared" si="17"/>
        <v>795000</v>
      </c>
      <c r="H169" s="46"/>
      <c r="I169" s="156"/>
      <c r="J169" s="160"/>
      <c r="K169" s="158"/>
      <c r="L169" s="156"/>
      <c r="M169" s="57"/>
      <c r="N169" s="57"/>
    </row>
    <row r="170" spans="1:14" s="8" customFormat="1" x14ac:dyDescent="0.25">
      <c r="A170" s="222" t="s">
        <v>523</v>
      </c>
      <c r="B170" s="165" t="s">
        <v>524</v>
      </c>
      <c r="C170" s="158" t="s">
        <v>222</v>
      </c>
      <c r="D170" s="156">
        <v>3</v>
      </c>
      <c r="E170" s="72">
        <v>280000</v>
      </c>
      <c r="F170" s="57">
        <f t="shared" si="17"/>
        <v>840000</v>
      </c>
      <c r="H170" s="46"/>
      <c r="I170" s="156"/>
      <c r="J170" s="165"/>
      <c r="K170" s="158"/>
      <c r="L170" s="156"/>
      <c r="M170" s="57"/>
      <c r="N170" s="57"/>
    </row>
    <row r="171" spans="1:14" s="8" customFormat="1" ht="27.6" x14ac:dyDescent="0.25">
      <c r="A171" s="222" t="s">
        <v>525</v>
      </c>
      <c r="B171" s="157" t="s">
        <v>526</v>
      </c>
      <c r="C171" s="158" t="s">
        <v>187</v>
      </c>
      <c r="D171" s="156">
        <v>1</v>
      </c>
      <c r="E171" s="72">
        <v>18500000</v>
      </c>
      <c r="F171" s="57">
        <f t="shared" si="17"/>
        <v>18500000</v>
      </c>
      <c r="H171" s="46"/>
      <c r="I171" s="156"/>
      <c r="J171" s="165"/>
      <c r="K171" s="158"/>
      <c r="L171" s="156"/>
      <c r="M171" s="57"/>
      <c r="N171" s="57"/>
    </row>
    <row r="172" spans="1:14" s="8" customFormat="1" x14ac:dyDescent="0.25">
      <c r="A172" s="222" t="s">
        <v>527</v>
      </c>
      <c r="B172" s="165" t="s">
        <v>528</v>
      </c>
      <c r="C172" s="158" t="s">
        <v>187</v>
      </c>
      <c r="D172" s="156">
        <v>2</v>
      </c>
      <c r="E172" s="72">
        <v>480000</v>
      </c>
      <c r="F172" s="57">
        <f t="shared" si="17"/>
        <v>960000</v>
      </c>
      <c r="H172" s="46"/>
      <c r="I172" s="156"/>
      <c r="J172" s="165"/>
      <c r="K172" s="158"/>
      <c r="L172" s="156"/>
      <c r="M172" s="57"/>
      <c r="N172" s="57"/>
    </row>
    <row r="173" spans="1:14" s="8" customFormat="1" x14ac:dyDescent="0.25">
      <c r="A173" s="222" t="s">
        <v>529</v>
      </c>
      <c r="B173" s="165" t="s">
        <v>530</v>
      </c>
      <c r="C173" s="158" t="s">
        <v>187</v>
      </c>
      <c r="D173" s="156">
        <v>2</v>
      </c>
      <c r="E173" s="72">
        <v>385000</v>
      </c>
      <c r="F173" s="57">
        <f t="shared" si="17"/>
        <v>770000</v>
      </c>
      <c r="H173" s="46"/>
      <c r="I173" s="156"/>
      <c r="J173" s="165"/>
      <c r="K173" s="158"/>
      <c r="L173" s="156"/>
      <c r="M173" s="57"/>
      <c r="N173" s="57"/>
    </row>
    <row r="174" spans="1:14" s="8" customFormat="1" x14ac:dyDescent="0.25">
      <c r="A174" s="222" t="s">
        <v>531</v>
      </c>
      <c r="B174" s="165" t="s">
        <v>532</v>
      </c>
      <c r="C174" s="158" t="s">
        <v>187</v>
      </c>
      <c r="D174" s="156">
        <v>2</v>
      </c>
      <c r="E174" s="72">
        <v>453000</v>
      </c>
      <c r="F174" s="57">
        <f t="shared" si="17"/>
        <v>906000</v>
      </c>
      <c r="H174" s="46"/>
      <c r="I174" s="156"/>
      <c r="J174" s="157"/>
      <c r="K174" s="158"/>
      <c r="L174" s="156"/>
      <c r="M174" s="57"/>
      <c r="N174" s="57"/>
    </row>
    <row r="175" spans="1:14" s="8" customFormat="1" x14ac:dyDescent="0.25">
      <c r="A175" s="222" t="s">
        <v>533</v>
      </c>
      <c r="B175" s="165" t="s">
        <v>534</v>
      </c>
      <c r="C175" s="158" t="s">
        <v>187</v>
      </c>
      <c r="D175" s="156">
        <v>3</v>
      </c>
      <c r="E175" s="72">
        <v>260000</v>
      </c>
      <c r="F175" s="57">
        <f t="shared" si="17"/>
        <v>780000</v>
      </c>
      <c r="H175" s="46"/>
      <c r="I175" s="156"/>
      <c r="J175" s="165"/>
      <c r="K175" s="158"/>
      <c r="L175" s="156"/>
      <c r="M175" s="57"/>
      <c r="N175" s="57"/>
    </row>
    <row r="176" spans="1:14" s="8" customFormat="1" x14ac:dyDescent="0.25">
      <c r="A176" s="222" t="s">
        <v>535</v>
      </c>
      <c r="B176" s="165" t="s">
        <v>536</v>
      </c>
      <c r="C176" s="158" t="s">
        <v>187</v>
      </c>
      <c r="D176" s="156">
        <v>2</v>
      </c>
      <c r="E176" s="72">
        <v>195000</v>
      </c>
      <c r="F176" s="57">
        <f t="shared" si="17"/>
        <v>390000</v>
      </c>
      <c r="H176" s="46"/>
      <c r="I176" s="156"/>
      <c r="J176" s="165"/>
      <c r="K176" s="158"/>
      <c r="L176" s="156"/>
      <c r="M176" s="57"/>
      <c r="N176" s="57"/>
    </row>
    <row r="177" spans="1:14" s="8" customFormat="1" x14ac:dyDescent="0.25">
      <c r="A177" s="222" t="s">
        <v>537</v>
      </c>
      <c r="B177" s="165" t="s">
        <v>538</v>
      </c>
      <c r="C177" s="158" t="s">
        <v>187</v>
      </c>
      <c r="D177" s="156">
        <v>2</v>
      </c>
      <c r="E177" s="72">
        <v>120000</v>
      </c>
      <c r="F177" s="57">
        <f t="shared" si="17"/>
        <v>240000</v>
      </c>
      <c r="H177" s="46"/>
      <c r="I177" s="156"/>
      <c r="J177" s="165"/>
      <c r="K177" s="158"/>
      <c r="L177" s="156"/>
      <c r="M177" s="57"/>
      <c r="N177" s="57"/>
    </row>
    <row r="178" spans="1:14" s="8" customFormat="1" x14ac:dyDescent="0.25">
      <c r="A178" s="222" t="s">
        <v>539</v>
      </c>
      <c r="B178" s="165" t="s">
        <v>540</v>
      </c>
      <c r="C178" s="158" t="s">
        <v>187</v>
      </c>
      <c r="D178" s="156">
        <v>2</v>
      </c>
      <c r="E178" s="72">
        <v>45000</v>
      </c>
      <c r="F178" s="57">
        <f t="shared" si="17"/>
        <v>90000</v>
      </c>
      <c r="H178" s="46"/>
      <c r="I178" s="156"/>
      <c r="J178" s="165"/>
      <c r="K178" s="158"/>
      <c r="L178" s="156"/>
      <c r="M178" s="57"/>
      <c r="N178" s="57"/>
    </row>
    <row r="179" spans="1:14" s="8" customFormat="1" x14ac:dyDescent="0.25">
      <c r="A179" s="222" t="s">
        <v>541</v>
      </c>
      <c r="B179" s="165" t="s">
        <v>542</v>
      </c>
      <c r="C179" s="158" t="s">
        <v>187</v>
      </c>
      <c r="D179" s="156">
        <v>2</v>
      </c>
      <c r="E179" s="72">
        <v>123500</v>
      </c>
      <c r="F179" s="57">
        <f t="shared" si="17"/>
        <v>247000</v>
      </c>
      <c r="H179" s="46"/>
      <c r="I179" s="156"/>
      <c r="J179" s="165"/>
      <c r="K179" s="158"/>
      <c r="L179" s="156"/>
      <c r="M179" s="57"/>
      <c r="N179" s="57"/>
    </row>
    <row r="180" spans="1:14" s="8" customFormat="1" ht="27.6" x14ac:dyDescent="0.25">
      <c r="A180" s="222" t="s">
        <v>543</v>
      </c>
      <c r="B180" s="157" t="s">
        <v>544</v>
      </c>
      <c r="C180" s="158" t="s">
        <v>222</v>
      </c>
      <c r="D180" s="156">
        <v>1</v>
      </c>
      <c r="E180" s="72">
        <v>4250000</v>
      </c>
      <c r="F180" s="57">
        <f t="shared" si="17"/>
        <v>4250000</v>
      </c>
      <c r="H180" s="46"/>
      <c r="I180" s="156"/>
      <c r="J180" s="165"/>
      <c r="K180" s="158"/>
      <c r="L180" s="156"/>
      <c r="M180" s="57"/>
      <c r="N180" s="57"/>
    </row>
    <row r="181" spans="1:14" s="8" customFormat="1" ht="27.6" x14ac:dyDescent="0.25">
      <c r="A181" s="222" t="s">
        <v>545</v>
      </c>
      <c r="B181" s="157" t="s">
        <v>546</v>
      </c>
      <c r="C181" s="158" t="s">
        <v>222</v>
      </c>
      <c r="D181" s="156">
        <v>1</v>
      </c>
      <c r="E181" s="72">
        <v>980000</v>
      </c>
      <c r="F181" s="57">
        <f t="shared" si="17"/>
        <v>980000</v>
      </c>
      <c r="H181" s="46"/>
      <c r="I181" s="156"/>
      <c r="J181" s="165"/>
      <c r="K181" s="158"/>
      <c r="L181" s="156"/>
      <c r="M181" s="57"/>
      <c r="N181" s="57"/>
    </row>
    <row r="182" spans="1:14" x14ac:dyDescent="0.25">
      <c r="A182" s="222"/>
      <c r="B182" s="160" t="s">
        <v>547</v>
      </c>
      <c r="C182" s="158"/>
      <c r="D182" s="156"/>
      <c r="E182" s="57"/>
      <c r="F182" s="57"/>
      <c r="H182" s="4"/>
      <c r="I182" s="156"/>
      <c r="J182" s="165"/>
      <c r="K182" s="158"/>
      <c r="L182" s="156"/>
      <c r="M182" s="57"/>
      <c r="N182" s="57"/>
    </row>
    <row r="183" spans="1:14" s="8" customFormat="1" x14ac:dyDescent="0.25">
      <c r="A183" s="222" t="s">
        <v>548</v>
      </c>
      <c r="B183" s="165" t="s">
        <v>549</v>
      </c>
      <c r="C183" s="158" t="s">
        <v>187</v>
      </c>
      <c r="D183" s="156">
        <v>51</v>
      </c>
      <c r="E183" s="72">
        <v>56781.999999999993</v>
      </c>
      <c r="F183" s="57">
        <f t="shared" si="17"/>
        <v>2895882</v>
      </c>
      <c r="H183" s="46"/>
      <c r="I183" s="156"/>
      <c r="J183" s="157"/>
      <c r="K183" s="158"/>
      <c r="L183" s="156"/>
      <c r="M183" s="57"/>
      <c r="N183" s="57"/>
    </row>
    <row r="184" spans="1:14" s="8" customFormat="1" x14ac:dyDescent="0.25">
      <c r="A184" s="222" t="s">
        <v>550</v>
      </c>
      <c r="B184" s="165" t="s">
        <v>551</v>
      </c>
      <c r="C184" s="158" t="s">
        <v>187</v>
      </c>
      <c r="D184" s="156">
        <v>10</v>
      </c>
      <c r="E184" s="72">
        <v>40020</v>
      </c>
      <c r="F184" s="57">
        <f t="shared" si="17"/>
        <v>400200</v>
      </c>
      <c r="H184" s="46"/>
      <c r="I184" s="156"/>
      <c r="J184" s="157"/>
      <c r="K184" s="158"/>
      <c r="L184" s="156"/>
      <c r="M184" s="57"/>
      <c r="N184" s="57"/>
    </row>
    <row r="185" spans="1:14" s="8" customFormat="1" ht="27.6" x14ac:dyDescent="0.25">
      <c r="A185" s="222" t="s">
        <v>552</v>
      </c>
      <c r="B185" s="157" t="s">
        <v>553</v>
      </c>
      <c r="C185" s="158" t="s">
        <v>224</v>
      </c>
      <c r="D185" s="156">
        <v>30</v>
      </c>
      <c r="E185" s="72">
        <v>30283.234919999995</v>
      </c>
      <c r="F185" s="57">
        <f t="shared" si="17"/>
        <v>908497</v>
      </c>
      <c r="H185" s="46"/>
      <c r="I185" s="156"/>
      <c r="J185" s="160"/>
      <c r="K185" s="158"/>
      <c r="L185" s="156"/>
      <c r="M185" s="57"/>
      <c r="N185" s="57"/>
    </row>
    <row r="186" spans="1:14" s="8" customFormat="1" x14ac:dyDescent="0.25">
      <c r="A186" s="222" t="s">
        <v>554</v>
      </c>
      <c r="B186" s="165" t="s">
        <v>555</v>
      </c>
      <c r="C186" s="158" t="s">
        <v>224</v>
      </c>
      <c r="D186" s="156">
        <v>40</v>
      </c>
      <c r="E186" s="72">
        <v>26866.328479999993</v>
      </c>
      <c r="F186" s="57">
        <f t="shared" si="17"/>
        <v>1074653</v>
      </c>
      <c r="H186" s="46"/>
      <c r="I186" s="156"/>
      <c r="J186" s="165"/>
      <c r="K186" s="158"/>
      <c r="L186" s="156"/>
      <c r="M186" s="57"/>
      <c r="N186" s="57"/>
    </row>
    <row r="187" spans="1:14" s="8" customFormat="1" x14ac:dyDescent="0.25">
      <c r="A187" s="222" t="s">
        <v>556</v>
      </c>
      <c r="B187" s="165" t="s">
        <v>557</v>
      </c>
      <c r="C187" s="158" t="s">
        <v>224</v>
      </c>
      <c r="D187" s="156">
        <v>14</v>
      </c>
      <c r="E187" s="72">
        <v>18893.683279999997</v>
      </c>
      <c r="F187" s="57">
        <f t="shared" si="17"/>
        <v>264512</v>
      </c>
      <c r="H187" s="46"/>
      <c r="I187" s="156"/>
      <c r="J187" s="165"/>
      <c r="K187" s="158"/>
      <c r="L187" s="156"/>
      <c r="M187" s="57"/>
      <c r="N187" s="57"/>
    </row>
    <row r="188" spans="1:14" s="8" customFormat="1" x14ac:dyDescent="0.25">
      <c r="A188" s="222" t="s">
        <v>558</v>
      </c>
      <c r="B188" s="165" t="s">
        <v>559</v>
      </c>
      <c r="C188" s="158" t="s">
        <v>224</v>
      </c>
      <c r="D188" s="156">
        <v>12</v>
      </c>
      <c r="E188" s="72">
        <v>26866.328479999993</v>
      </c>
      <c r="F188" s="57">
        <f t="shared" ref="F188:F222" si="18">ROUND(D188*E188,0)</f>
        <v>322396</v>
      </c>
      <c r="H188" s="46"/>
      <c r="I188" s="156"/>
      <c r="J188" s="157"/>
      <c r="K188" s="158"/>
      <c r="L188" s="156"/>
      <c r="M188" s="57"/>
      <c r="N188" s="57"/>
    </row>
    <row r="189" spans="1:14" s="8" customFormat="1" x14ac:dyDescent="0.25">
      <c r="A189" s="222" t="s">
        <v>560</v>
      </c>
      <c r="B189" s="165" t="s">
        <v>561</v>
      </c>
      <c r="C189" s="158" t="s">
        <v>224</v>
      </c>
      <c r="D189" s="156">
        <v>4</v>
      </c>
      <c r="E189" s="72">
        <v>18893.683279999997</v>
      </c>
      <c r="F189" s="57">
        <f t="shared" si="18"/>
        <v>75575</v>
      </c>
      <c r="H189" s="46"/>
      <c r="I189" s="156"/>
      <c r="J189" s="165"/>
      <c r="K189" s="158"/>
      <c r="L189" s="156"/>
      <c r="M189" s="57"/>
      <c r="N189" s="57"/>
    </row>
    <row r="190" spans="1:14" s="8" customFormat="1" x14ac:dyDescent="0.25">
      <c r="A190" s="222" t="s">
        <v>562</v>
      </c>
      <c r="B190" s="165" t="s">
        <v>563</v>
      </c>
      <c r="C190" s="158" t="s">
        <v>187</v>
      </c>
      <c r="D190" s="156">
        <v>2</v>
      </c>
      <c r="E190" s="72">
        <v>32479.999999999996</v>
      </c>
      <c r="F190" s="57">
        <f t="shared" si="18"/>
        <v>64960</v>
      </c>
      <c r="H190" s="46"/>
      <c r="I190" s="156"/>
      <c r="J190" s="165"/>
      <c r="K190" s="158"/>
      <c r="L190" s="156"/>
      <c r="M190" s="57"/>
      <c r="N190" s="57"/>
    </row>
    <row r="191" spans="1:14" s="8" customFormat="1" x14ac:dyDescent="0.25">
      <c r="A191" s="222" t="s">
        <v>564</v>
      </c>
      <c r="B191" s="165" t="s">
        <v>565</v>
      </c>
      <c r="C191" s="158" t="s">
        <v>187</v>
      </c>
      <c r="D191" s="156">
        <v>1</v>
      </c>
      <c r="E191" s="72">
        <v>32479.999999999996</v>
      </c>
      <c r="F191" s="57">
        <f t="shared" si="18"/>
        <v>32480</v>
      </c>
      <c r="H191" s="46"/>
      <c r="I191" s="156"/>
      <c r="J191" s="165"/>
      <c r="K191" s="158"/>
      <c r="L191" s="156"/>
      <c r="M191" s="57"/>
      <c r="N191" s="57"/>
    </row>
    <row r="192" spans="1:14" s="8" customFormat="1" x14ac:dyDescent="0.25">
      <c r="A192" s="222" t="s">
        <v>566</v>
      </c>
      <c r="B192" s="165" t="s">
        <v>567</v>
      </c>
      <c r="C192" s="158" t="s">
        <v>187</v>
      </c>
      <c r="D192" s="156">
        <v>3</v>
      </c>
      <c r="E192" s="72">
        <v>294550</v>
      </c>
      <c r="F192" s="57">
        <f t="shared" si="18"/>
        <v>883650</v>
      </c>
      <c r="H192" s="46"/>
      <c r="I192" s="156"/>
      <c r="J192" s="165"/>
      <c r="K192" s="158"/>
      <c r="L192" s="156"/>
      <c r="M192" s="57"/>
      <c r="N192" s="57"/>
    </row>
    <row r="193" spans="1:14" s="8" customFormat="1" x14ac:dyDescent="0.25">
      <c r="A193" s="222" t="s">
        <v>568</v>
      </c>
      <c r="B193" s="165" t="s">
        <v>569</v>
      </c>
      <c r="C193" s="158" t="s">
        <v>187</v>
      </c>
      <c r="D193" s="156">
        <v>1</v>
      </c>
      <c r="E193" s="72">
        <v>320000</v>
      </c>
      <c r="F193" s="57">
        <f t="shared" si="18"/>
        <v>320000</v>
      </c>
      <c r="H193" s="46"/>
      <c r="I193" s="156"/>
      <c r="J193" s="165"/>
      <c r="K193" s="158"/>
      <c r="L193" s="156"/>
      <c r="M193" s="57"/>
      <c r="N193" s="57"/>
    </row>
    <row r="194" spans="1:14" s="8" customFormat="1" x14ac:dyDescent="0.25">
      <c r="A194" s="222" t="s">
        <v>570</v>
      </c>
      <c r="B194" s="165" t="s">
        <v>571</v>
      </c>
      <c r="C194" s="158" t="s">
        <v>50</v>
      </c>
      <c r="D194" s="156">
        <v>35</v>
      </c>
      <c r="E194" s="72">
        <v>420000</v>
      </c>
      <c r="F194" s="57">
        <f t="shared" si="18"/>
        <v>14700000</v>
      </c>
      <c r="H194" s="46"/>
      <c r="I194" s="156"/>
      <c r="J194" s="165"/>
      <c r="K194" s="158"/>
      <c r="L194" s="156"/>
      <c r="M194" s="57"/>
      <c r="N194" s="57"/>
    </row>
    <row r="195" spans="1:14" s="8" customFormat="1" x14ac:dyDescent="0.25">
      <c r="A195" s="222" t="s">
        <v>572</v>
      </c>
      <c r="B195" s="165" t="s">
        <v>573</v>
      </c>
      <c r="C195" s="158" t="s">
        <v>222</v>
      </c>
      <c r="D195" s="156">
        <v>1</v>
      </c>
      <c r="E195" s="72">
        <v>750000</v>
      </c>
      <c r="F195" s="57">
        <f t="shared" si="18"/>
        <v>750000</v>
      </c>
      <c r="H195" s="46"/>
      <c r="I195" s="156"/>
      <c r="J195" s="165"/>
      <c r="K195" s="158"/>
      <c r="L195" s="156"/>
      <c r="M195" s="57"/>
      <c r="N195" s="57"/>
    </row>
    <row r="196" spans="1:14" s="8" customFormat="1" x14ac:dyDescent="0.25">
      <c r="A196" s="222" t="s">
        <v>574</v>
      </c>
      <c r="B196" s="165" t="s">
        <v>575</v>
      </c>
      <c r="C196" s="158" t="s">
        <v>222</v>
      </c>
      <c r="D196" s="156">
        <v>1</v>
      </c>
      <c r="E196" s="72">
        <v>980000</v>
      </c>
      <c r="F196" s="57">
        <f t="shared" si="18"/>
        <v>980000</v>
      </c>
      <c r="H196" s="46"/>
      <c r="I196" s="156"/>
      <c r="J196" s="165"/>
      <c r="K196" s="158"/>
      <c r="L196" s="156"/>
      <c r="M196" s="57"/>
      <c r="N196" s="57"/>
    </row>
    <row r="197" spans="1:14" s="8" customFormat="1" x14ac:dyDescent="0.25">
      <c r="A197" s="222" t="s">
        <v>576</v>
      </c>
      <c r="B197" s="165" t="s">
        <v>577</v>
      </c>
      <c r="C197" s="158" t="s">
        <v>117</v>
      </c>
      <c r="D197" s="156">
        <v>42.5</v>
      </c>
      <c r="E197" s="72">
        <v>16920</v>
      </c>
      <c r="F197" s="57">
        <f t="shared" si="18"/>
        <v>719100</v>
      </c>
      <c r="H197" s="46"/>
      <c r="I197" s="156"/>
      <c r="J197" s="165"/>
      <c r="K197" s="158"/>
      <c r="L197" s="156"/>
      <c r="M197" s="57"/>
      <c r="N197" s="57"/>
    </row>
    <row r="198" spans="1:14" s="8" customFormat="1" x14ac:dyDescent="0.25">
      <c r="A198" s="222" t="s">
        <v>578</v>
      </c>
      <c r="B198" s="165" t="s">
        <v>579</v>
      </c>
      <c r="C198" s="158" t="s">
        <v>117</v>
      </c>
      <c r="D198" s="156">
        <v>43</v>
      </c>
      <c r="E198" s="72">
        <v>18000</v>
      </c>
      <c r="F198" s="57">
        <f t="shared" si="18"/>
        <v>774000</v>
      </c>
      <c r="H198" s="46"/>
      <c r="I198" s="156"/>
      <c r="J198" s="165"/>
      <c r="K198" s="158"/>
      <c r="L198" s="156"/>
      <c r="M198" s="57"/>
      <c r="N198" s="57"/>
    </row>
    <row r="199" spans="1:14" s="8" customFormat="1" x14ac:dyDescent="0.25">
      <c r="A199" s="222" t="s">
        <v>580</v>
      </c>
      <c r="B199" s="165" t="s">
        <v>581</v>
      </c>
      <c r="C199" s="158" t="s">
        <v>187</v>
      </c>
      <c r="D199" s="156">
        <v>15</v>
      </c>
      <c r="E199" s="72">
        <v>17200</v>
      </c>
      <c r="F199" s="57">
        <f t="shared" si="18"/>
        <v>258000</v>
      </c>
      <c r="H199" s="46"/>
      <c r="I199" s="156"/>
      <c r="J199" s="157"/>
      <c r="K199" s="158"/>
      <c r="L199" s="156"/>
      <c r="M199" s="57"/>
      <c r="N199" s="57"/>
    </row>
    <row r="200" spans="1:14" s="8" customFormat="1" x14ac:dyDescent="0.25">
      <c r="A200" s="222"/>
      <c r="B200" s="160" t="s">
        <v>582</v>
      </c>
      <c r="C200" s="158"/>
      <c r="D200" s="156"/>
      <c r="E200" s="72"/>
      <c r="F200" s="57"/>
      <c r="H200" s="46"/>
      <c r="I200" s="156"/>
      <c r="J200" s="160"/>
      <c r="K200" s="158"/>
      <c r="L200" s="156"/>
      <c r="M200" s="57"/>
      <c r="N200" s="57"/>
    </row>
    <row r="201" spans="1:14" s="8" customFormat="1" x14ac:dyDescent="0.25">
      <c r="A201" s="222" t="s">
        <v>583</v>
      </c>
      <c r="B201" s="165" t="s">
        <v>584</v>
      </c>
      <c r="C201" s="158" t="s">
        <v>187</v>
      </c>
      <c r="D201" s="156">
        <v>6</v>
      </c>
      <c r="E201" s="72">
        <v>13150</v>
      </c>
      <c r="F201" s="57">
        <f t="shared" si="18"/>
        <v>78900</v>
      </c>
      <c r="H201" s="46"/>
      <c r="I201" s="156"/>
      <c r="J201" s="165"/>
      <c r="K201" s="158"/>
      <c r="L201" s="156"/>
      <c r="M201" s="57"/>
      <c r="N201" s="57"/>
    </row>
    <row r="202" spans="1:14" s="8" customFormat="1" x14ac:dyDescent="0.25">
      <c r="A202" s="222" t="s">
        <v>585</v>
      </c>
      <c r="B202" s="165" t="s">
        <v>586</v>
      </c>
      <c r="C202" s="158" t="s">
        <v>187</v>
      </c>
      <c r="D202" s="156">
        <v>3</v>
      </c>
      <c r="E202" s="72">
        <v>48950</v>
      </c>
      <c r="F202" s="57">
        <f t="shared" si="18"/>
        <v>146850</v>
      </c>
      <c r="H202" s="46"/>
      <c r="I202" s="156"/>
      <c r="J202" s="165"/>
      <c r="K202" s="158"/>
      <c r="L202" s="156"/>
      <c r="M202" s="57"/>
      <c r="N202" s="57"/>
    </row>
    <row r="203" spans="1:14" s="8" customFormat="1" x14ac:dyDescent="0.25">
      <c r="A203" s="222" t="s">
        <v>587</v>
      </c>
      <c r="B203" s="165" t="s">
        <v>588</v>
      </c>
      <c r="C203" s="158" t="s">
        <v>187</v>
      </c>
      <c r="D203" s="156">
        <v>11</v>
      </c>
      <c r="E203" s="72">
        <v>48950</v>
      </c>
      <c r="F203" s="57">
        <f t="shared" si="18"/>
        <v>538450</v>
      </c>
      <c r="H203" s="46"/>
      <c r="I203" s="156"/>
      <c r="J203" s="165"/>
      <c r="K203" s="158"/>
      <c r="L203" s="156"/>
      <c r="M203" s="57"/>
      <c r="N203" s="57"/>
    </row>
    <row r="204" spans="1:14" s="8" customFormat="1" x14ac:dyDescent="0.25">
      <c r="A204" s="222" t="s">
        <v>589</v>
      </c>
      <c r="B204" s="165" t="s">
        <v>590</v>
      </c>
      <c r="C204" s="158" t="s">
        <v>224</v>
      </c>
      <c r="D204" s="156">
        <v>14</v>
      </c>
      <c r="E204" s="72">
        <v>16721.399999999998</v>
      </c>
      <c r="F204" s="57">
        <f t="shared" si="18"/>
        <v>234100</v>
      </c>
      <c r="H204" s="46"/>
      <c r="I204" s="156"/>
      <c r="J204" s="165"/>
      <c r="K204" s="158"/>
      <c r="L204" s="156"/>
      <c r="M204" s="57"/>
      <c r="N204" s="57"/>
    </row>
    <row r="205" spans="1:14" s="8" customFormat="1" x14ac:dyDescent="0.25">
      <c r="A205" s="222" t="s">
        <v>591</v>
      </c>
      <c r="B205" s="165" t="s">
        <v>592</v>
      </c>
      <c r="C205" s="158" t="s">
        <v>224</v>
      </c>
      <c r="D205" s="156">
        <v>4</v>
      </c>
      <c r="E205" s="72">
        <v>11861</v>
      </c>
      <c r="F205" s="57">
        <f t="shared" si="18"/>
        <v>47444</v>
      </c>
      <c r="H205" s="46"/>
      <c r="I205" s="156"/>
      <c r="J205" s="157"/>
      <c r="K205" s="158"/>
      <c r="L205" s="156"/>
      <c r="M205" s="57"/>
      <c r="N205" s="57"/>
    </row>
    <row r="206" spans="1:14" s="8" customFormat="1" x14ac:dyDescent="0.25">
      <c r="A206" s="222" t="s">
        <v>593</v>
      </c>
      <c r="B206" s="157" t="s">
        <v>594</v>
      </c>
      <c r="C206" s="158" t="s">
        <v>224</v>
      </c>
      <c r="D206" s="156">
        <v>9</v>
      </c>
      <c r="E206" s="72">
        <v>16721.399999999998</v>
      </c>
      <c r="F206" s="57">
        <f t="shared" si="18"/>
        <v>150493</v>
      </c>
      <c r="H206" s="46"/>
      <c r="I206" s="156"/>
      <c r="J206" s="165"/>
      <c r="K206" s="158"/>
      <c r="L206" s="156"/>
      <c r="M206" s="57"/>
      <c r="N206" s="57"/>
    </row>
    <row r="207" spans="1:14" s="8" customFormat="1" x14ac:dyDescent="0.25">
      <c r="A207" s="222" t="s">
        <v>595</v>
      </c>
      <c r="B207" s="157" t="s">
        <v>596</v>
      </c>
      <c r="C207" s="158" t="s">
        <v>224</v>
      </c>
      <c r="D207" s="156">
        <v>6</v>
      </c>
      <c r="E207" s="72">
        <v>11861</v>
      </c>
      <c r="F207" s="57">
        <f t="shared" si="18"/>
        <v>71166</v>
      </c>
      <c r="H207" s="46"/>
      <c r="I207" s="156"/>
      <c r="J207" s="165"/>
      <c r="K207" s="158"/>
      <c r="L207" s="156"/>
      <c r="M207" s="57"/>
      <c r="N207" s="57"/>
    </row>
    <row r="208" spans="1:14" s="8" customFormat="1" ht="27.6" x14ac:dyDescent="0.25">
      <c r="A208" s="222" t="s">
        <v>597</v>
      </c>
      <c r="B208" s="157" t="s">
        <v>553</v>
      </c>
      <c r="C208" s="158" t="s">
        <v>224</v>
      </c>
      <c r="D208" s="156">
        <v>26</v>
      </c>
      <c r="E208" s="72">
        <v>30283.234919999995</v>
      </c>
      <c r="F208" s="57">
        <f t="shared" si="18"/>
        <v>787364</v>
      </c>
      <c r="H208" s="46"/>
      <c r="I208" s="156"/>
      <c r="J208" s="165"/>
      <c r="K208" s="158"/>
      <c r="L208" s="156"/>
      <c r="M208" s="57"/>
      <c r="N208" s="57"/>
    </row>
    <row r="209" spans="1:14" s="8" customFormat="1" ht="27.6" x14ac:dyDescent="0.25">
      <c r="A209" s="222" t="s">
        <v>598</v>
      </c>
      <c r="B209" s="157" t="s">
        <v>599</v>
      </c>
      <c r="C209" s="158" t="s">
        <v>224</v>
      </c>
      <c r="D209" s="156">
        <v>15</v>
      </c>
      <c r="E209" s="72">
        <v>17592.943959999997</v>
      </c>
      <c r="F209" s="57">
        <f t="shared" si="18"/>
        <v>263894</v>
      </c>
      <c r="H209" s="46"/>
      <c r="I209" s="156"/>
      <c r="J209" s="165"/>
      <c r="K209" s="158"/>
      <c r="L209" s="156"/>
      <c r="M209" s="57"/>
      <c r="N209" s="57"/>
    </row>
    <row r="210" spans="1:14" s="8" customFormat="1" x14ac:dyDescent="0.25">
      <c r="A210" s="222" t="s">
        <v>600</v>
      </c>
      <c r="B210" s="165" t="s">
        <v>567</v>
      </c>
      <c r="C210" s="158" t="s">
        <v>187</v>
      </c>
      <c r="D210" s="156">
        <v>3</v>
      </c>
      <c r="E210" s="72">
        <v>294550</v>
      </c>
      <c r="F210" s="57">
        <f t="shared" si="18"/>
        <v>883650</v>
      </c>
      <c r="H210" s="46"/>
      <c r="I210" s="156"/>
      <c r="J210" s="165"/>
      <c r="K210" s="158"/>
      <c r="L210" s="156"/>
      <c r="M210" s="57"/>
      <c r="N210" s="57"/>
    </row>
    <row r="211" spans="1:14" s="8" customFormat="1" x14ac:dyDescent="0.25">
      <c r="A211" s="222" t="s">
        <v>601</v>
      </c>
      <c r="B211" s="165" t="s">
        <v>569</v>
      </c>
      <c r="C211" s="158" t="s">
        <v>187</v>
      </c>
      <c r="D211" s="156">
        <v>1</v>
      </c>
      <c r="E211" s="72">
        <v>320000</v>
      </c>
      <c r="F211" s="57">
        <f t="shared" si="18"/>
        <v>320000</v>
      </c>
      <c r="H211" s="46"/>
      <c r="I211" s="156"/>
      <c r="J211" s="165"/>
      <c r="K211" s="158"/>
      <c r="L211" s="156"/>
      <c r="M211" s="57"/>
      <c r="N211" s="57"/>
    </row>
    <row r="212" spans="1:14" s="8" customFormat="1" x14ac:dyDescent="0.25">
      <c r="A212" s="222" t="s">
        <v>602</v>
      </c>
      <c r="B212" s="165" t="s">
        <v>581</v>
      </c>
      <c r="C212" s="158" t="s">
        <v>187</v>
      </c>
      <c r="D212" s="156">
        <v>12</v>
      </c>
      <c r="E212" s="72">
        <v>17200</v>
      </c>
      <c r="F212" s="57">
        <f t="shared" si="18"/>
        <v>206400</v>
      </c>
      <c r="H212" s="46"/>
      <c r="I212" s="156"/>
      <c r="J212" s="165"/>
      <c r="K212" s="158"/>
      <c r="L212" s="156"/>
      <c r="M212" s="57"/>
      <c r="N212" s="57"/>
    </row>
    <row r="213" spans="1:14" x14ac:dyDescent="0.25">
      <c r="A213" s="222"/>
      <c r="B213" s="160" t="s">
        <v>603</v>
      </c>
      <c r="C213" s="158"/>
      <c r="D213" s="156"/>
      <c r="E213" s="57"/>
      <c r="F213" s="57"/>
      <c r="H213" s="4"/>
      <c r="I213" s="156"/>
      <c r="J213" s="165"/>
      <c r="K213" s="158"/>
      <c r="L213" s="156"/>
      <c r="M213" s="57"/>
      <c r="N213" s="57"/>
    </row>
    <row r="214" spans="1:14" s="8" customFormat="1" x14ac:dyDescent="0.25">
      <c r="A214" s="222" t="s">
        <v>604</v>
      </c>
      <c r="B214" s="157" t="s">
        <v>605</v>
      </c>
      <c r="C214" s="158" t="s">
        <v>187</v>
      </c>
      <c r="D214" s="156">
        <v>9</v>
      </c>
      <c r="E214" s="72">
        <v>253884</v>
      </c>
      <c r="F214" s="57">
        <f t="shared" si="18"/>
        <v>2284956</v>
      </c>
      <c r="H214" s="46"/>
      <c r="I214" s="156"/>
      <c r="J214" s="157"/>
      <c r="K214" s="158"/>
      <c r="L214" s="156"/>
      <c r="M214" s="57"/>
      <c r="N214" s="57"/>
    </row>
    <row r="215" spans="1:14" s="8" customFormat="1" x14ac:dyDescent="0.25">
      <c r="A215" s="222" t="s">
        <v>606</v>
      </c>
      <c r="B215" s="157" t="s">
        <v>607</v>
      </c>
      <c r="C215" s="158" t="s">
        <v>187</v>
      </c>
      <c r="D215" s="156">
        <v>5</v>
      </c>
      <c r="E215" s="72">
        <v>387500</v>
      </c>
      <c r="F215" s="57">
        <f t="shared" si="18"/>
        <v>1937500</v>
      </c>
      <c r="H215" s="46"/>
      <c r="I215" s="156"/>
      <c r="J215" s="157"/>
      <c r="K215" s="158"/>
      <c r="L215" s="156"/>
      <c r="M215" s="57"/>
      <c r="N215" s="57"/>
    </row>
    <row r="216" spans="1:14" s="8" customFormat="1" ht="27.6" x14ac:dyDescent="0.25">
      <c r="A216" s="222" t="s">
        <v>608</v>
      </c>
      <c r="B216" s="157" t="s">
        <v>609</v>
      </c>
      <c r="C216" s="158" t="s">
        <v>187</v>
      </c>
      <c r="D216" s="156">
        <v>4</v>
      </c>
      <c r="E216" s="72">
        <v>687000</v>
      </c>
      <c r="F216" s="57">
        <f t="shared" si="18"/>
        <v>2748000</v>
      </c>
      <c r="H216" s="46"/>
      <c r="I216" s="156"/>
      <c r="J216" s="160"/>
      <c r="K216" s="158"/>
      <c r="L216" s="156"/>
      <c r="M216" s="57"/>
      <c r="N216" s="57"/>
    </row>
    <row r="217" spans="1:14" s="8" customFormat="1" ht="27.6" x14ac:dyDescent="0.25">
      <c r="A217" s="222" t="s">
        <v>610</v>
      </c>
      <c r="B217" s="157" t="s">
        <v>611</v>
      </c>
      <c r="C217" s="158" t="s">
        <v>187</v>
      </c>
      <c r="D217" s="156">
        <v>4</v>
      </c>
      <c r="E217" s="72">
        <v>585000</v>
      </c>
      <c r="F217" s="57">
        <f t="shared" si="18"/>
        <v>2340000</v>
      </c>
      <c r="H217" s="46"/>
      <c r="I217" s="156"/>
      <c r="J217" s="165"/>
      <c r="K217" s="158"/>
      <c r="L217" s="156"/>
      <c r="M217" s="57"/>
      <c r="N217" s="57"/>
    </row>
    <row r="218" spans="1:14" s="8" customFormat="1" x14ac:dyDescent="0.25">
      <c r="A218" s="222" t="s">
        <v>612</v>
      </c>
      <c r="B218" s="157" t="s">
        <v>613</v>
      </c>
      <c r="C218" s="158" t="s">
        <v>187</v>
      </c>
      <c r="D218" s="156">
        <v>3</v>
      </c>
      <c r="E218" s="72">
        <v>750000</v>
      </c>
      <c r="F218" s="57">
        <f t="shared" si="18"/>
        <v>2250000</v>
      </c>
      <c r="H218" s="46"/>
      <c r="I218" s="156"/>
      <c r="J218" s="165"/>
      <c r="K218" s="158"/>
      <c r="L218" s="156"/>
      <c r="M218" s="57"/>
      <c r="N218" s="57"/>
    </row>
    <row r="219" spans="1:14" s="8" customFormat="1" x14ac:dyDescent="0.25">
      <c r="A219" s="222" t="s">
        <v>614</v>
      </c>
      <c r="B219" s="165" t="s">
        <v>615</v>
      </c>
      <c r="C219" s="158" t="s">
        <v>187</v>
      </c>
      <c r="D219" s="156">
        <v>1</v>
      </c>
      <c r="E219" s="72">
        <v>685000</v>
      </c>
      <c r="F219" s="57">
        <f t="shared" si="18"/>
        <v>685000</v>
      </c>
      <c r="H219" s="46"/>
      <c r="I219" s="156"/>
      <c r="J219" s="157"/>
      <c r="K219" s="158"/>
      <c r="L219" s="156"/>
      <c r="M219" s="57"/>
      <c r="N219" s="57"/>
    </row>
    <row r="220" spans="1:14" s="8" customFormat="1" x14ac:dyDescent="0.25">
      <c r="A220" s="222" t="s">
        <v>616</v>
      </c>
      <c r="B220" s="157" t="s">
        <v>617</v>
      </c>
      <c r="C220" s="158" t="s">
        <v>187</v>
      </c>
      <c r="D220" s="156">
        <v>1</v>
      </c>
      <c r="E220" s="72">
        <v>496000</v>
      </c>
      <c r="F220" s="57">
        <f t="shared" si="18"/>
        <v>496000</v>
      </c>
      <c r="H220" s="46"/>
      <c r="I220" s="156"/>
      <c r="J220" s="165"/>
      <c r="K220" s="158"/>
      <c r="L220" s="156"/>
      <c r="M220" s="57"/>
      <c r="N220" s="57"/>
    </row>
    <row r="221" spans="1:14" s="8" customFormat="1" ht="27.6" x14ac:dyDescent="0.25">
      <c r="A221" s="222" t="s">
        <v>618</v>
      </c>
      <c r="B221" s="157" t="s">
        <v>619</v>
      </c>
      <c r="C221" s="158" t="s">
        <v>224</v>
      </c>
      <c r="D221" s="156">
        <v>2.5</v>
      </c>
      <c r="E221" s="72">
        <v>480000</v>
      </c>
      <c r="F221" s="57">
        <f t="shared" si="18"/>
        <v>1200000</v>
      </c>
      <c r="H221" s="46"/>
      <c r="I221" s="156"/>
      <c r="J221" s="165"/>
      <c r="K221" s="158"/>
      <c r="L221" s="156"/>
      <c r="M221" s="57"/>
      <c r="N221" s="57"/>
    </row>
    <row r="222" spans="1:14" s="8" customFormat="1" ht="41.4" x14ac:dyDescent="0.25">
      <c r="A222" s="222" t="s">
        <v>620</v>
      </c>
      <c r="B222" s="157" t="s">
        <v>621</v>
      </c>
      <c r="C222" s="158" t="s">
        <v>228</v>
      </c>
      <c r="D222" s="156">
        <v>9.1499999999999986</v>
      </c>
      <c r="E222" s="72">
        <v>595000</v>
      </c>
      <c r="F222" s="57">
        <f t="shared" si="18"/>
        <v>5444250</v>
      </c>
      <c r="H222" s="46"/>
      <c r="I222" s="156"/>
      <c r="J222" s="165"/>
      <c r="K222" s="158"/>
      <c r="L222" s="156"/>
      <c r="M222" s="57"/>
      <c r="N222" s="57"/>
    </row>
    <row r="223" spans="1:14" s="8" customFormat="1" x14ac:dyDescent="0.25">
      <c r="A223" s="74"/>
      <c r="B223" s="69"/>
      <c r="C223" s="70"/>
      <c r="D223" s="71"/>
      <c r="E223" s="72"/>
      <c r="F223" s="73"/>
      <c r="H223" s="46"/>
      <c r="I223" s="156"/>
      <c r="J223" s="171"/>
      <c r="K223" s="158"/>
      <c r="L223" s="156"/>
      <c r="M223" s="57"/>
      <c r="N223" s="57"/>
    </row>
    <row r="224" spans="1:14" s="9" customFormat="1" x14ac:dyDescent="0.25">
      <c r="A224" s="53" t="s">
        <v>622</v>
      </c>
      <c r="B224" s="75"/>
      <c r="C224" s="76"/>
      <c r="D224" s="76"/>
      <c r="E224" s="77"/>
      <c r="F224" s="78"/>
      <c r="H224" s="46"/>
      <c r="I224" s="156"/>
      <c r="J224" s="157"/>
      <c r="K224" s="158"/>
      <c r="L224" s="156"/>
      <c r="M224" s="57"/>
      <c r="N224" s="57"/>
    </row>
    <row r="225" spans="1:14" x14ac:dyDescent="0.25">
      <c r="A225" s="222"/>
      <c r="B225" s="243" t="s">
        <v>623</v>
      </c>
      <c r="C225" s="224"/>
      <c r="D225" s="222"/>
      <c r="E225" s="225"/>
      <c r="F225" s="225"/>
      <c r="I225" s="156"/>
      <c r="J225" s="157"/>
      <c r="K225" s="158"/>
      <c r="L225" s="156"/>
      <c r="M225" s="57"/>
      <c r="N225" s="57"/>
    </row>
    <row r="226" spans="1:14" ht="41.4" x14ac:dyDescent="0.25">
      <c r="A226" s="222" t="s">
        <v>624</v>
      </c>
      <c r="B226" s="223" t="s">
        <v>625</v>
      </c>
      <c r="C226" s="224" t="s">
        <v>195</v>
      </c>
      <c r="D226" s="222">
        <v>96</v>
      </c>
      <c r="E226" s="225">
        <f>+'APU´S ELECTRICOS'!F25</f>
        <v>126981</v>
      </c>
      <c r="F226" s="225">
        <f t="shared" ref="F226:F276" si="19">ROUND(D226*E226,0)</f>
        <v>12190176</v>
      </c>
      <c r="H226" s="45">
        <v>126981</v>
      </c>
      <c r="I226" s="156"/>
      <c r="J226" s="157"/>
      <c r="K226" s="158"/>
      <c r="L226" s="156"/>
      <c r="M226" s="57"/>
      <c r="N226" s="57"/>
    </row>
    <row r="227" spans="1:14" ht="55.2" x14ac:dyDescent="0.25">
      <c r="A227" s="222" t="s">
        <v>626</v>
      </c>
      <c r="B227" s="223" t="s">
        <v>627</v>
      </c>
      <c r="C227" s="224" t="s">
        <v>195</v>
      </c>
      <c r="D227" s="222">
        <v>63</v>
      </c>
      <c r="E227" s="225">
        <f>+'APU´S ELECTRICOS'!F40</f>
        <v>110046</v>
      </c>
      <c r="F227" s="225">
        <f t="shared" si="19"/>
        <v>6932898</v>
      </c>
      <c r="H227" s="45">
        <v>110046</v>
      </c>
      <c r="I227" s="156"/>
      <c r="J227" s="157"/>
      <c r="K227" s="158"/>
      <c r="L227" s="156"/>
      <c r="M227" s="57"/>
      <c r="N227" s="57"/>
    </row>
    <row r="228" spans="1:14" ht="55.2" x14ac:dyDescent="0.25">
      <c r="A228" s="222" t="s">
        <v>628</v>
      </c>
      <c r="B228" s="223" t="s">
        <v>629</v>
      </c>
      <c r="C228" s="224" t="s">
        <v>195</v>
      </c>
      <c r="D228" s="222">
        <v>14</v>
      </c>
      <c r="E228" s="225">
        <f>+'APU´S ELECTRICOS'!F55</f>
        <v>145746</v>
      </c>
      <c r="F228" s="225">
        <f t="shared" si="19"/>
        <v>2040444</v>
      </c>
      <c r="H228" s="45">
        <v>145746</v>
      </c>
      <c r="I228" s="156"/>
      <c r="J228" s="157"/>
      <c r="K228" s="158"/>
      <c r="L228" s="156"/>
      <c r="M228" s="57"/>
      <c r="N228" s="57"/>
    </row>
    <row r="229" spans="1:14" ht="55.2" x14ac:dyDescent="0.25">
      <c r="A229" s="222" t="s">
        <v>630</v>
      </c>
      <c r="B229" s="223" t="s">
        <v>631</v>
      </c>
      <c r="C229" s="224" t="s">
        <v>195</v>
      </c>
      <c r="D229" s="222">
        <v>14</v>
      </c>
      <c r="E229" s="225">
        <f>+'APU´S ELECTRICOS'!F70</f>
        <v>113616</v>
      </c>
      <c r="F229" s="225">
        <f t="shared" si="19"/>
        <v>1590624</v>
      </c>
      <c r="H229" s="45">
        <v>113616</v>
      </c>
      <c r="I229" s="156"/>
      <c r="J229" s="171"/>
      <c r="K229" s="158"/>
      <c r="L229" s="156"/>
      <c r="M229" s="57"/>
      <c r="N229" s="57"/>
    </row>
    <row r="230" spans="1:14" ht="27.6" x14ac:dyDescent="0.25">
      <c r="A230" s="222" t="s">
        <v>632</v>
      </c>
      <c r="B230" s="223" t="s">
        <v>633</v>
      </c>
      <c r="C230" s="224" t="s">
        <v>195</v>
      </c>
      <c r="D230" s="222">
        <v>8</v>
      </c>
      <c r="E230" s="225">
        <f>+'APU´S ELECTRICOS'!F82</f>
        <v>41585</v>
      </c>
      <c r="F230" s="225">
        <f t="shared" si="19"/>
        <v>332680</v>
      </c>
      <c r="H230" s="45">
        <v>41585</v>
      </c>
      <c r="I230" s="156"/>
      <c r="J230" s="157"/>
      <c r="K230" s="158"/>
      <c r="L230" s="156"/>
      <c r="M230" s="57"/>
      <c r="N230" s="57"/>
    </row>
    <row r="231" spans="1:14" ht="55.2" x14ac:dyDescent="0.25">
      <c r="A231" s="222" t="s">
        <v>634</v>
      </c>
      <c r="B231" s="223" t="s">
        <v>635</v>
      </c>
      <c r="C231" s="224" t="s">
        <v>195</v>
      </c>
      <c r="D231" s="222">
        <v>19</v>
      </c>
      <c r="E231" s="225">
        <f>+'APU´S ELECTRICOS'!F97</f>
        <v>119930</v>
      </c>
      <c r="F231" s="225">
        <f t="shared" si="19"/>
        <v>2278670</v>
      </c>
      <c r="H231" s="45">
        <v>119930</v>
      </c>
      <c r="I231" s="156"/>
      <c r="J231" s="157"/>
      <c r="K231" s="158"/>
      <c r="L231" s="156"/>
      <c r="M231" s="57"/>
      <c r="N231" s="57"/>
    </row>
    <row r="232" spans="1:14" ht="55.2" x14ac:dyDescent="0.25">
      <c r="A232" s="222" t="s">
        <v>636</v>
      </c>
      <c r="B232" s="223" t="s">
        <v>637</v>
      </c>
      <c r="C232" s="224" t="s">
        <v>195</v>
      </c>
      <c r="D232" s="222">
        <v>6</v>
      </c>
      <c r="E232" s="225">
        <f>+'APU´S ELECTRICOS'!F112</f>
        <v>130638</v>
      </c>
      <c r="F232" s="225">
        <f t="shared" si="19"/>
        <v>783828</v>
      </c>
      <c r="H232" s="45">
        <v>130638</v>
      </c>
      <c r="I232" s="156"/>
      <c r="J232" s="157"/>
      <c r="K232" s="158"/>
      <c r="L232" s="156"/>
      <c r="M232" s="57"/>
      <c r="N232" s="57"/>
    </row>
    <row r="233" spans="1:14" ht="55.2" x14ac:dyDescent="0.25">
      <c r="A233" s="222" t="s">
        <v>638</v>
      </c>
      <c r="B233" s="223" t="s">
        <v>639</v>
      </c>
      <c r="C233" s="224" t="s">
        <v>195</v>
      </c>
      <c r="D233" s="222">
        <v>14</v>
      </c>
      <c r="E233" s="225">
        <f>+'APU´S ELECTRICOS'!F127</f>
        <v>152054</v>
      </c>
      <c r="F233" s="225">
        <f t="shared" si="19"/>
        <v>2128756</v>
      </c>
      <c r="H233" s="45">
        <v>152054</v>
      </c>
      <c r="I233" s="156"/>
      <c r="J233" s="157"/>
      <c r="K233" s="158"/>
      <c r="L233" s="156"/>
      <c r="M233" s="57"/>
      <c r="N233" s="57"/>
    </row>
    <row r="234" spans="1:14" x14ac:dyDescent="0.25">
      <c r="A234" s="222"/>
      <c r="B234" s="243" t="s">
        <v>640</v>
      </c>
      <c r="C234" s="224"/>
      <c r="D234" s="222"/>
      <c r="E234" s="225"/>
      <c r="F234" s="225"/>
      <c r="I234" s="156"/>
      <c r="J234" s="157"/>
      <c r="K234" s="158"/>
      <c r="L234" s="156"/>
      <c r="M234" s="57"/>
      <c r="N234" s="57"/>
    </row>
    <row r="235" spans="1:14" ht="27.6" x14ac:dyDescent="0.25">
      <c r="A235" s="222" t="s">
        <v>641</v>
      </c>
      <c r="B235" s="223" t="s">
        <v>642</v>
      </c>
      <c r="C235" s="224" t="s">
        <v>195</v>
      </c>
      <c r="D235" s="222">
        <v>50</v>
      </c>
      <c r="E235" s="225">
        <f>+'APU´S ELECTRICOS'!F138</f>
        <v>169691</v>
      </c>
      <c r="F235" s="225">
        <f t="shared" si="19"/>
        <v>8484550</v>
      </c>
      <c r="H235" s="45">
        <v>169691</v>
      </c>
      <c r="I235" s="156"/>
      <c r="J235" s="157"/>
      <c r="K235" s="158"/>
      <c r="L235" s="156"/>
      <c r="M235" s="57"/>
      <c r="N235" s="57"/>
    </row>
    <row r="236" spans="1:14" ht="27.6" x14ac:dyDescent="0.25">
      <c r="A236" s="244" t="s">
        <v>643</v>
      </c>
      <c r="B236" s="223" t="s">
        <v>644</v>
      </c>
      <c r="C236" s="224" t="s">
        <v>195</v>
      </c>
      <c r="D236" s="222">
        <v>10</v>
      </c>
      <c r="E236" s="225">
        <f>+'APU´S ELECTRICOS'!F149</f>
        <v>64895</v>
      </c>
      <c r="F236" s="225">
        <f t="shared" si="19"/>
        <v>648950</v>
      </c>
      <c r="H236" s="45">
        <v>64895</v>
      </c>
      <c r="I236" s="156"/>
      <c r="J236" s="157"/>
      <c r="K236" s="158"/>
      <c r="L236" s="156"/>
      <c r="M236" s="57"/>
      <c r="N236" s="57"/>
    </row>
    <row r="237" spans="1:14" ht="27.6" x14ac:dyDescent="0.25">
      <c r="A237" s="222" t="s">
        <v>645</v>
      </c>
      <c r="B237" s="223" t="s">
        <v>646</v>
      </c>
      <c r="C237" s="224" t="s">
        <v>195</v>
      </c>
      <c r="D237" s="222">
        <v>30</v>
      </c>
      <c r="E237" s="225">
        <f>+'APU´S ELECTRICOS'!F160</f>
        <v>55000</v>
      </c>
      <c r="F237" s="225">
        <f t="shared" si="19"/>
        <v>1650000</v>
      </c>
      <c r="H237" s="45">
        <v>55000</v>
      </c>
      <c r="I237" s="156"/>
      <c r="J237" s="171"/>
      <c r="K237" s="158"/>
      <c r="L237" s="156"/>
      <c r="M237" s="57"/>
      <c r="N237" s="57"/>
    </row>
    <row r="238" spans="1:14" ht="27.6" x14ac:dyDescent="0.25">
      <c r="A238" s="244" t="s">
        <v>647</v>
      </c>
      <c r="B238" s="223" t="s">
        <v>648</v>
      </c>
      <c r="C238" s="224" t="s">
        <v>195</v>
      </c>
      <c r="D238" s="222">
        <v>6</v>
      </c>
      <c r="E238" s="225">
        <f>+'APU´S ELECTRICOS'!F171</f>
        <v>492980</v>
      </c>
      <c r="F238" s="225">
        <f t="shared" si="19"/>
        <v>2957880</v>
      </c>
      <c r="H238" s="45">
        <v>492980</v>
      </c>
      <c r="I238" s="156"/>
      <c r="J238" s="157"/>
      <c r="K238" s="158"/>
      <c r="L238" s="156"/>
      <c r="M238" s="57"/>
      <c r="N238" s="57"/>
    </row>
    <row r="239" spans="1:14" ht="27.6" x14ac:dyDescent="0.25">
      <c r="A239" s="222" t="s">
        <v>649</v>
      </c>
      <c r="B239" s="223" t="s">
        <v>650</v>
      </c>
      <c r="C239" s="224" t="s">
        <v>195</v>
      </c>
      <c r="D239" s="222">
        <v>6</v>
      </c>
      <c r="E239" s="225">
        <f>+'APU´S ELECTRICOS'!F182</f>
        <v>171791</v>
      </c>
      <c r="F239" s="225">
        <f t="shared" si="19"/>
        <v>1030746</v>
      </c>
      <c r="H239" s="45">
        <v>171791</v>
      </c>
      <c r="I239" s="156"/>
      <c r="J239" s="157"/>
      <c r="K239" s="158"/>
      <c r="L239" s="156"/>
      <c r="M239" s="57"/>
      <c r="N239" s="57"/>
    </row>
    <row r="240" spans="1:14" ht="27.6" x14ac:dyDescent="0.25">
      <c r="A240" s="244" t="s">
        <v>651</v>
      </c>
      <c r="B240" s="223" t="s">
        <v>652</v>
      </c>
      <c r="C240" s="224" t="s">
        <v>195</v>
      </c>
      <c r="D240" s="222">
        <v>10</v>
      </c>
      <c r="E240" s="225">
        <f>+'APU´S ELECTRICOS'!F193</f>
        <v>159791</v>
      </c>
      <c r="F240" s="225">
        <f t="shared" si="19"/>
        <v>1597910</v>
      </c>
      <c r="H240" s="45">
        <v>159791</v>
      </c>
      <c r="I240" s="156"/>
      <c r="J240" s="157"/>
      <c r="K240" s="158"/>
      <c r="L240" s="156"/>
      <c r="M240" s="57"/>
      <c r="N240" s="57"/>
    </row>
    <row r="241" spans="1:14" x14ac:dyDescent="0.25">
      <c r="A241" s="222"/>
      <c r="B241" s="243" t="s">
        <v>653</v>
      </c>
      <c r="C241" s="224"/>
      <c r="D241" s="222"/>
      <c r="E241" s="225"/>
      <c r="F241" s="225"/>
      <c r="I241" s="156"/>
      <c r="J241" s="171"/>
      <c r="K241" s="158"/>
      <c r="L241" s="156"/>
      <c r="M241" s="57"/>
      <c r="N241" s="57"/>
    </row>
    <row r="242" spans="1:14" x14ac:dyDescent="0.25">
      <c r="A242" s="222" t="s">
        <v>654</v>
      </c>
      <c r="B242" s="223" t="s">
        <v>655</v>
      </c>
      <c r="C242" s="224" t="s">
        <v>50</v>
      </c>
      <c r="D242" s="222">
        <v>80</v>
      </c>
      <c r="E242" s="225">
        <f>+'APU´S ELECTRICOS'!F203</f>
        <v>37950</v>
      </c>
      <c r="F242" s="225">
        <f t="shared" si="19"/>
        <v>3036000</v>
      </c>
      <c r="H242" s="45">
        <v>37950</v>
      </c>
      <c r="I242" s="156"/>
      <c r="J242" s="157"/>
      <c r="K242" s="158"/>
      <c r="L242" s="156"/>
      <c r="M242" s="57"/>
      <c r="N242" s="57"/>
    </row>
    <row r="243" spans="1:14" ht="41.4" x14ac:dyDescent="0.25">
      <c r="A243" s="222" t="s">
        <v>656</v>
      </c>
      <c r="B243" s="223" t="s">
        <v>657</v>
      </c>
      <c r="C243" s="224" t="s">
        <v>50</v>
      </c>
      <c r="D243" s="222">
        <v>25</v>
      </c>
      <c r="E243" s="225">
        <f>+'APU´S ELECTRICOS'!F213</f>
        <v>152972</v>
      </c>
      <c r="F243" s="225">
        <f t="shared" si="19"/>
        <v>3824300</v>
      </c>
      <c r="H243" s="45">
        <v>152972</v>
      </c>
      <c r="I243" s="156"/>
      <c r="J243" s="157"/>
      <c r="K243" s="158"/>
      <c r="L243" s="156"/>
      <c r="M243" s="57"/>
      <c r="N243" s="57"/>
    </row>
    <row r="244" spans="1:14" ht="41.4" x14ac:dyDescent="0.25">
      <c r="A244" s="222" t="s">
        <v>658</v>
      </c>
      <c r="B244" s="223" t="s">
        <v>659</v>
      </c>
      <c r="C244" s="224" t="s">
        <v>50</v>
      </c>
      <c r="D244" s="222">
        <v>40</v>
      </c>
      <c r="E244" s="225">
        <f>+'APU´S ELECTRICOS'!F224</f>
        <v>104444</v>
      </c>
      <c r="F244" s="225">
        <f t="shared" si="19"/>
        <v>4177760</v>
      </c>
      <c r="H244" s="45">
        <v>104444</v>
      </c>
      <c r="I244" s="156"/>
      <c r="J244" s="157"/>
      <c r="K244" s="158"/>
      <c r="L244" s="156"/>
      <c r="M244" s="57"/>
      <c r="N244" s="57"/>
    </row>
    <row r="245" spans="1:14" ht="41.4" x14ac:dyDescent="0.25">
      <c r="A245" s="222" t="s">
        <v>660</v>
      </c>
      <c r="B245" s="223" t="s">
        <v>661</v>
      </c>
      <c r="C245" s="224" t="s">
        <v>50</v>
      </c>
      <c r="D245" s="222">
        <v>40</v>
      </c>
      <c r="E245" s="225">
        <f>+'APU´S ELECTRICOS'!F235</f>
        <v>28148</v>
      </c>
      <c r="F245" s="225">
        <f t="shared" si="19"/>
        <v>1125920</v>
      </c>
      <c r="H245" s="45">
        <v>28148</v>
      </c>
      <c r="I245" s="156"/>
      <c r="J245" s="157"/>
      <c r="K245" s="158"/>
      <c r="L245" s="156"/>
      <c r="M245" s="57"/>
      <c r="N245" s="57"/>
    </row>
    <row r="246" spans="1:14" ht="41.4" x14ac:dyDescent="0.25">
      <c r="A246" s="222" t="s">
        <v>662</v>
      </c>
      <c r="B246" s="223" t="s">
        <v>663</v>
      </c>
      <c r="C246" s="224" t="s">
        <v>50</v>
      </c>
      <c r="D246" s="222">
        <v>300</v>
      </c>
      <c r="E246" s="225">
        <f>+'APU´S ELECTRICOS'!F245</f>
        <v>11550</v>
      </c>
      <c r="F246" s="225">
        <f t="shared" si="19"/>
        <v>3465000</v>
      </c>
      <c r="H246" s="45">
        <v>11550</v>
      </c>
      <c r="I246" s="156"/>
      <c r="J246" s="157"/>
      <c r="K246" s="158"/>
      <c r="L246" s="156"/>
      <c r="M246" s="57"/>
      <c r="N246" s="57"/>
    </row>
    <row r="247" spans="1:14" x14ac:dyDescent="0.25">
      <c r="A247" s="222"/>
      <c r="B247" s="243" t="s">
        <v>664</v>
      </c>
      <c r="C247" s="224"/>
      <c r="D247" s="222"/>
      <c r="E247" s="225"/>
      <c r="F247" s="225">
        <f t="shared" si="19"/>
        <v>0</v>
      </c>
      <c r="I247" s="156"/>
      <c r="J247" s="171"/>
      <c r="K247" s="158"/>
      <c r="L247" s="156"/>
      <c r="M247" s="57"/>
      <c r="N247" s="57"/>
    </row>
    <row r="248" spans="1:14" ht="27.6" x14ac:dyDescent="0.25">
      <c r="A248" s="222" t="s">
        <v>665</v>
      </c>
      <c r="B248" s="223" t="s">
        <v>666</v>
      </c>
      <c r="C248" s="224" t="s">
        <v>50</v>
      </c>
      <c r="D248" s="222">
        <v>25</v>
      </c>
      <c r="E248" s="225">
        <f>+'APU´S ELECTRICOS'!F255</f>
        <v>27051</v>
      </c>
      <c r="F248" s="225">
        <f t="shared" si="19"/>
        <v>676275</v>
      </c>
      <c r="H248" s="45">
        <v>27051</v>
      </c>
      <c r="I248" s="156"/>
      <c r="J248" s="157"/>
      <c r="K248" s="158"/>
      <c r="L248" s="156"/>
      <c r="M248" s="57"/>
      <c r="N248" s="57"/>
    </row>
    <row r="249" spans="1:14" ht="27.6" x14ac:dyDescent="0.25">
      <c r="A249" s="222" t="s">
        <v>667</v>
      </c>
      <c r="B249" s="223" t="s">
        <v>668</v>
      </c>
      <c r="C249" s="224" t="s">
        <v>50</v>
      </c>
      <c r="D249" s="222">
        <v>70</v>
      </c>
      <c r="E249" s="225">
        <f>+'APU´S ELECTRICOS'!F265</f>
        <v>13285</v>
      </c>
      <c r="F249" s="225">
        <f t="shared" si="19"/>
        <v>929950</v>
      </c>
      <c r="H249" s="45">
        <v>13285</v>
      </c>
      <c r="I249" s="156"/>
      <c r="J249" s="157"/>
      <c r="K249" s="158"/>
      <c r="L249" s="156"/>
      <c r="M249" s="57"/>
      <c r="N249" s="57"/>
    </row>
    <row r="250" spans="1:14" ht="27.6" x14ac:dyDescent="0.25">
      <c r="A250" s="222" t="s">
        <v>669</v>
      </c>
      <c r="B250" s="223" t="s">
        <v>670</v>
      </c>
      <c r="C250" s="224" t="s">
        <v>50</v>
      </c>
      <c r="D250" s="222">
        <v>20</v>
      </c>
      <c r="E250" s="225">
        <f>+'APU´S ELECTRICOS'!F276</f>
        <v>23103</v>
      </c>
      <c r="F250" s="225">
        <f t="shared" si="19"/>
        <v>462060</v>
      </c>
      <c r="H250" s="45">
        <v>23103</v>
      </c>
      <c r="I250" s="156"/>
      <c r="J250" s="157"/>
      <c r="K250" s="158"/>
      <c r="L250" s="156"/>
      <c r="M250" s="57"/>
      <c r="N250" s="57"/>
    </row>
    <row r="251" spans="1:14" ht="27.6" x14ac:dyDescent="0.25">
      <c r="A251" s="222" t="s">
        <v>671</v>
      </c>
      <c r="B251" s="223" t="s">
        <v>672</v>
      </c>
      <c r="C251" s="224" t="s">
        <v>50</v>
      </c>
      <c r="D251" s="222">
        <v>200</v>
      </c>
      <c r="E251" s="225">
        <f>+'APU´S ELECTRICOS'!F287</f>
        <v>4866</v>
      </c>
      <c r="F251" s="225">
        <f t="shared" si="19"/>
        <v>973200</v>
      </c>
      <c r="H251" s="45">
        <v>4866</v>
      </c>
      <c r="I251" s="156"/>
      <c r="J251" s="157"/>
      <c r="K251" s="158"/>
      <c r="L251" s="156"/>
      <c r="M251" s="57"/>
      <c r="N251" s="57"/>
    </row>
    <row r="252" spans="1:14" x14ac:dyDescent="0.25">
      <c r="A252" s="222" t="s">
        <v>673</v>
      </c>
      <c r="B252" s="223" t="s">
        <v>674</v>
      </c>
      <c r="C252" s="224" t="s">
        <v>50</v>
      </c>
      <c r="D252" s="222">
        <v>150</v>
      </c>
      <c r="E252" s="225">
        <f>+'APU´S ELECTRICOS'!F298</f>
        <v>10564</v>
      </c>
      <c r="F252" s="225">
        <f t="shared" si="19"/>
        <v>1584600</v>
      </c>
      <c r="H252" s="45">
        <v>10564</v>
      </c>
      <c r="I252" s="156"/>
      <c r="J252" s="157"/>
      <c r="K252" s="158"/>
      <c r="L252" s="156"/>
      <c r="M252" s="57"/>
      <c r="N252" s="57"/>
    </row>
    <row r="253" spans="1:14" x14ac:dyDescent="0.25">
      <c r="A253" s="222" t="s">
        <v>675</v>
      </c>
      <c r="B253" s="223" t="s">
        <v>676</v>
      </c>
      <c r="C253" s="224" t="s">
        <v>50</v>
      </c>
      <c r="D253" s="222">
        <v>1</v>
      </c>
      <c r="E253" s="225">
        <f>+'APU´S ELECTRICOS'!F310</f>
        <v>347421</v>
      </c>
      <c r="F253" s="225">
        <f t="shared" si="19"/>
        <v>347421</v>
      </c>
      <c r="H253" s="45">
        <v>347421</v>
      </c>
      <c r="I253" s="156"/>
      <c r="J253" s="171"/>
      <c r="K253" s="158"/>
      <c r="L253" s="156"/>
      <c r="M253" s="57"/>
      <c r="N253" s="57"/>
    </row>
    <row r="254" spans="1:14" x14ac:dyDescent="0.25">
      <c r="A254" s="222" t="s">
        <v>677</v>
      </c>
      <c r="B254" s="223" t="s">
        <v>678</v>
      </c>
      <c r="C254" s="224" t="s">
        <v>50</v>
      </c>
      <c r="D254" s="222">
        <v>1</v>
      </c>
      <c r="E254" s="225">
        <f>+'APU´S ELECTRICOS'!F322</f>
        <v>178751</v>
      </c>
      <c r="F254" s="225">
        <f t="shared" si="19"/>
        <v>178751</v>
      </c>
      <c r="H254" s="45">
        <v>178751</v>
      </c>
      <c r="I254" s="156"/>
      <c r="J254" s="157"/>
      <c r="K254" s="158"/>
      <c r="L254" s="156"/>
      <c r="M254" s="57"/>
      <c r="N254" s="57"/>
    </row>
    <row r="255" spans="1:14" x14ac:dyDescent="0.25">
      <c r="A255" s="222"/>
      <c r="B255" s="243" t="s">
        <v>188</v>
      </c>
      <c r="C255" s="224"/>
      <c r="D255" s="222"/>
      <c r="E255" s="225"/>
      <c r="F255" s="225"/>
      <c r="I255" s="156"/>
      <c r="J255" s="157"/>
      <c r="K255" s="158"/>
      <c r="L255" s="156"/>
      <c r="M255" s="57"/>
      <c r="N255" s="57"/>
    </row>
    <row r="256" spans="1:14" ht="55.2" x14ac:dyDescent="0.25">
      <c r="A256" s="222" t="s">
        <v>679</v>
      </c>
      <c r="B256" s="223" t="s">
        <v>680</v>
      </c>
      <c r="C256" s="224" t="s">
        <v>195</v>
      </c>
      <c r="D256" s="222">
        <v>1</v>
      </c>
      <c r="E256" s="225">
        <f>+'APU´S ELECTRICOS'!F334</f>
        <v>88000000</v>
      </c>
      <c r="F256" s="225">
        <f t="shared" si="19"/>
        <v>88000000</v>
      </c>
      <c r="H256" s="45">
        <v>88000000</v>
      </c>
      <c r="I256" s="156"/>
      <c r="J256" s="171"/>
      <c r="K256" s="158"/>
      <c r="L256" s="156"/>
      <c r="M256" s="57"/>
      <c r="N256" s="57"/>
    </row>
    <row r="257" spans="1:14" ht="27.6" x14ac:dyDescent="0.25">
      <c r="A257" s="222" t="s">
        <v>681</v>
      </c>
      <c r="B257" s="223" t="s">
        <v>682</v>
      </c>
      <c r="C257" s="224" t="s">
        <v>195</v>
      </c>
      <c r="D257" s="222">
        <v>1</v>
      </c>
      <c r="E257" s="225">
        <f>+'APU´S ELECTRICOS'!F345</f>
        <v>8330000</v>
      </c>
      <c r="F257" s="225">
        <f t="shared" si="19"/>
        <v>8330000</v>
      </c>
      <c r="H257" s="45">
        <v>8330000</v>
      </c>
      <c r="I257" s="156"/>
      <c r="J257" s="157"/>
      <c r="K257" s="158"/>
      <c r="L257" s="156"/>
      <c r="M257" s="57"/>
      <c r="N257" s="57"/>
    </row>
    <row r="258" spans="1:14" ht="27.6" x14ac:dyDescent="0.25">
      <c r="A258" s="222" t="s">
        <v>683</v>
      </c>
      <c r="B258" s="223" t="s">
        <v>684</v>
      </c>
      <c r="C258" s="224" t="s">
        <v>195</v>
      </c>
      <c r="D258" s="222">
        <v>1</v>
      </c>
      <c r="E258" s="225">
        <f>+'APU´S ELECTRICOS'!F356</f>
        <v>6328200</v>
      </c>
      <c r="F258" s="225">
        <f t="shared" si="19"/>
        <v>6328200</v>
      </c>
      <c r="H258" s="45">
        <v>6328200</v>
      </c>
      <c r="I258" s="156"/>
      <c r="J258" s="157"/>
      <c r="K258" s="158"/>
      <c r="L258" s="156"/>
      <c r="M258" s="57"/>
      <c r="N258" s="57"/>
    </row>
    <row r="259" spans="1:14" ht="14.4" thickBot="1" x14ac:dyDescent="0.3">
      <c r="A259" s="222"/>
      <c r="B259" s="243" t="s">
        <v>685</v>
      </c>
      <c r="C259" s="224"/>
      <c r="D259" s="222"/>
      <c r="E259" s="225"/>
      <c r="F259" s="225"/>
      <c r="I259" s="141"/>
      <c r="L259" s="172"/>
      <c r="N259" s="173"/>
    </row>
    <row r="260" spans="1:14" ht="27.6" x14ac:dyDescent="0.25">
      <c r="A260" s="222" t="s">
        <v>686</v>
      </c>
      <c r="B260" s="223" t="s">
        <v>687</v>
      </c>
      <c r="C260" s="224" t="s">
        <v>195</v>
      </c>
      <c r="D260" s="222">
        <v>1</v>
      </c>
      <c r="E260" s="225">
        <f>+'APU´S ELECTRICOS'!F367</f>
        <v>2709752</v>
      </c>
      <c r="F260" s="225">
        <f t="shared" si="19"/>
        <v>2709752</v>
      </c>
      <c r="H260" s="45">
        <v>2709752</v>
      </c>
      <c r="I260" s="174"/>
      <c r="J260" s="175"/>
      <c r="K260" s="175"/>
      <c r="L260" s="137"/>
      <c r="M260" s="176"/>
      <c r="N260" s="115"/>
    </row>
    <row r="261" spans="1:14" ht="27.6" x14ac:dyDescent="0.25">
      <c r="A261" s="222" t="s">
        <v>688</v>
      </c>
      <c r="B261" s="223" t="s">
        <v>689</v>
      </c>
      <c r="C261" s="224" t="s">
        <v>195</v>
      </c>
      <c r="D261" s="222">
        <v>1</v>
      </c>
      <c r="E261" s="225">
        <f>+'APU´S ELECTRICOS'!F378</f>
        <v>212951</v>
      </c>
      <c r="F261" s="225">
        <f t="shared" si="19"/>
        <v>212951</v>
      </c>
      <c r="H261" s="45">
        <v>212951</v>
      </c>
      <c r="I261" s="177"/>
      <c r="J261" s="178"/>
      <c r="K261" s="178"/>
      <c r="L261" s="155"/>
      <c r="M261" s="179"/>
      <c r="N261" s="119"/>
    </row>
    <row r="262" spans="1:14" ht="27.6" x14ac:dyDescent="0.25">
      <c r="A262" s="222" t="s">
        <v>690</v>
      </c>
      <c r="B262" s="223" t="s">
        <v>691</v>
      </c>
      <c r="C262" s="224" t="s">
        <v>195</v>
      </c>
      <c r="D262" s="222">
        <v>1</v>
      </c>
      <c r="E262" s="225">
        <f>+'APU´S ELECTRICOS'!F389</f>
        <v>11301803</v>
      </c>
      <c r="F262" s="225">
        <f t="shared" si="19"/>
        <v>11301803</v>
      </c>
      <c r="H262" s="45">
        <v>11301803</v>
      </c>
      <c r="I262" s="177"/>
      <c r="J262" s="178"/>
      <c r="K262" s="178"/>
      <c r="L262" s="155"/>
      <c r="M262" s="179"/>
      <c r="N262" s="119"/>
    </row>
    <row r="263" spans="1:14" ht="28.2" thickBot="1" x14ac:dyDescent="0.3">
      <c r="A263" s="222" t="s">
        <v>692</v>
      </c>
      <c r="B263" s="223" t="s">
        <v>693</v>
      </c>
      <c r="C263" s="224" t="s">
        <v>195</v>
      </c>
      <c r="D263" s="222">
        <v>1</v>
      </c>
      <c r="E263" s="225">
        <f>+'APU´S ELECTRICOS'!F400</f>
        <v>3338852</v>
      </c>
      <c r="F263" s="225">
        <f t="shared" si="19"/>
        <v>3338852</v>
      </c>
      <c r="H263" s="45">
        <v>3338852</v>
      </c>
      <c r="I263" s="177"/>
      <c r="J263" s="178"/>
      <c r="K263" s="178"/>
      <c r="L263" s="155"/>
      <c r="M263" s="179"/>
      <c r="N263" s="180"/>
    </row>
    <row r="264" spans="1:14" ht="28.2" thickBot="1" x14ac:dyDescent="0.3">
      <c r="A264" s="222" t="s">
        <v>694</v>
      </c>
      <c r="B264" s="223" t="s">
        <v>695</v>
      </c>
      <c r="C264" s="224" t="s">
        <v>195</v>
      </c>
      <c r="D264" s="222">
        <v>1</v>
      </c>
      <c r="E264" s="225">
        <f>+'APU´S ELECTRICOS'!F411</f>
        <v>7202704</v>
      </c>
      <c r="F264" s="225">
        <f t="shared" si="19"/>
        <v>7202704</v>
      </c>
      <c r="H264" s="45">
        <v>7202704</v>
      </c>
      <c r="I264" s="135"/>
      <c r="J264" s="136"/>
      <c r="K264" s="136"/>
      <c r="L264" s="181"/>
      <c r="M264" s="137"/>
      <c r="N264" s="182"/>
    </row>
    <row r="265" spans="1:14" ht="14.4" thickBot="1" x14ac:dyDescent="0.3">
      <c r="A265" s="222"/>
      <c r="B265" s="243" t="s">
        <v>696</v>
      </c>
      <c r="C265" s="224"/>
      <c r="D265" s="222"/>
      <c r="E265" s="225"/>
      <c r="F265" s="225"/>
      <c r="I265" s="183"/>
      <c r="J265" s="184"/>
      <c r="K265" s="185"/>
      <c r="L265" s="186"/>
      <c r="M265" s="185"/>
      <c r="N265" s="152"/>
    </row>
    <row r="266" spans="1:14" ht="41.4" x14ac:dyDescent="0.25">
      <c r="A266" s="222" t="s">
        <v>697</v>
      </c>
      <c r="B266" s="223" t="s">
        <v>698</v>
      </c>
      <c r="C266" s="224" t="s">
        <v>195</v>
      </c>
      <c r="D266" s="222">
        <v>1</v>
      </c>
      <c r="E266" s="225">
        <f>+'APU´S ELECTRICOS'!F424</f>
        <v>8822454</v>
      </c>
      <c r="F266" s="225">
        <f t="shared" si="19"/>
        <v>8822454</v>
      </c>
      <c r="H266" s="45">
        <v>8822454</v>
      </c>
      <c r="I266" s="187"/>
      <c r="J266" s="188"/>
      <c r="K266" s="189"/>
      <c r="L266" s="136"/>
      <c r="M266" s="190"/>
      <c r="N266" s="138"/>
    </row>
    <row r="267" spans="1:14" x14ac:dyDescent="0.25">
      <c r="A267" s="222" t="s">
        <v>699</v>
      </c>
      <c r="B267" s="223" t="s">
        <v>700</v>
      </c>
      <c r="C267" s="224" t="s">
        <v>224</v>
      </c>
      <c r="D267" s="222">
        <v>200</v>
      </c>
      <c r="E267" s="225">
        <f>+'APU´S ELECTRICOS'!F434</f>
        <v>4858</v>
      </c>
      <c r="F267" s="225">
        <f t="shared" si="19"/>
        <v>971600</v>
      </c>
      <c r="H267" s="45">
        <v>4858</v>
      </c>
      <c r="I267" s="191"/>
      <c r="J267" s="192"/>
      <c r="K267" s="193"/>
      <c r="M267" s="12"/>
      <c r="N267" s="173"/>
    </row>
    <row r="268" spans="1:14" ht="27.6" x14ac:dyDescent="0.25">
      <c r="A268" s="222" t="s">
        <v>701</v>
      </c>
      <c r="B268" s="223" t="s">
        <v>702</v>
      </c>
      <c r="C268" s="224" t="s">
        <v>195</v>
      </c>
      <c r="D268" s="222">
        <v>7</v>
      </c>
      <c r="E268" s="225">
        <f>+'APU´S ELECTRICOS'!F448</f>
        <v>109231</v>
      </c>
      <c r="F268" s="225">
        <f t="shared" si="19"/>
        <v>764617</v>
      </c>
      <c r="H268" s="45">
        <v>109231</v>
      </c>
      <c r="I268" s="194"/>
      <c r="J268" s="192"/>
      <c r="K268" s="193"/>
      <c r="M268" s="12"/>
      <c r="N268" s="173"/>
    </row>
    <row r="269" spans="1:14" ht="27.6" x14ac:dyDescent="0.25">
      <c r="A269" s="222" t="s">
        <v>703</v>
      </c>
      <c r="B269" s="223" t="s">
        <v>704</v>
      </c>
      <c r="C269" s="224" t="s">
        <v>195</v>
      </c>
      <c r="D269" s="222">
        <v>6</v>
      </c>
      <c r="E269" s="225">
        <f>+'APU´S ELECTRICOS'!F461</f>
        <v>140831</v>
      </c>
      <c r="F269" s="225">
        <f t="shared" si="19"/>
        <v>844986</v>
      </c>
      <c r="H269" s="45">
        <v>140831</v>
      </c>
      <c r="I269" s="194"/>
      <c r="J269" s="192"/>
      <c r="K269" s="193"/>
      <c r="M269" s="12"/>
      <c r="N269" s="173"/>
    </row>
    <row r="270" spans="1:14" x14ac:dyDescent="0.25">
      <c r="A270" s="222" t="s">
        <v>705</v>
      </c>
      <c r="B270" s="223" t="s">
        <v>706</v>
      </c>
      <c r="C270" s="224" t="s">
        <v>195</v>
      </c>
      <c r="D270" s="222">
        <v>18</v>
      </c>
      <c r="E270" s="225">
        <v>21115</v>
      </c>
      <c r="F270" s="225">
        <f t="shared" si="19"/>
        <v>380070</v>
      </c>
      <c r="H270" s="45">
        <v>21115</v>
      </c>
      <c r="I270" s="194"/>
      <c r="J270" s="192"/>
      <c r="K270" s="193"/>
      <c r="M270" s="12"/>
      <c r="N270" s="173"/>
    </row>
    <row r="271" spans="1:14" ht="14.4" thickBot="1" x14ac:dyDescent="0.3">
      <c r="A271" s="222"/>
      <c r="B271" s="243" t="s">
        <v>707</v>
      </c>
      <c r="C271" s="224"/>
      <c r="D271" s="222"/>
      <c r="E271" s="225"/>
      <c r="F271" s="225"/>
      <c r="I271" s="195"/>
      <c r="J271" s="196"/>
      <c r="K271" s="197"/>
      <c r="L271" s="198"/>
      <c r="M271" s="20"/>
      <c r="N271" s="199"/>
    </row>
    <row r="272" spans="1:14" ht="27.6" x14ac:dyDescent="0.25">
      <c r="A272" s="222" t="s">
        <v>708</v>
      </c>
      <c r="B272" s="223" t="s">
        <v>709</v>
      </c>
      <c r="C272" s="224" t="s">
        <v>195</v>
      </c>
      <c r="D272" s="222">
        <v>1</v>
      </c>
      <c r="E272" s="225">
        <f>+'APU´S ELECTRICOS'!F473</f>
        <v>1913634</v>
      </c>
      <c r="F272" s="225">
        <f t="shared" si="19"/>
        <v>1913634</v>
      </c>
      <c r="H272" s="45">
        <v>1913634</v>
      </c>
    </row>
    <row r="273" spans="1:13" ht="69" x14ac:dyDescent="0.25">
      <c r="A273" s="222" t="s">
        <v>710</v>
      </c>
      <c r="B273" s="223" t="s">
        <v>711</v>
      </c>
      <c r="C273" s="224" t="s">
        <v>195</v>
      </c>
      <c r="D273" s="222">
        <v>1</v>
      </c>
      <c r="E273" s="225">
        <f>+'APU´S ELECTRICOS'!F489</f>
        <v>6859253</v>
      </c>
      <c r="F273" s="225">
        <f t="shared" si="19"/>
        <v>6859253</v>
      </c>
      <c r="H273" s="45">
        <v>6859253</v>
      </c>
      <c r="J273" s="200"/>
      <c r="K273" s="200"/>
      <c r="M273" s="201"/>
    </row>
    <row r="274" spans="1:13" x14ac:dyDescent="0.25">
      <c r="A274" s="222"/>
      <c r="B274" s="243" t="s">
        <v>712</v>
      </c>
      <c r="C274" s="224"/>
      <c r="D274" s="222"/>
      <c r="E274" s="225"/>
      <c r="F274" s="225"/>
      <c r="J274" s="200"/>
      <c r="K274" s="200"/>
      <c r="M274" s="201"/>
    </row>
    <row r="275" spans="1:13" x14ac:dyDescent="0.25">
      <c r="A275" s="222" t="s">
        <v>713</v>
      </c>
      <c r="B275" s="223" t="s">
        <v>714</v>
      </c>
      <c r="C275" s="224" t="s">
        <v>223</v>
      </c>
      <c r="D275" s="222">
        <v>1</v>
      </c>
      <c r="E275" s="225">
        <v>3200000</v>
      </c>
      <c r="F275" s="225">
        <f t="shared" si="19"/>
        <v>3200000</v>
      </c>
    </row>
    <row r="276" spans="1:13" ht="27.6" x14ac:dyDescent="0.25">
      <c r="A276" s="222" t="s">
        <v>715</v>
      </c>
      <c r="B276" s="223" t="s">
        <v>716</v>
      </c>
      <c r="C276" s="224" t="s">
        <v>223</v>
      </c>
      <c r="D276" s="222">
        <v>1</v>
      </c>
      <c r="E276" s="225">
        <v>2800000</v>
      </c>
      <c r="F276" s="225">
        <f t="shared" si="19"/>
        <v>2800000</v>
      </c>
    </row>
    <row r="277" spans="1:13" ht="8.4" customHeight="1" thickBot="1" x14ac:dyDescent="0.3">
      <c r="A277" s="55"/>
      <c r="B277" s="79"/>
      <c r="C277" s="80"/>
      <c r="D277" s="55"/>
      <c r="E277" s="81"/>
      <c r="F277" s="57"/>
    </row>
    <row r="278" spans="1:13" x14ac:dyDescent="0.25">
      <c r="A278" s="112" t="s">
        <v>27</v>
      </c>
      <c r="B278" s="113"/>
      <c r="C278" s="113"/>
      <c r="D278" s="2"/>
      <c r="E278" s="114" t="s">
        <v>22</v>
      </c>
      <c r="F278" s="115" t="e">
        <f>SUM(F12:F277)</f>
        <v>#REF!</v>
      </c>
    </row>
    <row r="279" spans="1:13" x14ac:dyDescent="0.25">
      <c r="A279" s="116" t="s">
        <v>230</v>
      </c>
      <c r="B279" s="117"/>
      <c r="C279" s="117"/>
      <c r="D279" s="260">
        <v>0.34</v>
      </c>
      <c r="E279" s="261" t="s">
        <v>23</v>
      </c>
      <c r="F279" s="262" t="e">
        <f>F278*D279</f>
        <v>#REF!</v>
      </c>
    </row>
    <row r="280" spans="1:13" ht="5.25" customHeight="1" x14ac:dyDescent="0.25">
      <c r="A280" s="116"/>
      <c r="B280" s="117"/>
      <c r="C280" s="117"/>
      <c r="D280" s="7"/>
      <c r="E280" s="118"/>
      <c r="F280" s="119"/>
    </row>
    <row r="281" spans="1:13" ht="14.4" thickBot="1" x14ac:dyDescent="0.3">
      <c r="A281" s="127" t="s">
        <v>24</v>
      </c>
      <c r="B281" s="128"/>
      <c r="C281" s="128"/>
      <c r="D281" s="122"/>
      <c r="E281" s="129" t="s">
        <v>25</v>
      </c>
      <c r="F281" s="123" t="e">
        <f>F279+F278</f>
        <v>#REF!</v>
      </c>
    </row>
    <row r="282" spans="1:13" ht="6.75" customHeight="1" x14ac:dyDescent="0.25">
      <c r="A282" s="124"/>
      <c r="B282" s="124"/>
      <c r="C282" s="124"/>
      <c r="D282" s="125"/>
      <c r="E282" s="126"/>
      <c r="F282" s="124"/>
    </row>
    <row r="283" spans="1:13" ht="4.95" customHeight="1" thickBot="1" x14ac:dyDescent="0.3">
      <c r="A283" s="120"/>
      <c r="B283" s="121"/>
      <c r="C283" s="18"/>
      <c r="D283" s="122"/>
      <c r="E283" s="20"/>
      <c r="F283" s="123"/>
    </row>
    <row r="284" spans="1:13" ht="15.6" x14ac:dyDescent="0.25">
      <c r="A284" s="111"/>
      <c r="B284" s="57"/>
      <c r="C284" s="56"/>
      <c r="D284" s="52"/>
      <c r="E284" s="57"/>
      <c r="F284" s="57"/>
    </row>
    <row r="285" spans="1:13" x14ac:dyDescent="0.25">
      <c r="A285" s="13"/>
      <c r="B285" s="14"/>
      <c r="C285" s="11"/>
      <c r="E285" s="12"/>
      <c r="F285" s="10"/>
    </row>
    <row r="286" spans="1:13" x14ac:dyDescent="0.25">
      <c r="A286" s="15"/>
      <c r="B286" s="14"/>
      <c r="C286" s="11"/>
      <c r="E286" s="12"/>
      <c r="F286" s="10"/>
    </row>
    <row r="287" spans="1:13" x14ac:dyDescent="0.25">
      <c r="A287" s="15"/>
      <c r="B287" s="14"/>
      <c r="C287" s="11"/>
      <c r="E287" s="12"/>
      <c r="F287" s="10"/>
    </row>
    <row r="288" spans="1:13" x14ac:dyDescent="0.25">
      <c r="A288" s="15"/>
      <c r="B288" s="14"/>
      <c r="C288" s="11"/>
      <c r="E288" s="12"/>
      <c r="F288" s="10"/>
    </row>
    <row r="289" spans="1:6" ht="14.4" thickBot="1" x14ac:dyDescent="0.3">
      <c r="A289" s="16"/>
      <c r="B289" s="17"/>
      <c r="C289" s="18"/>
      <c r="D289" s="19"/>
      <c r="E289" s="20"/>
      <c r="F289" s="21"/>
    </row>
    <row r="291" spans="1:6" x14ac:dyDescent="0.25">
      <c r="B291" s="22"/>
      <c r="C291" s="22"/>
      <c r="E291" s="23"/>
    </row>
    <row r="292" spans="1:6" x14ac:dyDescent="0.25">
      <c r="B292" s="22"/>
      <c r="C292" s="22"/>
      <c r="E292" s="23"/>
    </row>
  </sheetData>
  <mergeCells count="6">
    <mergeCell ref="A7:F7"/>
    <mergeCell ref="E2:F6"/>
    <mergeCell ref="A2:A6"/>
    <mergeCell ref="K3:N3"/>
    <mergeCell ref="I5:N5"/>
    <mergeCell ref="B2:C6"/>
  </mergeCells>
  <phoneticPr fontId="48" type="noConversion"/>
  <printOptions horizontalCentered="1"/>
  <pageMargins left="0.23622047244094491" right="0.23622047244094491" top="0.74803149606299213" bottom="0.74803149606299213" header="0.31496062992125984" footer="0.31496062992125984"/>
  <pageSetup scale="80" orientation="portrait" errors="NA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DF345"/>
  </sheetPr>
  <dimension ref="A3:I451"/>
  <sheetViews>
    <sheetView tabSelected="1" view="pageBreakPreview" topLeftCell="A330" zoomScale="90" zoomScaleNormal="100" zoomScaleSheetLayoutView="90" workbookViewId="0">
      <selection activeCell="B325" sqref="B324:B325"/>
    </sheetView>
  </sheetViews>
  <sheetFormatPr baseColWidth="10" defaultRowHeight="12.6" x14ac:dyDescent="0.25"/>
  <cols>
    <col min="2" max="2" width="53.6640625" customWidth="1"/>
    <col min="3" max="7" width="11" customWidth="1"/>
    <col min="9" max="9" width="14.44140625" style="47" bestFit="1" customWidth="1"/>
  </cols>
  <sheetData>
    <row r="3" spans="1:9" x14ac:dyDescent="0.25">
      <c r="I3"/>
    </row>
    <row r="5" spans="1:9" ht="13.2" x14ac:dyDescent="0.25">
      <c r="A5" s="263">
        <f>'PPTO OFICIAL'!A70</f>
        <v>7.01</v>
      </c>
      <c r="B5" s="264" t="str">
        <f>'PPTO OFICIAL'!B70</f>
        <v>MURO LADRILLO FAROL PAND  W=0.10m</v>
      </c>
      <c r="C5" s="263" t="str">
        <f>'PPTO OFICIAL'!C70</f>
        <v>m²</v>
      </c>
      <c r="D5" s="265"/>
      <c r="E5" s="266">
        <f>ROUND(SUM(G5:G11),0)</f>
        <v>47002</v>
      </c>
      <c r="F5" s="267"/>
      <c r="G5" s="268"/>
      <c r="H5">
        <v>47037</v>
      </c>
    </row>
    <row r="6" spans="1:9" ht="13.2" x14ac:dyDescent="0.25">
      <c r="A6" s="269"/>
      <c r="B6" s="270" t="s">
        <v>196</v>
      </c>
      <c r="C6" s="271" t="s">
        <v>2</v>
      </c>
      <c r="D6" s="272">
        <v>17.5</v>
      </c>
      <c r="E6" s="273">
        <v>906</v>
      </c>
      <c r="F6" s="271">
        <v>1.03</v>
      </c>
      <c r="G6" s="273">
        <f>ROUND((D6*E6*F6),0)</f>
        <v>16331</v>
      </c>
    </row>
    <row r="7" spans="1:9" ht="16.2" thickBot="1" x14ac:dyDescent="0.3">
      <c r="A7" s="274"/>
      <c r="B7" s="270" t="s">
        <v>138</v>
      </c>
      <c r="C7" s="271" t="s">
        <v>127</v>
      </c>
      <c r="D7" s="275">
        <v>2.1000000000000001E-2</v>
      </c>
      <c r="E7" s="273">
        <v>408916</v>
      </c>
      <c r="F7" s="271">
        <v>1.05</v>
      </c>
      <c r="G7" s="273">
        <f>ROUND((D7*E7*F7),0)</f>
        <v>9017</v>
      </c>
    </row>
    <row r="8" spans="1:9" ht="14.4" thickTop="1" thickBot="1" x14ac:dyDescent="0.3">
      <c r="A8" s="276"/>
      <c r="B8" s="270" t="s">
        <v>777</v>
      </c>
      <c r="C8" s="271" t="s">
        <v>119</v>
      </c>
      <c r="D8" s="272">
        <v>1</v>
      </c>
      <c r="E8" s="273">
        <v>145503</v>
      </c>
      <c r="F8" s="271">
        <v>0.13245443387542191</v>
      </c>
      <c r="G8" s="273">
        <f>ROUND((D8*E8*F8),0)</f>
        <v>19273</v>
      </c>
    </row>
    <row r="9" spans="1:9" ht="13.8" thickTop="1" x14ac:dyDescent="0.25">
      <c r="A9" s="341"/>
      <c r="B9" s="270" t="s">
        <v>121</v>
      </c>
      <c r="C9" s="271" t="s">
        <v>122</v>
      </c>
      <c r="D9" s="272">
        <v>0.05</v>
      </c>
      <c r="E9" s="273">
        <f>G8</f>
        <v>19273</v>
      </c>
      <c r="F9" s="271">
        <v>0</v>
      </c>
      <c r="G9" s="273">
        <f>ROUND((D9*E9),0)</f>
        <v>964</v>
      </c>
    </row>
    <row r="10" spans="1:9" ht="13.2" x14ac:dyDescent="0.25">
      <c r="A10" s="345"/>
      <c r="B10" s="270" t="s">
        <v>778</v>
      </c>
      <c r="C10" s="271" t="s">
        <v>122</v>
      </c>
      <c r="D10" s="272">
        <v>1.05</v>
      </c>
      <c r="E10" s="273">
        <f>G9</f>
        <v>964</v>
      </c>
      <c r="F10" s="271"/>
      <c r="G10" s="273">
        <f>D10*E10</f>
        <v>1012.2</v>
      </c>
    </row>
    <row r="11" spans="1:9" ht="13.8" thickBot="1" x14ac:dyDescent="0.3">
      <c r="A11" s="342"/>
      <c r="B11" s="277" t="s">
        <v>175</v>
      </c>
      <c r="C11" s="278" t="s">
        <v>122</v>
      </c>
      <c r="D11" s="279">
        <v>2.1000000000000001E-2</v>
      </c>
      <c r="E11" s="280">
        <f>G8</f>
        <v>19273</v>
      </c>
      <c r="F11" s="278">
        <v>0</v>
      </c>
      <c r="G11" s="280">
        <f>ROUND((D11*E11),0)</f>
        <v>405</v>
      </c>
    </row>
    <row r="14" spans="1:9" ht="13.2" x14ac:dyDescent="0.25">
      <c r="A14" s="263">
        <f>'PPTO OFICIAL'!A71</f>
        <v>7.02</v>
      </c>
      <c r="B14" s="264" t="str">
        <f>'PPTO OFICIAL'!B71</f>
        <v>Viga amarre muros Conf C20.7MPa +Rf</v>
      </c>
      <c r="C14" s="263" t="str">
        <f>'PPTO OFICIAL'!C71</f>
        <v>m</v>
      </c>
      <c r="D14" s="265"/>
      <c r="E14" s="266">
        <f>ROUND(SUM(G14:G25),0)</f>
        <v>36576</v>
      </c>
      <c r="F14" s="267"/>
      <c r="G14" s="268"/>
      <c r="H14">
        <v>36105</v>
      </c>
    </row>
    <row r="15" spans="1:9" ht="13.2" x14ac:dyDescent="0.25">
      <c r="A15" s="336"/>
      <c r="B15" s="270" t="s">
        <v>143</v>
      </c>
      <c r="C15" s="271" t="s">
        <v>50</v>
      </c>
      <c r="D15" s="272">
        <v>2</v>
      </c>
      <c r="E15" s="273">
        <v>3650</v>
      </c>
      <c r="F15" s="281">
        <f>1/3</f>
        <v>0.33333333333333331</v>
      </c>
      <c r="G15" s="273">
        <f>ROUND((D15*E15*F15),0)</f>
        <v>2433</v>
      </c>
    </row>
    <row r="16" spans="1:9" ht="13.2" x14ac:dyDescent="0.25">
      <c r="A16" s="336"/>
      <c r="B16" s="270" t="s">
        <v>144</v>
      </c>
      <c r="C16" s="271" t="s">
        <v>139</v>
      </c>
      <c r="D16" s="272">
        <v>0.1</v>
      </c>
      <c r="E16" s="273">
        <v>2670</v>
      </c>
      <c r="F16" s="281">
        <v>0</v>
      </c>
      <c r="G16" s="273">
        <f>ROUND((D16*E16),0)</f>
        <v>267</v>
      </c>
    </row>
    <row r="17" spans="1:8" ht="13.2" x14ac:dyDescent="0.25">
      <c r="A17" s="336"/>
      <c r="B17" s="270" t="s">
        <v>174</v>
      </c>
      <c r="C17" s="271" t="s">
        <v>142</v>
      </c>
      <c r="D17" s="272">
        <v>0.05</v>
      </c>
      <c r="E17" s="273">
        <v>7500</v>
      </c>
      <c r="F17" s="281">
        <v>0</v>
      </c>
      <c r="G17" s="273">
        <f>ROUND((D17*E17),0)</f>
        <v>375</v>
      </c>
    </row>
    <row r="18" spans="1:8" ht="13.2" x14ac:dyDescent="0.25">
      <c r="A18" s="336"/>
      <c r="B18" s="270" t="s">
        <v>164</v>
      </c>
      <c r="C18" s="271" t="s">
        <v>43</v>
      </c>
      <c r="D18" s="272">
        <v>0.1</v>
      </c>
      <c r="E18" s="273">
        <v>6545</v>
      </c>
      <c r="F18" s="271">
        <v>1.03</v>
      </c>
      <c r="G18" s="273">
        <f>ROUND((D18*E18*F18),0)</f>
        <v>674</v>
      </c>
    </row>
    <row r="19" spans="1:8" ht="13.8" thickBot="1" x14ac:dyDescent="0.3">
      <c r="A19" s="337"/>
      <c r="B19" s="270" t="s">
        <v>166</v>
      </c>
      <c r="C19" s="271" t="s">
        <v>50</v>
      </c>
      <c r="D19" s="272">
        <v>2</v>
      </c>
      <c r="E19" s="273">
        <v>2100</v>
      </c>
      <c r="F19" s="281">
        <f>1/3</f>
        <v>0.33333333333333331</v>
      </c>
      <c r="G19" s="273">
        <f>ROUND((D19*E19*F19),0)</f>
        <v>1400</v>
      </c>
    </row>
    <row r="20" spans="1:8" ht="16.2" thickTop="1" x14ac:dyDescent="0.25">
      <c r="A20" s="338"/>
      <c r="B20" s="270" t="s">
        <v>165</v>
      </c>
      <c r="C20" s="271" t="s">
        <v>127</v>
      </c>
      <c r="D20" s="282">
        <f>0.1*0.25</f>
        <v>2.5000000000000001E-2</v>
      </c>
      <c r="E20" s="273">
        <v>382058</v>
      </c>
      <c r="F20" s="281">
        <v>0.85593271461716947</v>
      </c>
      <c r="G20" s="273">
        <f>ROUND((D20*E20*F20),0)</f>
        <v>8175</v>
      </c>
    </row>
    <row r="21" spans="1:8" ht="13.8" thickBot="1" x14ac:dyDescent="0.3">
      <c r="A21" s="339"/>
      <c r="B21" s="283" t="s">
        <v>171</v>
      </c>
      <c r="C21" s="271" t="s">
        <v>43</v>
      </c>
      <c r="D21" s="272">
        <v>1.4</v>
      </c>
      <c r="E21" s="273">
        <f>'APUS primarios'!$E$72</f>
        <v>6671</v>
      </c>
      <c r="F21" s="281">
        <v>0</v>
      </c>
      <c r="G21" s="273">
        <f>ROUND((D21*E21),0)</f>
        <v>9339</v>
      </c>
    </row>
    <row r="22" spans="1:8" ht="14.4" thickTop="1" thickBot="1" x14ac:dyDescent="0.3">
      <c r="A22" s="276"/>
      <c r="B22" s="270" t="s">
        <v>779</v>
      </c>
      <c r="C22" s="271" t="s">
        <v>119</v>
      </c>
      <c r="D22" s="272">
        <v>1</v>
      </c>
      <c r="E22" s="273">
        <v>197468</v>
      </c>
      <c r="F22" s="281">
        <v>0.06</v>
      </c>
      <c r="G22" s="273">
        <f>ROUND((D22*E22*F22),0)</f>
        <v>11848</v>
      </c>
    </row>
    <row r="23" spans="1:8" ht="13.8" thickTop="1" x14ac:dyDescent="0.25">
      <c r="A23" s="349"/>
      <c r="B23" s="270" t="s">
        <v>121</v>
      </c>
      <c r="C23" s="271" t="s">
        <v>122</v>
      </c>
      <c r="D23" s="272">
        <v>0.05</v>
      </c>
      <c r="E23" s="273">
        <f>G22</f>
        <v>11848</v>
      </c>
      <c r="F23" s="281">
        <v>0</v>
      </c>
      <c r="G23" s="273">
        <f>ROUND((D23*E23),0)</f>
        <v>592</v>
      </c>
    </row>
    <row r="24" spans="1:8" ht="13.8" thickBot="1" x14ac:dyDescent="0.3">
      <c r="A24" s="337"/>
      <c r="B24" s="284" t="s">
        <v>175</v>
      </c>
      <c r="C24" s="285" t="s">
        <v>122</v>
      </c>
      <c r="D24" s="286">
        <v>0.05</v>
      </c>
      <c r="E24" s="287">
        <f>G22</f>
        <v>11848</v>
      </c>
      <c r="F24" s="281">
        <v>0</v>
      </c>
      <c r="G24" s="287">
        <f>ROUND((D24*E24),0)</f>
        <v>592</v>
      </c>
    </row>
    <row r="25" spans="1:8" ht="13.8" thickTop="1" x14ac:dyDescent="0.25">
      <c r="A25" s="288"/>
      <c r="B25" s="277" t="s">
        <v>170</v>
      </c>
      <c r="C25" s="278" t="s">
        <v>2</v>
      </c>
      <c r="D25" s="289">
        <f>5/50</f>
        <v>0.1</v>
      </c>
      <c r="E25" s="280">
        <v>8806</v>
      </c>
      <c r="F25" s="278">
        <v>0</v>
      </c>
      <c r="G25" s="280">
        <f>ROUND((D25*E25),0)</f>
        <v>881</v>
      </c>
    </row>
    <row r="28" spans="1:8" ht="13.2" x14ac:dyDescent="0.25">
      <c r="A28" s="263">
        <f>'PPTO OFICIAL'!A72</f>
        <v>7.03</v>
      </c>
      <c r="B28" s="264" t="str">
        <f>'PPTO OFICIAL'!B72</f>
        <v>Col  RECT Conf C20.7MPa +Rf</v>
      </c>
      <c r="C28" s="263" t="str">
        <f>'PPTO OFICIAL'!C72</f>
        <v>m</v>
      </c>
      <c r="D28" s="265"/>
      <c r="E28" s="266">
        <f>ROUND(SUM(G28:G39),0)</f>
        <v>39880</v>
      </c>
      <c r="F28" s="267"/>
      <c r="G28" s="268"/>
      <c r="H28">
        <v>39355</v>
      </c>
    </row>
    <row r="29" spans="1:8" ht="13.2" x14ac:dyDescent="0.25">
      <c r="A29" s="336"/>
      <c r="B29" s="270" t="s">
        <v>143</v>
      </c>
      <c r="C29" s="271" t="s">
        <v>50</v>
      </c>
      <c r="D29" s="272">
        <v>2</v>
      </c>
      <c r="E29" s="273">
        <v>3650</v>
      </c>
      <c r="F29" s="281">
        <f>1/3</f>
        <v>0.33333333333333331</v>
      </c>
      <c r="G29" s="273">
        <f>ROUND((D29*E29*F29),0)</f>
        <v>2433</v>
      </c>
    </row>
    <row r="30" spans="1:8" ht="13.2" x14ac:dyDescent="0.25">
      <c r="A30" s="336"/>
      <c r="B30" s="270" t="s">
        <v>144</v>
      </c>
      <c r="C30" s="271" t="s">
        <v>139</v>
      </c>
      <c r="D30" s="272">
        <v>0.1</v>
      </c>
      <c r="E30" s="273">
        <v>2670</v>
      </c>
      <c r="F30" s="281">
        <v>0</v>
      </c>
      <c r="G30" s="273">
        <f>ROUND((D30*E30),0)</f>
        <v>267</v>
      </c>
    </row>
    <row r="31" spans="1:8" ht="13.2" x14ac:dyDescent="0.25">
      <c r="A31" s="336"/>
      <c r="B31" s="270" t="s">
        <v>174</v>
      </c>
      <c r="C31" s="271" t="s">
        <v>142</v>
      </c>
      <c r="D31" s="272">
        <v>0.05</v>
      </c>
      <c r="E31" s="273">
        <v>7500</v>
      </c>
      <c r="F31" s="281">
        <v>0</v>
      </c>
      <c r="G31" s="273">
        <f>ROUND((D31*E31),0)</f>
        <v>375</v>
      </c>
    </row>
    <row r="32" spans="1:8" ht="13.2" x14ac:dyDescent="0.25">
      <c r="A32" s="336"/>
      <c r="B32" s="270" t="s">
        <v>164</v>
      </c>
      <c r="C32" s="271" t="s">
        <v>43</v>
      </c>
      <c r="D32" s="272">
        <v>0.1</v>
      </c>
      <c r="E32" s="273">
        <v>6545</v>
      </c>
      <c r="F32" s="271">
        <v>1.03</v>
      </c>
      <c r="G32" s="273">
        <f>ROUND((D32*E32*F32),0)</f>
        <v>674</v>
      </c>
    </row>
    <row r="33" spans="1:8" ht="13.8" thickBot="1" x14ac:dyDescent="0.3">
      <c r="A33" s="337"/>
      <c r="B33" s="270" t="s">
        <v>166</v>
      </c>
      <c r="C33" s="271" t="s">
        <v>50</v>
      </c>
      <c r="D33" s="272">
        <v>2</v>
      </c>
      <c r="E33" s="273">
        <v>2100</v>
      </c>
      <c r="F33" s="281">
        <v>0.11599999999999999</v>
      </c>
      <c r="G33" s="273">
        <f>ROUND((D33*E33*F33),0)</f>
        <v>487</v>
      </c>
    </row>
    <row r="34" spans="1:8" ht="16.2" thickTop="1" x14ac:dyDescent="0.25">
      <c r="A34" s="338"/>
      <c r="B34" s="270" t="s">
        <v>165</v>
      </c>
      <c r="C34" s="271" t="s">
        <v>127</v>
      </c>
      <c r="D34" s="275">
        <v>2.5000000000000001E-2</v>
      </c>
      <c r="E34" s="273">
        <v>382058</v>
      </c>
      <c r="F34" s="281">
        <v>1</v>
      </c>
      <c r="G34" s="273">
        <f>ROUND((D34*E34*F34),0)</f>
        <v>9551</v>
      </c>
    </row>
    <row r="35" spans="1:8" ht="13.8" thickBot="1" x14ac:dyDescent="0.3">
      <c r="A35" s="339"/>
      <c r="B35" s="283" t="s">
        <v>171</v>
      </c>
      <c r="C35" s="271" t="s">
        <v>43</v>
      </c>
      <c r="D35" s="272">
        <v>1.5</v>
      </c>
      <c r="E35" s="273">
        <f>'APUS primarios'!$E$72</f>
        <v>6671</v>
      </c>
      <c r="F35" s="281">
        <v>0</v>
      </c>
      <c r="G35" s="273">
        <f>ROUND((D35*E35),0)</f>
        <v>10007</v>
      </c>
    </row>
    <row r="36" spans="1:8" ht="14.4" thickTop="1" thickBot="1" x14ac:dyDescent="0.3">
      <c r="A36" s="276"/>
      <c r="B36" s="270" t="s">
        <v>779</v>
      </c>
      <c r="C36" s="271" t="s">
        <v>119</v>
      </c>
      <c r="D36" s="272">
        <v>1</v>
      </c>
      <c r="E36" s="273">
        <v>197468</v>
      </c>
      <c r="F36" s="281">
        <v>7.0000000000000007E-2</v>
      </c>
      <c r="G36" s="273">
        <f>ROUND((D36*E36*F36),0)</f>
        <v>13823</v>
      </c>
    </row>
    <row r="37" spans="1:8" ht="13.8" thickTop="1" x14ac:dyDescent="0.25">
      <c r="A37" s="349"/>
      <c r="B37" s="270" t="s">
        <v>121</v>
      </c>
      <c r="C37" s="271" t="s">
        <v>122</v>
      </c>
      <c r="D37" s="272">
        <v>0.05</v>
      </c>
      <c r="E37" s="273">
        <f>G36</f>
        <v>13823</v>
      </c>
      <c r="F37" s="281">
        <v>0</v>
      </c>
      <c r="G37" s="273">
        <f>ROUND((D37*E37),0)</f>
        <v>691</v>
      </c>
    </row>
    <row r="38" spans="1:8" ht="13.8" thickBot="1" x14ac:dyDescent="0.3">
      <c r="A38" s="337"/>
      <c r="B38" s="284" t="s">
        <v>175</v>
      </c>
      <c r="C38" s="285" t="s">
        <v>122</v>
      </c>
      <c r="D38" s="286">
        <v>0.05</v>
      </c>
      <c r="E38" s="287">
        <f>G36</f>
        <v>13823</v>
      </c>
      <c r="F38" s="281">
        <v>0</v>
      </c>
      <c r="G38" s="287">
        <f>ROUND((D38*E38),0)</f>
        <v>691</v>
      </c>
    </row>
    <row r="39" spans="1:8" ht="13.8" thickTop="1" x14ac:dyDescent="0.25">
      <c r="A39" s="288"/>
      <c r="B39" s="277" t="s">
        <v>170</v>
      </c>
      <c r="C39" s="278" t="s">
        <v>2</v>
      </c>
      <c r="D39" s="289">
        <f>5/50</f>
        <v>0.1</v>
      </c>
      <c r="E39" s="280">
        <v>8806</v>
      </c>
      <c r="F39" s="278">
        <v>0</v>
      </c>
      <c r="G39" s="280">
        <f>ROUND((D39*E39),0)</f>
        <v>881</v>
      </c>
    </row>
    <row r="42" spans="1:8" ht="52.8" x14ac:dyDescent="0.25">
      <c r="A42" s="263">
        <f>'PPTO OFICIAL'!A73</f>
        <v>7.04</v>
      </c>
      <c r="B42" s="264" t="str">
        <f>'PPTO OFICIAL'!B73</f>
        <v>Instalación de muro seco en lámina de fibrocemento FC 10mm (1 cara) Fachada (Incluye montaje en altura + sum e inst perfilería de soporte, tratamiento de juntas + estuco plástico)</v>
      </c>
      <c r="C42" s="263" t="str">
        <f>'PPTO OFICIAL'!C73</f>
        <v>m²</v>
      </c>
      <c r="D42" s="265"/>
      <c r="E42" s="266">
        <f>ROUND(SUM(G42:G51),0)</f>
        <v>84055</v>
      </c>
      <c r="F42" s="267"/>
      <c r="G42" s="268"/>
      <c r="H42">
        <v>90772</v>
      </c>
    </row>
    <row r="43" spans="1:8" ht="13.2" x14ac:dyDescent="0.25">
      <c r="A43" s="336"/>
      <c r="B43" s="290" t="s">
        <v>367</v>
      </c>
      <c r="C43" s="291" t="s">
        <v>2</v>
      </c>
      <c r="D43" s="292">
        <v>0.42</v>
      </c>
      <c r="E43" s="287">
        <v>4500</v>
      </c>
      <c r="F43" s="293">
        <v>1.1000000000000001</v>
      </c>
      <c r="G43" s="273">
        <f>ROUND((D43*E43*F43),0)</f>
        <v>2079</v>
      </c>
    </row>
    <row r="44" spans="1:8" ht="13.2" x14ac:dyDescent="0.25">
      <c r="A44" s="336"/>
      <c r="B44" s="290" t="s">
        <v>368</v>
      </c>
      <c r="C44" s="291" t="s">
        <v>2</v>
      </c>
      <c r="D44" s="292">
        <v>0.42</v>
      </c>
      <c r="E44" s="287">
        <v>4800</v>
      </c>
      <c r="F44" s="293">
        <v>1.1000000000000001</v>
      </c>
      <c r="G44" s="273">
        <f>ROUND((D44*E44*F44),0)</f>
        <v>2218</v>
      </c>
    </row>
    <row r="45" spans="1:8" ht="13.2" x14ac:dyDescent="0.25">
      <c r="A45" s="336"/>
      <c r="B45" s="290" t="s">
        <v>197</v>
      </c>
      <c r="C45" s="291" t="s">
        <v>113</v>
      </c>
      <c r="D45" s="292">
        <v>1</v>
      </c>
      <c r="E45" s="287">
        <v>27301</v>
      </c>
      <c r="F45" s="293">
        <v>1.1000000000000001</v>
      </c>
      <c r="G45" s="273">
        <f>ROUND((D45*E45*F45),0)</f>
        <v>30031</v>
      </c>
    </row>
    <row r="46" spans="1:8" ht="13.2" x14ac:dyDescent="0.25">
      <c r="A46" s="336"/>
      <c r="B46" s="290" t="s">
        <v>198</v>
      </c>
      <c r="C46" s="291" t="s">
        <v>2</v>
      </c>
      <c r="D46" s="292">
        <v>35</v>
      </c>
      <c r="E46" s="287">
        <v>25</v>
      </c>
      <c r="F46" s="293">
        <v>0</v>
      </c>
      <c r="G46" s="287">
        <f>ROUND((D46*E46),0)</f>
        <v>875</v>
      </c>
    </row>
    <row r="47" spans="1:8" ht="13.2" x14ac:dyDescent="0.25">
      <c r="A47" s="336"/>
      <c r="B47" s="290" t="s">
        <v>199</v>
      </c>
      <c r="C47" s="291" t="s">
        <v>2</v>
      </c>
      <c r="D47" s="292">
        <v>25</v>
      </c>
      <c r="E47" s="287">
        <v>39</v>
      </c>
      <c r="F47" s="293">
        <v>0</v>
      </c>
      <c r="G47" s="287">
        <f>ROUND((D47*E47),0)</f>
        <v>975</v>
      </c>
    </row>
    <row r="48" spans="1:8" ht="13.2" x14ac:dyDescent="0.25">
      <c r="A48" s="336"/>
      <c r="B48" s="290" t="s">
        <v>200</v>
      </c>
      <c r="C48" s="291" t="s">
        <v>50</v>
      </c>
      <c r="D48" s="292">
        <v>2.5</v>
      </c>
      <c r="E48" s="287">
        <v>171</v>
      </c>
      <c r="F48" s="293">
        <v>0</v>
      </c>
      <c r="G48" s="287">
        <f>ROUND((D48*E48),0)</f>
        <v>428</v>
      </c>
    </row>
    <row r="49" spans="1:8" ht="13.8" thickBot="1" x14ac:dyDescent="0.3">
      <c r="A49" s="336"/>
      <c r="B49" s="290" t="s">
        <v>201</v>
      </c>
      <c r="C49" s="291" t="s">
        <v>43</v>
      </c>
      <c r="D49" s="294">
        <v>0.45</v>
      </c>
      <c r="E49" s="287">
        <v>2450</v>
      </c>
      <c r="F49" s="293">
        <v>1.05</v>
      </c>
      <c r="G49" s="273">
        <f>ROUND((D49*E49*F49),0)</f>
        <v>1158</v>
      </c>
    </row>
    <row r="50" spans="1:8" ht="14.4" thickTop="1" thickBot="1" x14ac:dyDescent="0.3">
      <c r="A50" s="295"/>
      <c r="B50" s="270" t="s">
        <v>777</v>
      </c>
      <c r="C50" s="271" t="s">
        <v>119</v>
      </c>
      <c r="D50" s="272">
        <v>1</v>
      </c>
      <c r="E50" s="273">
        <v>145503</v>
      </c>
      <c r="F50" s="296">
        <v>0.30299999999999999</v>
      </c>
      <c r="G50" s="273">
        <f>ROUND((D50*E50*F50),0)</f>
        <v>44087</v>
      </c>
    </row>
    <row r="51" spans="1:8" ht="13.2" x14ac:dyDescent="0.25">
      <c r="A51" s="297"/>
      <c r="B51" s="277" t="s">
        <v>121</v>
      </c>
      <c r="C51" s="278" t="s">
        <v>122</v>
      </c>
      <c r="D51" s="289">
        <v>0.05</v>
      </c>
      <c r="E51" s="280">
        <f>G50</f>
        <v>44087</v>
      </c>
      <c r="F51" s="278">
        <v>0</v>
      </c>
      <c r="G51" s="280">
        <f>ROUND((D51*E51),0)</f>
        <v>2204</v>
      </c>
    </row>
    <row r="54" spans="1:8" ht="26.4" x14ac:dyDescent="0.25">
      <c r="A54" s="263">
        <f>'PPTO OFICIAL'!A74</f>
        <v>7.05</v>
      </c>
      <c r="B54" s="264" t="str">
        <f>'PPTO OFICIAL'!B74</f>
        <v>Muro seco Superboard FC 8mm (2F) (incluye perfilería cal 24 + tratamiento de juntas)</v>
      </c>
      <c r="C54" s="263" t="str">
        <f>'PPTO OFICIAL'!C85</f>
        <v>m²</v>
      </c>
      <c r="D54" s="265"/>
      <c r="E54" s="266">
        <f>ROUND(SUM(G54:G62),0)</f>
        <v>116286</v>
      </c>
      <c r="F54" s="267"/>
      <c r="G54" s="268"/>
      <c r="H54">
        <v>119627</v>
      </c>
    </row>
    <row r="55" spans="1:8" ht="13.2" x14ac:dyDescent="0.25">
      <c r="A55" s="336"/>
      <c r="B55" s="290" t="s">
        <v>367</v>
      </c>
      <c r="C55" s="291" t="s">
        <v>2</v>
      </c>
      <c r="D55" s="292">
        <v>0.42</v>
      </c>
      <c r="E55" s="287">
        <v>4500</v>
      </c>
      <c r="F55" s="293">
        <v>1.1000000000000001</v>
      </c>
      <c r="G55" s="273">
        <f>ROUND((D55*E55*F55),0)</f>
        <v>2079</v>
      </c>
    </row>
    <row r="56" spans="1:8" ht="13.2" x14ac:dyDescent="0.25">
      <c r="A56" s="336"/>
      <c r="B56" s="290" t="s">
        <v>368</v>
      </c>
      <c r="C56" s="291" t="s">
        <v>2</v>
      </c>
      <c r="D56" s="292">
        <v>0.42</v>
      </c>
      <c r="E56" s="287">
        <v>4800</v>
      </c>
      <c r="F56" s="293">
        <v>1.1000000000000001</v>
      </c>
      <c r="G56" s="273">
        <f>ROUND((D56*E56*F56),0)</f>
        <v>2218</v>
      </c>
    </row>
    <row r="57" spans="1:8" ht="13.2" x14ac:dyDescent="0.25">
      <c r="A57" s="336"/>
      <c r="B57" s="290" t="s">
        <v>370</v>
      </c>
      <c r="C57" s="291" t="s">
        <v>113</v>
      </c>
      <c r="D57" s="292">
        <v>2</v>
      </c>
      <c r="E57" s="287">
        <v>23400</v>
      </c>
      <c r="F57" s="293">
        <v>1.1000000000000001</v>
      </c>
      <c r="G57" s="273">
        <f>ROUND((D57*E57*F57),0)</f>
        <v>51480</v>
      </c>
    </row>
    <row r="58" spans="1:8" ht="13.2" x14ac:dyDescent="0.25">
      <c r="A58" s="336"/>
      <c r="B58" s="290" t="s">
        <v>198</v>
      </c>
      <c r="C58" s="291" t="s">
        <v>2</v>
      </c>
      <c r="D58" s="292">
        <v>35</v>
      </c>
      <c r="E58" s="287">
        <v>25</v>
      </c>
      <c r="F58" s="293">
        <v>0</v>
      </c>
      <c r="G58" s="287">
        <f>ROUND((D58*E58),0)</f>
        <v>875</v>
      </c>
    </row>
    <row r="59" spans="1:8" ht="13.2" x14ac:dyDescent="0.25">
      <c r="A59" s="336"/>
      <c r="B59" s="290" t="s">
        <v>199</v>
      </c>
      <c r="C59" s="291" t="s">
        <v>2</v>
      </c>
      <c r="D59" s="292">
        <v>25</v>
      </c>
      <c r="E59" s="287">
        <v>78</v>
      </c>
      <c r="F59" s="293">
        <v>0</v>
      </c>
      <c r="G59" s="287">
        <f>ROUND((D59*E59),0)</f>
        <v>1950</v>
      </c>
    </row>
    <row r="60" spans="1:8" ht="13.8" thickBot="1" x14ac:dyDescent="0.3">
      <c r="A60" s="336"/>
      <c r="B60" s="290" t="s">
        <v>200</v>
      </c>
      <c r="C60" s="291" t="s">
        <v>50</v>
      </c>
      <c r="D60" s="292">
        <v>2.5</v>
      </c>
      <c r="E60" s="287">
        <v>284</v>
      </c>
      <c r="F60" s="293">
        <v>0</v>
      </c>
      <c r="G60" s="287">
        <f>ROUND((D60*E60),0)</f>
        <v>710</v>
      </c>
    </row>
    <row r="61" spans="1:8" ht="14.4" thickTop="1" thickBot="1" x14ac:dyDescent="0.3">
      <c r="A61" s="295"/>
      <c r="B61" s="270" t="s">
        <v>777</v>
      </c>
      <c r="C61" s="271" t="s">
        <v>119</v>
      </c>
      <c r="D61" s="272">
        <v>1</v>
      </c>
      <c r="E61" s="273">
        <v>145503</v>
      </c>
      <c r="F61" s="296">
        <v>0.37291846815740487</v>
      </c>
      <c r="G61" s="273">
        <f>ROUND((D61*E61*F61),0)</f>
        <v>54261</v>
      </c>
    </row>
    <row r="62" spans="1:8" ht="13.2" x14ac:dyDescent="0.25">
      <c r="A62" s="297"/>
      <c r="B62" s="277" t="s">
        <v>121</v>
      </c>
      <c r="C62" s="278" t="s">
        <v>122</v>
      </c>
      <c r="D62" s="289">
        <v>0.05</v>
      </c>
      <c r="E62" s="280">
        <f>G61</f>
        <v>54261</v>
      </c>
      <c r="F62" s="278">
        <v>0</v>
      </c>
      <c r="G62" s="280">
        <f>ROUND((D62*E62),0)</f>
        <v>2713</v>
      </c>
    </row>
    <row r="63" spans="1:8" x14ac:dyDescent="0.25">
      <c r="A63" s="298"/>
      <c r="B63" s="298"/>
      <c r="C63" s="298"/>
      <c r="D63" s="298"/>
      <c r="E63" s="298"/>
      <c r="F63" s="298"/>
      <c r="G63" s="298"/>
    </row>
    <row r="64" spans="1:8" x14ac:dyDescent="0.25">
      <c r="A64" s="298"/>
      <c r="B64" s="298"/>
      <c r="C64" s="298"/>
      <c r="D64" s="298"/>
      <c r="E64" s="298"/>
      <c r="F64" s="298"/>
      <c r="G64" s="298"/>
    </row>
    <row r="65" spans="1:8" ht="40.5" customHeight="1" x14ac:dyDescent="0.25">
      <c r="A65" s="263">
        <f>'PPTO OFICIAL'!A75</f>
        <v>7.06</v>
      </c>
      <c r="B65" s="264" t="str">
        <f>'PPTO OFICIAL'!B75</f>
        <v>Bordillo en concreto C20.7 Secc 0.09 x 0.14 S/placa para apoyo de muro en sistema liviano (incluye dilataciones y refuerzo) (no incluye anclajes)</v>
      </c>
      <c r="C65" s="263" t="str">
        <f>'PPTO OFICIAL'!C75</f>
        <v>m</v>
      </c>
      <c r="D65" s="265"/>
      <c r="E65" s="266">
        <f>ROUND(SUM(G65:G74),0)</f>
        <v>37850</v>
      </c>
      <c r="F65" s="267"/>
      <c r="G65" s="268"/>
    </row>
    <row r="66" spans="1:8" ht="13.2" x14ac:dyDescent="0.25">
      <c r="A66" s="336"/>
      <c r="B66" s="284" t="s">
        <v>143</v>
      </c>
      <c r="C66" s="285" t="s">
        <v>50</v>
      </c>
      <c r="D66" s="286">
        <v>2</v>
      </c>
      <c r="E66" s="287">
        <v>3650</v>
      </c>
      <c r="F66" s="285">
        <f>1/3</f>
        <v>0.33333333333333331</v>
      </c>
      <c r="G66" s="287">
        <f>ROUND((D66*E66*F66),0)</f>
        <v>2433</v>
      </c>
    </row>
    <row r="67" spans="1:8" ht="13.2" x14ac:dyDescent="0.25">
      <c r="A67" s="336"/>
      <c r="B67" s="284" t="s">
        <v>140</v>
      </c>
      <c r="C67" s="285" t="s">
        <v>50</v>
      </c>
      <c r="D67" s="286">
        <v>0.5</v>
      </c>
      <c r="E67" s="287">
        <v>3250</v>
      </c>
      <c r="F67" s="285">
        <f>1/3</f>
        <v>0.33333333333333331</v>
      </c>
      <c r="G67" s="287">
        <f>ROUND((D67*E67*F67),0)</f>
        <v>542</v>
      </c>
    </row>
    <row r="68" spans="1:8" ht="13.2" x14ac:dyDescent="0.25">
      <c r="A68" s="336"/>
      <c r="B68" s="284" t="s">
        <v>144</v>
      </c>
      <c r="C68" s="285" t="s">
        <v>139</v>
      </c>
      <c r="D68" s="286">
        <v>0.05</v>
      </c>
      <c r="E68" s="287">
        <v>2670</v>
      </c>
      <c r="F68" s="285">
        <v>0</v>
      </c>
      <c r="G68" s="287">
        <f>ROUND((D68*E68),0)</f>
        <v>134</v>
      </c>
    </row>
    <row r="69" spans="1:8" ht="13.2" x14ac:dyDescent="0.25">
      <c r="A69" s="336"/>
      <c r="B69" s="284" t="s">
        <v>164</v>
      </c>
      <c r="C69" s="285" t="s">
        <v>43</v>
      </c>
      <c r="D69" s="286">
        <v>0.2</v>
      </c>
      <c r="E69" s="287">
        <v>6545</v>
      </c>
      <c r="F69" s="281">
        <v>1.03</v>
      </c>
      <c r="G69" s="287">
        <f>ROUND((D69*E69*F69),0)</f>
        <v>1348</v>
      </c>
    </row>
    <row r="70" spans="1:8" ht="13.2" x14ac:dyDescent="0.25">
      <c r="A70" s="336"/>
      <c r="B70" s="283" t="s">
        <v>171</v>
      </c>
      <c r="C70" s="271" t="s">
        <v>43</v>
      </c>
      <c r="D70" s="272">
        <v>1</v>
      </c>
      <c r="E70" s="273">
        <f>'APUS primarios'!$E$72</f>
        <v>6671</v>
      </c>
      <c r="F70" s="281">
        <v>0.2</v>
      </c>
      <c r="G70" s="273">
        <f>ROUND((D70*E70),0)</f>
        <v>6671</v>
      </c>
    </row>
    <row r="71" spans="1:8" ht="13.8" thickBot="1" x14ac:dyDescent="0.3">
      <c r="A71" s="337"/>
      <c r="B71" s="284" t="s">
        <v>174</v>
      </c>
      <c r="C71" s="285" t="s">
        <v>142</v>
      </c>
      <c r="D71" s="286">
        <v>0.05</v>
      </c>
      <c r="E71" s="287">
        <v>7500</v>
      </c>
      <c r="F71" s="281">
        <v>0</v>
      </c>
      <c r="G71" s="287">
        <f>ROUND((D71*E71),0)</f>
        <v>375</v>
      </c>
    </row>
    <row r="72" spans="1:8" ht="16.8" thickTop="1" thickBot="1" x14ac:dyDescent="0.3">
      <c r="A72" s="274"/>
      <c r="B72" s="284" t="s">
        <v>165</v>
      </c>
      <c r="C72" s="285" t="s">
        <v>127</v>
      </c>
      <c r="D72" s="286">
        <f>0.09*0.14</f>
        <v>1.26E-2</v>
      </c>
      <c r="E72" s="287">
        <v>382058</v>
      </c>
      <c r="F72" s="285">
        <v>1.05</v>
      </c>
      <c r="G72" s="287">
        <f>ROUND((D72*E72*F72),0)</f>
        <v>5055</v>
      </c>
    </row>
    <row r="73" spans="1:8" ht="14.4" thickTop="1" thickBot="1" x14ac:dyDescent="0.3">
      <c r="A73" s="276"/>
      <c r="B73" s="284" t="s">
        <v>98</v>
      </c>
      <c r="C73" s="285" t="s">
        <v>119</v>
      </c>
      <c r="D73" s="286">
        <v>1</v>
      </c>
      <c r="E73" s="287">
        <f>' MANO DE OBRA'!$F$46</f>
        <v>148119</v>
      </c>
      <c r="F73" s="285">
        <f>1/8</f>
        <v>0.125</v>
      </c>
      <c r="G73" s="287">
        <f>ROUND((D73*E73*F73),0)</f>
        <v>18515</v>
      </c>
    </row>
    <row r="74" spans="1:8" ht="13.8" thickTop="1" x14ac:dyDescent="0.25">
      <c r="A74" s="299"/>
      <c r="B74" s="277" t="s">
        <v>121</v>
      </c>
      <c r="C74" s="278" t="s">
        <v>122</v>
      </c>
      <c r="D74" s="289">
        <v>0.15</v>
      </c>
      <c r="E74" s="280">
        <f>G73</f>
        <v>18515</v>
      </c>
      <c r="F74" s="278">
        <v>0</v>
      </c>
      <c r="G74" s="280">
        <f>ROUND((D74*E74),0)</f>
        <v>2777</v>
      </c>
    </row>
    <row r="77" spans="1:8" ht="26.4" x14ac:dyDescent="0.25">
      <c r="A77" s="263">
        <f>'PPTO OFICIAL'!A76</f>
        <v>7.07</v>
      </c>
      <c r="B77" s="264" t="str">
        <f>'PPTO OFICIAL'!B76</f>
        <v>Revoque muros interiores y exteriores (incluye carteras+filos+dilataciones)</v>
      </c>
      <c r="C77" s="263" t="str">
        <f>'PPTO OFICIAL'!C76</f>
        <v>m²</v>
      </c>
      <c r="D77" s="265"/>
      <c r="E77" s="266">
        <f>ROUND(SUM(G77:G81),0)</f>
        <v>29484</v>
      </c>
      <c r="F77" s="267"/>
      <c r="G77" s="268"/>
      <c r="H77">
        <v>28264</v>
      </c>
    </row>
    <row r="78" spans="1:8" ht="16.2" thickBot="1" x14ac:dyDescent="0.3">
      <c r="A78" s="274" t="s">
        <v>114</v>
      </c>
      <c r="B78" s="270" t="s">
        <v>138</v>
      </c>
      <c r="C78" s="271" t="s">
        <v>127</v>
      </c>
      <c r="D78" s="272">
        <v>0.03</v>
      </c>
      <c r="E78" s="273">
        <v>408916</v>
      </c>
      <c r="F78" s="271">
        <v>1.05</v>
      </c>
      <c r="G78" s="273">
        <f>ROUND((D78*E78*F78),0)</f>
        <v>12881</v>
      </c>
    </row>
    <row r="79" spans="1:8" ht="14.4" thickTop="1" thickBot="1" x14ac:dyDescent="0.3">
      <c r="A79" s="276" t="s">
        <v>118</v>
      </c>
      <c r="B79" s="270" t="s">
        <v>777</v>
      </c>
      <c r="C79" s="271" t="s">
        <v>119</v>
      </c>
      <c r="D79" s="272">
        <v>1</v>
      </c>
      <c r="E79" s="273">
        <f>' MANO DE OBRA'!F46</f>
        <v>148119</v>
      </c>
      <c r="F79" s="271">
        <v>0.10189464416727805</v>
      </c>
      <c r="G79" s="273">
        <f>ROUND((D79*E79*F79),0)</f>
        <v>15093</v>
      </c>
    </row>
    <row r="80" spans="1:8" ht="13.8" thickTop="1" x14ac:dyDescent="0.25">
      <c r="A80" s="341" t="s">
        <v>120</v>
      </c>
      <c r="B80" s="270" t="s">
        <v>175</v>
      </c>
      <c r="C80" s="271" t="s">
        <v>122</v>
      </c>
      <c r="D80" s="272">
        <v>0.05</v>
      </c>
      <c r="E80" s="273">
        <f>G79</f>
        <v>15093</v>
      </c>
      <c r="F80" s="271">
        <v>0</v>
      </c>
      <c r="G80" s="273">
        <f>ROUND((D80*E80),0)</f>
        <v>755</v>
      </c>
    </row>
    <row r="81" spans="1:8" ht="13.8" thickBot="1" x14ac:dyDescent="0.3">
      <c r="A81" s="342"/>
      <c r="B81" s="277" t="s">
        <v>121</v>
      </c>
      <c r="C81" s="278" t="s">
        <v>122</v>
      </c>
      <c r="D81" s="289">
        <v>0.05</v>
      </c>
      <c r="E81" s="280">
        <f>G79</f>
        <v>15093</v>
      </c>
      <c r="F81" s="278">
        <v>0</v>
      </c>
      <c r="G81" s="280">
        <f>ROUND((D81*E81),0)</f>
        <v>755</v>
      </c>
    </row>
    <row r="84" spans="1:8" ht="26.4" x14ac:dyDescent="0.25">
      <c r="A84" s="263">
        <f>'PPTO OFICIAL'!A77</f>
        <v>7.08</v>
      </c>
      <c r="B84" s="264" t="str">
        <f>'PPTO OFICIAL'!B77</f>
        <v>Alfajía en concreto a la vista (sencilla 1 cortagotera) (incluye refuerzo)</v>
      </c>
      <c r="C84" s="263" t="str">
        <f>'PPTO OFICIAL'!C77</f>
        <v>m</v>
      </c>
      <c r="D84" s="265"/>
      <c r="E84" s="266">
        <f>ROUND(SUM(G84:G93),0)</f>
        <v>49374</v>
      </c>
      <c r="F84" s="267"/>
      <c r="G84" s="268"/>
      <c r="H84">
        <v>50082</v>
      </c>
    </row>
    <row r="85" spans="1:8" ht="13.2" x14ac:dyDescent="0.25">
      <c r="A85" s="336"/>
      <c r="B85" s="270" t="s">
        <v>143</v>
      </c>
      <c r="C85" s="271" t="s">
        <v>50</v>
      </c>
      <c r="D85" s="272">
        <v>1</v>
      </c>
      <c r="E85" s="273">
        <v>3650</v>
      </c>
      <c r="F85" s="281">
        <f>1/3</f>
        <v>0.33333333333333331</v>
      </c>
      <c r="G85" s="273">
        <f>ROUND((D85*E85*F85),0)</f>
        <v>1217</v>
      </c>
    </row>
    <row r="86" spans="1:8" ht="13.2" x14ac:dyDescent="0.25">
      <c r="A86" s="336"/>
      <c r="B86" s="270" t="s">
        <v>144</v>
      </c>
      <c r="C86" s="271" t="s">
        <v>139</v>
      </c>
      <c r="D86" s="272">
        <v>0.2</v>
      </c>
      <c r="E86" s="273">
        <v>2670</v>
      </c>
      <c r="F86" s="281">
        <v>0</v>
      </c>
      <c r="G86" s="273">
        <f>ROUND((D86*E86),0)</f>
        <v>534</v>
      </c>
    </row>
    <row r="87" spans="1:8" ht="13.2" x14ac:dyDescent="0.25">
      <c r="A87" s="336"/>
      <c r="B87" s="270" t="s">
        <v>174</v>
      </c>
      <c r="C87" s="271" t="s">
        <v>142</v>
      </c>
      <c r="D87" s="272">
        <v>0.05</v>
      </c>
      <c r="E87" s="273">
        <v>7500</v>
      </c>
      <c r="F87" s="281">
        <v>0</v>
      </c>
      <c r="G87" s="273">
        <f>ROUND((D87*E87),0)</f>
        <v>375</v>
      </c>
    </row>
    <row r="88" spans="1:8" ht="13.2" x14ac:dyDescent="0.25">
      <c r="A88" s="336"/>
      <c r="B88" s="270" t="s">
        <v>164</v>
      </c>
      <c r="C88" s="271" t="s">
        <v>43</v>
      </c>
      <c r="D88" s="272">
        <v>0.1</v>
      </c>
      <c r="E88" s="273">
        <v>6545</v>
      </c>
      <c r="F88" s="281">
        <v>1.03</v>
      </c>
      <c r="G88" s="273">
        <f>ROUND((D88*E88*F88),0)</f>
        <v>674</v>
      </c>
    </row>
    <row r="89" spans="1:8" ht="13.8" thickBot="1" x14ac:dyDescent="0.3">
      <c r="A89" s="337"/>
      <c r="B89" s="270" t="s">
        <v>166</v>
      </c>
      <c r="C89" s="271" t="s">
        <v>50</v>
      </c>
      <c r="D89" s="272">
        <v>1</v>
      </c>
      <c r="E89" s="273">
        <v>2100</v>
      </c>
      <c r="F89" s="281">
        <f>1/3</f>
        <v>0.33333333333333331</v>
      </c>
      <c r="G89" s="273">
        <f>ROUND((D89*E89*F89),0)</f>
        <v>700</v>
      </c>
    </row>
    <row r="90" spans="1:8" ht="16.2" thickTop="1" x14ac:dyDescent="0.25">
      <c r="A90" s="343"/>
      <c r="B90" s="270" t="s">
        <v>165</v>
      </c>
      <c r="C90" s="271" t="s">
        <v>127</v>
      </c>
      <c r="D90" s="275">
        <v>2.5000000000000001E-2</v>
      </c>
      <c r="E90" s="273">
        <v>382058</v>
      </c>
      <c r="F90" s="281">
        <v>1.05</v>
      </c>
      <c r="G90" s="273">
        <f>ROUND((D90*E90*F90),0)</f>
        <v>10029</v>
      </c>
    </row>
    <row r="91" spans="1:8" ht="13.8" thickBot="1" x14ac:dyDescent="0.3">
      <c r="A91" s="344"/>
      <c r="B91" s="270" t="s">
        <v>169</v>
      </c>
      <c r="C91" s="271" t="s">
        <v>43</v>
      </c>
      <c r="D91" s="272">
        <v>1</v>
      </c>
      <c r="E91" s="273">
        <f>'APUS primarios'!E72</f>
        <v>6671</v>
      </c>
      <c r="F91" s="281">
        <v>0.2</v>
      </c>
      <c r="G91" s="273">
        <f>ROUND((D91*E91*F91),0)</f>
        <v>1334</v>
      </c>
    </row>
    <row r="92" spans="1:8" ht="13.8" thickTop="1" x14ac:dyDescent="0.25">
      <c r="A92" s="300"/>
      <c r="B92" s="270" t="s">
        <v>779</v>
      </c>
      <c r="C92" s="271" t="s">
        <v>119</v>
      </c>
      <c r="D92" s="272">
        <v>1</v>
      </c>
      <c r="E92" s="273">
        <v>197468</v>
      </c>
      <c r="F92" s="281">
        <v>0.16644843434991219</v>
      </c>
      <c r="G92" s="273">
        <f>ROUND((D92*E92*F92),0)</f>
        <v>32868</v>
      </c>
    </row>
    <row r="93" spans="1:8" ht="13.2" x14ac:dyDescent="0.25">
      <c r="A93" s="297"/>
      <c r="B93" s="277" t="s">
        <v>121</v>
      </c>
      <c r="C93" s="278" t="s">
        <v>122</v>
      </c>
      <c r="D93" s="289">
        <v>0.05</v>
      </c>
      <c r="E93" s="280">
        <f>G92</f>
        <v>32868</v>
      </c>
      <c r="F93" s="278">
        <v>0</v>
      </c>
      <c r="G93" s="280">
        <f>ROUND((D93*E93),0)</f>
        <v>1643</v>
      </c>
    </row>
    <row r="96" spans="1:8" ht="26.4" x14ac:dyDescent="0.25">
      <c r="A96" s="263">
        <f>'PPTO OFICIAL'!A78</f>
        <v>7.09</v>
      </c>
      <c r="B96" s="264" t="str">
        <f>'PPTO OFICIAL'!B78</f>
        <v>Alfajía en concreto a la vista (doble cortagotera) (incluye refuerzo)</v>
      </c>
      <c r="C96" s="263" t="str">
        <f>'PPTO OFICIAL'!C78</f>
        <v>m</v>
      </c>
      <c r="D96" s="265"/>
      <c r="E96" s="266">
        <f>ROUND(SUM(G96:G105),0)</f>
        <v>51552</v>
      </c>
      <c r="F96" s="267"/>
      <c r="G96" s="268"/>
      <c r="H96">
        <v>52154</v>
      </c>
    </row>
    <row r="97" spans="1:7" ht="13.2" x14ac:dyDescent="0.25">
      <c r="A97" s="336"/>
      <c r="B97" s="270" t="s">
        <v>143</v>
      </c>
      <c r="C97" s="271" t="s">
        <v>50</v>
      </c>
      <c r="D97" s="272">
        <v>1</v>
      </c>
      <c r="E97" s="273">
        <v>3650</v>
      </c>
      <c r="F97" s="281">
        <f>1/3</f>
        <v>0.33333333333333331</v>
      </c>
      <c r="G97" s="273">
        <f>ROUND((D97*E97*F97),0)</f>
        <v>1217</v>
      </c>
    </row>
    <row r="98" spans="1:7" ht="13.2" x14ac:dyDescent="0.25">
      <c r="A98" s="336"/>
      <c r="B98" s="270" t="s">
        <v>144</v>
      </c>
      <c r="C98" s="271" t="s">
        <v>139</v>
      </c>
      <c r="D98" s="272">
        <v>0.2</v>
      </c>
      <c r="E98" s="273">
        <v>2670</v>
      </c>
      <c r="F98" s="281">
        <v>0</v>
      </c>
      <c r="G98" s="273">
        <f>ROUND((D98*E98),0)</f>
        <v>534</v>
      </c>
    </row>
    <row r="99" spans="1:7" ht="13.2" x14ac:dyDescent="0.25">
      <c r="A99" s="336"/>
      <c r="B99" s="270" t="s">
        <v>174</v>
      </c>
      <c r="C99" s="271" t="s">
        <v>142</v>
      </c>
      <c r="D99" s="272">
        <v>0.05</v>
      </c>
      <c r="E99" s="273">
        <v>7500</v>
      </c>
      <c r="F99" s="281">
        <v>0</v>
      </c>
      <c r="G99" s="273">
        <f>ROUND((D99*E99),0)</f>
        <v>375</v>
      </c>
    </row>
    <row r="100" spans="1:7" ht="13.2" x14ac:dyDescent="0.25">
      <c r="A100" s="336"/>
      <c r="B100" s="270" t="s">
        <v>164</v>
      </c>
      <c r="C100" s="271" t="s">
        <v>43</v>
      </c>
      <c r="D100" s="272">
        <v>0.1</v>
      </c>
      <c r="E100" s="273">
        <v>6545</v>
      </c>
      <c r="F100" s="281">
        <v>1.03</v>
      </c>
      <c r="G100" s="273">
        <f>ROUND((D100*E100*F100),0)</f>
        <v>674</v>
      </c>
    </row>
    <row r="101" spans="1:7" ht="13.8" thickBot="1" x14ac:dyDescent="0.3">
      <c r="A101" s="337"/>
      <c r="B101" s="270" t="s">
        <v>166</v>
      </c>
      <c r="C101" s="271" t="s">
        <v>50</v>
      </c>
      <c r="D101" s="272">
        <v>1</v>
      </c>
      <c r="E101" s="273">
        <v>2100</v>
      </c>
      <c r="F101" s="281">
        <f>1/3</f>
        <v>0.33333333333333331</v>
      </c>
      <c r="G101" s="273">
        <f>ROUND((D101*E101*F101),0)</f>
        <v>700</v>
      </c>
    </row>
    <row r="102" spans="1:7" ht="16.2" thickTop="1" x14ac:dyDescent="0.25">
      <c r="A102" s="343"/>
      <c r="B102" s="270" t="s">
        <v>165</v>
      </c>
      <c r="C102" s="271" t="s">
        <v>127</v>
      </c>
      <c r="D102" s="275">
        <v>2.8000000000000001E-2</v>
      </c>
      <c r="E102" s="273">
        <v>382058</v>
      </c>
      <c r="F102" s="281">
        <v>1.05</v>
      </c>
      <c r="G102" s="273">
        <f>ROUND((D102*E102*F102),0)</f>
        <v>11233</v>
      </c>
    </row>
    <row r="103" spans="1:7" ht="13.8" thickBot="1" x14ac:dyDescent="0.3">
      <c r="A103" s="344"/>
      <c r="B103" s="270" t="s">
        <v>169</v>
      </c>
      <c r="C103" s="271" t="s">
        <v>43</v>
      </c>
      <c r="D103" s="272">
        <v>1</v>
      </c>
      <c r="E103" s="273">
        <f>'APUS primarios'!E72</f>
        <v>6671</v>
      </c>
      <c r="F103" s="281">
        <v>0.2</v>
      </c>
      <c r="G103" s="273">
        <f>ROUND((D103*E103*F103),0)</f>
        <v>1334</v>
      </c>
    </row>
    <row r="104" spans="1:7" ht="13.8" thickTop="1" x14ac:dyDescent="0.25">
      <c r="A104" s="300"/>
      <c r="B104" s="270" t="s">
        <v>779</v>
      </c>
      <c r="C104" s="271" t="s">
        <v>119</v>
      </c>
      <c r="D104" s="272">
        <v>1</v>
      </c>
      <c r="E104" s="273">
        <v>197468</v>
      </c>
      <c r="F104" s="281">
        <v>0.17114104254127618</v>
      </c>
      <c r="G104" s="273">
        <f>ROUND((D104*E104*F104),0)</f>
        <v>33795</v>
      </c>
    </row>
    <row r="105" spans="1:7" ht="13.2" x14ac:dyDescent="0.25">
      <c r="A105" s="297"/>
      <c r="B105" s="277" t="s">
        <v>121</v>
      </c>
      <c r="C105" s="278" t="s">
        <v>122</v>
      </c>
      <c r="D105" s="289">
        <v>0.05</v>
      </c>
      <c r="E105" s="280">
        <f>G104</f>
        <v>33795</v>
      </c>
      <c r="F105" s="278">
        <v>0</v>
      </c>
      <c r="G105" s="280">
        <f>ROUND((D105*E105),0)</f>
        <v>1690</v>
      </c>
    </row>
    <row r="107" spans="1:7" ht="39.6" x14ac:dyDescent="0.25">
      <c r="A107" s="263" t="str">
        <f>'PPTO OFICIAL'!A81</f>
        <v>8.01</v>
      </c>
      <c r="B107" s="264" t="str">
        <f>'PPTO OFICIAL'!B81</f>
        <v>Suministro e instalación de piso baldosa de grano tipo terrazzo blanco huila grano N° 1 y 2, destroncado y pulido (Incluye alistado en mortero y dilataciones plásticas)</v>
      </c>
      <c r="C107" s="263" t="str">
        <f>'PPTO OFICIAL'!C81</f>
        <v>m²</v>
      </c>
      <c r="D107" s="265"/>
      <c r="E107" s="266">
        <f>ROUND(SUM(G107:G117),0)</f>
        <v>103911</v>
      </c>
      <c r="F107" s="267"/>
      <c r="G107" s="268"/>
    </row>
    <row r="108" spans="1:7" ht="13.2" x14ac:dyDescent="0.25">
      <c r="A108" s="336"/>
      <c r="B108" s="270" t="s">
        <v>202</v>
      </c>
      <c r="C108" s="271" t="s">
        <v>43</v>
      </c>
      <c r="D108" s="272">
        <v>2</v>
      </c>
      <c r="E108" s="273">
        <v>1155</v>
      </c>
      <c r="F108" s="281">
        <v>1.05</v>
      </c>
      <c r="G108" s="273">
        <f>ROUND((D108*E108*F108),0)</f>
        <v>2426</v>
      </c>
    </row>
    <row r="109" spans="1:7" ht="13.2" x14ac:dyDescent="0.25">
      <c r="A109" s="336"/>
      <c r="B109" s="270" t="s">
        <v>203</v>
      </c>
      <c r="C109" s="271" t="s">
        <v>139</v>
      </c>
      <c r="D109" s="272">
        <v>0.04</v>
      </c>
      <c r="E109" s="273">
        <v>7082</v>
      </c>
      <c r="F109" s="281">
        <v>0</v>
      </c>
      <c r="G109" s="273">
        <f>ROUND((D109*E109),0)</f>
        <v>283</v>
      </c>
    </row>
    <row r="110" spans="1:7" ht="13.2" x14ac:dyDescent="0.25">
      <c r="A110" s="336"/>
      <c r="B110" s="270" t="s">
        <v>204</v>
      </c>
      <c r="C110" s="271" t="s">
        <v>50</v>
      </c>
      <c r="D110" s="272">
        <v>1.75</v>
      </c>
      <c r="E110" s="273">
        <v>1850</v>
      </c>
      <c r="F110" s="271">
        <v>0</v>
      </c>
      <c r="G110" s="273">
        <f>ROUND((D110*E110),0)</f>
        <v>3238</v>
      </c>
    </row>
    <row r="111" spans="1:7" ht="15.6" x14ac:dyDescent="0.25">
      <c r="A111" s="336"/>
      <c r="B111" s="270" t="s">
        <v>138</v>
      </c>
      <c r="C111" s="271" t="s">
        <v>127</v>
      </c>
      <c r="D111" s="275">
        <v>3.5000000000000003E-2</v>
      </c>
      <c r="E111" s="273">
        <v>408916</v>
      </c>
      <c r="F111" s="271">
        <v>1.05</v>
      </c>
      <c r="G111" s="273">
        <f>ROUND((D111*E111*F111),0)</f>
        <v>15028</v>
      </c>
    </row>
    <row r="112" spans="1:7" ht="15.6" x14ac:dyDescent="0.25">
      <c r="A112" s="336"/>
      <c r="B112" s="270" t="s">
        <v>205</v>
      </c>
      <c r="C112" s="271" t="s">
        <v>179</v>
      </c>
      <c r="D112" s="272">
        <v>1</v>
      </c>
      <c r="E112" s="273">
        <v>44699</v>
      </c>
      <c r="F112" s="281">
        <v>1.03</v>
      </c>
      <c r="G112" s="273">
        <f>ROUND((D112*E112*F112),0)</f>
        <v>46040</v>
      </c>
    </row>
    <row r="113" spans="1:7" ht="13.2" x14ac:dyDescent="0.25">
      <c r="A113" s="336"/>
      <c r="B113" s="290" t="s">
        <v>206</v>
      </c>
      <c r="C113" s="271" t="s">
        <v>43</v>
      </c>
      <c r="D113" s="272">
        <v>0.35</v>
      </c>
      <c r="E113" s="273">
        <v>4800</v>
      </c>
      <c r="F113" s="271">
        <v>1.05</v>
      </c>
      <c r="G113" s="273">
        <f>ROUND((D113*E113*F113),0)</f>
        <v>1764</v>
      </c>
    </row>
    <row r="114" spans="1:7" ht="13.8" thickBot="1" x14ac:dyDescent="0.3">
      <c r="A114" s="337"/>
      <c r="B114" s="270" t="s">
        <v>207</v>
      </c>
      <c r="C114" s="271" t="s">
        <v>43</v>
      </c>
      <c r="D114" s="272">
        <v>4</v>
      </c>
      <c r="E114" s="273">
        <v>1150</v>
      </c>
      <c r="F114" s="271">
        <v>1.05</v>
      </c>
      <c r="G114" s="273">
        <f>ROUND((D114*E114*F114),0)</f>
        <v>4830</v>
      </c>
    </row>
    <row r="115" spans="1:7" ht="14.4" thickTop="1" thickBot="1" x14ac:dyDescent="0.3">
      <c r="A115" s="295"/>
      <c r="B115" s="270" t="s">
        <v>777</v>
      </c>
      <c r="C115" s="271" t="s">
        <v>119</v>
      </c>
      <c r="D115" s="272">
        <v>1</v>
      </c>
      <c r="E115" s="273">
        <v>145503</v>
      </c>
      <c r="F115" s="281">
        <v>0.16</v>
      </c>
      <c r="G115" s="273">
        <f>ROUND((D115*E115*F115),0)</f>
        <v>23280</v>
      </c>
    </row>
    <row r="116" spans="1:7" ht="13.8" thickTop="1" x14ac:dyDescent="0.25">
      <c r="A116" s="341"/>
      <c r="B116" s="270" t="s">
        <v>121</v>
      </c>
      <c r="C116" s="271" t="s">
        <v>122</v>
      </c>
      <c r="D116" s="272">
        <v>0.1</v>
      </c>
      <c r="E116" s="273">
        <f>G115</f>
        <v>23280</v>
      </c>
      <c r="F116" s="271">
        <v>0</v>
      </c>
      <c r="G116" s="273">
        <f>ROUND((D116*E116),0)</f>
        <v>2328</v>
      </c>
    </row>
    <row r="117" spans="1:7" ht="13.8" thickBot="1" x14ac:dyDescent="0.3">
      <c r="A117" s="342"/>
      <c r="B117" s="277" t="s">
        <v>208</v>
      </c>
      <c r="C117" s="278" t="s">
        <v>119</v>
      </c>
      <c r="D117" s="289">
        <v>1</v>
      </c>
      <c r="E117" s="280">
        <v>46938</v>
      </c>
      <c r="F117" s="278">
        <f>1/10</f>
        <v>0.1</v>
      </c>
      <c r="G117" s="280">
        <f>ROUND((D117*E117*F117),0)</f>
        <v>4694</v>
      </c>
    </row>
    <row r="119" spans="1:7" ht="26.4" x14ac:dyDescent="0.25">
      <c r="A119" s="263" t="str">
        <f>'PPTO OFICIAL'!A82</f>
        <v>8.02</v>
      </c>
      <c r="B119" s="264" t="str">
        <f>'PPTO OFICIAL'!B82</f>
        <v>Suministro e instalación G/escoba baldosa tipo terrazzo pulido y biselado</v>
      </c>
      <c r="C119" s="263" t="str">
        <f>'PPTO OFICIAL'!C82</f>
        <v>m</v>
      </c>
      <c r="D119" s="265"/>
      <c r="E119" s="266">
        <f>ROUND(SUM(G119:G126),0)</f>
        <v>31571</v>
      </c>
      <c r="F119" s="267"/>
      <c r="G119" s="268"/>
    </row>
    <row r="120" spans="1:7" ht="13.2" x14ac:dyDescent="0.25">
      <c r="A120" s="336"/>
      <c r="B120" s="270" t="s">
        <v>202</v>
      </c>
      <c r="C120" s="271" t="s">
        <v>43</v>
      </c>
      <c r="D120" s="272">
        <v>0.2</v>
      </c>
      <c r="E120" s="273">
        <v>1155</v>
      </c>
      <c r="F120" s="271">
        <v>1.05</v>
      </c>
      <c r="G120" s="273">
        <f>ROUND((D120*E120*F120),0)</f>
        <v>243</v>
      </c>
    </row>
    <row r="121" spans="1:7" ht="13.2" x14ac:dyDescent="0.25">
      <c r="A121" s="336"/>
      <c r="B121" s="270" t="s">
        <v>204</v>
      </c>
      <c r="C121" s="271" t="s">
        <v>50</v>
      </c>
      <c r="D121" s="272">
        <v>1</v>
      </c>
      <c r="E121" s="273">
        <v>1850</v>
      </c>
      <c r="F121" s="271">
        <v>0</v>
      </c>
      <c r="G121" s="273">
        <f>ROUND((D121*E121),0)</f>
        <v>1850</v>
      </c>
    </row>
    <row r="122" spans="1:7" ht="13.2" x14ac:dyDescent="0.25">
      <c r="A122" s="336"/>
      <c r="B122" s="270" t="s">
        <v>394</v>
      </c>
      <c r="C122" s="271" t="s">
        <v>8</v>
      </c>
      <c r="D122" s="272">
        <v>1</v>
      </c>
      <c r="E122" s="273">
        <v>19800</v>
      </c>
      <c r="F122" s="271">
        <v>1.05</v>
      </c>
      <c r="G122" s="273">
        <f>ROUND((D122*E122*F122),0)</f>
        <v>20790</v>
      </c>
    </row>
    <row r="123" spans="1:7" ht="13.2" x14ac:dyDescent="0.25">
      <c r="A123" s="336"/>
      <c r="B123" s="290" t="s">
        <v>206</v>
      </c>
      <c r="C123" s="271" t="s">
        <v>43</v>
      </c>
      <c r="D123" s="272">
        <v>0.04</v>
      </c>
      <c r="E123" s="273">
        <v>4800</v>
      </c>
      <c r="F123" s="271">
        <v>1.05</v>
      </c>
      <c r="G123" s="273">
        <f>ROUND((D123*E123*F123),0)</f>
        <v>202</v>
      </c>
    </row>
    <row r="124" spans="1:7" ht="13.8" thickBot="1" x14ac:dyDescent="0.3">
      <c r="A124" s="337"/>
      <c r="B124" s="270" t="s">
        <v>207</v>
      </c>
      <c r="C124" s="271" t="s">
        <v>43</v>
      </c>
      <c r="D124" s="272">
        <v>0.4</v>
      </c>
      <c r="E124" s="273">
        <v>1150</v>
      </c>
      <c r="F124" s="271">
        <v>1.05</v>
      </c>
      <c r="G124" s="273">
        <f>ROUND((D124*E124*F124),0)</f>
        <v>483</v>
      </c>
    </row>
    <row r="125" spans="1:7" ht="14.4" thickTop="1" thickBot="1" x14ac:dyDescent="0.3">
      <c r="A125" s="276"/>
      <c r="B125" s="270" t="s">
        <v>777</v>
      </c>
      <c r="C125" s="271" t="s">
        <v>119</v>
      </c>
      <c r="D125" s="272">
        <v>1</v>
      </c>
      <c r="E125" s="273">
        <v>145503</v>
      </c>
      <c r="F125" s="271">
        <v>0.05</v>
      </c>
      <c r="G125" s="273">
        <f>ROUND((D125*E125*F125),0)</f>
        <v>7275</v>
      </c>
    </row>
    <row r="126" spans="1:7" ht="14.4" thickTop="1" thickBot="1" x14ac:dyDescent="0.3">
      <c r="A126" s="299"/>
      <c r="B126" s="301" t="s">
        <v>121</v>
      </c>
      <c r="C126" s="302" t="s">
        <v>122</v>
      </c>
      <c r="D126" s="303">
        <v>0.1</v>
      </c>
      <c r="E126" s="304">
        <f>G125</f>
        <v>7275</v>
      </c>
      <c r="F126" s="302">
        <v>0</v>
      </c>
      <c r="G126" s="304">
        <f>ROUND((D126*E126),0)</f>
        <v>728</v>
      </c>
    </row>
    <row r="128" spans="1:7" ht="26.4" x14ac:dyDescent="0.25">
      <c r="A128" s="263" t="str">
        <f>'PPTO OFICIAL'!A83</f>
        <v>8.03</v>
      </c>
      <c r="B128" s="264" t="str">
        <f>'PPTO OFICIAL'!B83</f>
        <v>Piso porcelanato gris mate rectificado con text. 0.6 x 0.6 antideslizante tipo EMOTION (decor) piedra grafito</v>
      </c>
      <c r="C128" s="263" t="str">
        <f>'PPTO OFICIAL'!C83</f>
        <v>m²</v>
      </c>
      <c r="D128" s="265"/>
      <c r="E128" s="266">
        <f>ROUND(SUM(G128:G134),0)</f>
        <v>108534</v>
      </c>
      <c r="F128" s="267"/>
      <c r="G128" s="268"/>
    </row>
    <row r="129" spans="1:7" ht="15.6" x14ac:dyDescent="0.25">
      <c r="A129" s="336"/>
      <c r="B129" s="270" t="s">
        <v>397</v>
      </c>
      <c r="C129" s="271" t="s">
        <v>179</v>
      </c>
      <c r="D129" s="272">
        <v>1</v>
      </c>
      <c r="E129" s="273">
        <v>69500</v>
      </c>
      <c r="F129" s="281">
        <v>1.03</v>
      </c>
      <c r="G129" s="273">
        <f>ROUND((D129*E129*F129),0)</f>
        <v>71585</v>
      </c>
    </row>
    <row r="130" spans="1:7" ht="13.2" x14ac:dyDescent="0.25">
      <c r="A130" s="336"/>
      <c r="B130" s="290" t="s">
        <v>206</v>
      </c>
      <c r="C130" s="271" t="s">
        <v>43</v>
      </c>
      <c r="D130" s="272">
        <v>0.35</v>
      </c>
      <c r="E130" s="273">
        <v>4800</v>
      </c>
      <c r="F130" s="271">
        <v>1.05</v>
      </c>
      <c r="G130" s="273">
        <f>ROUND((D130*E130*F130),0)</f>
        <v>1764</v>
      </c>
    </row>
    <row r="131" spans="1:7" ht="13.8" thickBot="1" x14ac:dyDescent="0.3">
      <c r="A131" s="337"/>
      <c r="B131" s="270" t="s">
        <v>396</v>
      </c>
      <c r="C131" s="271" t="s">
        <v>43</v>
      </c>
      <c r="D131" s="272">
        <v>1</v>
      </c>
      <c r="E131" s="273">
        <v>4650</v>
      </c>
      <c r="F131" s="271">
        <v>1.05</v>
      </c>
      <c r="G131" s="273">
        <f>ROUND((D131*E131*F131),0)</f>
        <v>4883</v>
      </c>
    </row>
    <row r="132" spans="1:7" ht="14.4" thickTop="1" thickBot="1" x14ac:dyDescent="0.3">
      <c r="A132" s="295"/>
      <c r="B132" s="270" t="s">
        <v>777</v>
      </c>
      <c r="C132" s="271" t="s">
        <v>119</v>
      </c>
      <c r="D132" s="272">
        <v>1</v>
      </c>
      <c r="E132" s="273">
        <v>145503</v>
      </c>
      <c r="F132" s="281">
        <v>0.16</v>
      </c>
      <c r="G132" s="273">
        <f>ROUND((D132*E132*F132),0)</f>
        <v>23280</v>
      </c>
    </row>
    <row r="133" spans="1:7" ht="13.8" thickTop="1" x14ac:dyDescent="0.25">
      <c r="A133" s="341"/>
      <c r="B133" s="270" t="s">
        <v>121</v>
      </c>
      <c r="C133" s="271" t="s">
        <v>122</v>
      </c>
      <c r="D133" s="272">
        <v>0.1</v>
      </c>
      <c r="E133" s="273">
        <f>G132</f>
        <v>23280</v>
      </c>
      <c r="F133" s="271">
        <v>0</v>
      </c>
      <c r="G133" s="273">
        <f>ROUND((D133*E133),0)</f>
        <v>2328</v>
      </c>
    </row>
    <row r="134" spans="1:7" ht="13.8" thickBot="1" x14ac:dyDescent="0.3">
      <c r="A134" s="342"/>
      <c r="B134" s="277" t="s">
        <v>208</v>
      </c>
      <c r="C134" s="278" t="s">
        <v>119</v>
      </c>
      <c r="D134" s="289">
        <v>1</v>
      </c>
      <c r="E134" s="280">
        <v>46938</v>
      </c>
      <c r="F134" s="278">
        <f>1/10</f>
        <v>0.1</v>
      </c>
      <c r="G134" s="280">
        <f>ROUND((D134*E134*F134),0)</f>
        <v>4694</v>
      </c>
    </row>
    <row r="137" spans="1:7" ht="26.4" x14ac:dyDescent="0.25">
      <c r="A137" s="263" t="str">
        <f>'PPTO OFICIAL'!A84</f>
        <v>8.04</v>
      </c>
      <c r="B137" s="264" t="str">
        <f>'PPTO OFICIAL'!B84</f>
        <v>Piso en tablón de gres 30 X 30 de Alfa ó similar (Incluye franjas en gravilla lavada según diseño)</v>
      </c>
      <c r="C137" s="263" t="str">
        <f>'PPTO OFICIAL'!C84</f>
        <v>m²</v>
      </c>
      <c r="D137" s="265"/>
      <c r="E137" s="266">
        <f>ROUND(SUM(G137:G143),0)</f>
        <v>64213</v>
      </c>
      <c r="F137" s="267"/>
      <c r="G137" s="268"/>
    </row>
    <row r="138" spans="1:7" ht="26.4" x14ac:dyDescent="0.25">
      <c r="A138" s="347"/>
      <c r="B138" s="305" t="s">
        <v>124</v>
      </c>
      <c r="C138" s="285" t="s">
        <v>125</v>
      </c>
      <c r="D138" s="286">
        <v>0.15</v>
      </c>
      <c r="E138" s="287">
        <v>26000</v>
      </c>
      <c r="F138" s="285">
        <v>1.05</v>
      </c>
      <c r="G138" s="287">
        <f t="shared" ref="G138:G142" si="0">ROUND((D138*E138*F138),0)</f>
        <v>4095</v>
      </c>
    </row>
    <row r="139" spans="1:7" ht="15.6" x14ac:dyDescent="0.25">
      <c r="A139" s="347"/>
      <c r="B139" s="284" t="s">
        <v>398</v>
      </c>
      <c r="C139" s="285" t="s">
        <v>179</v>
      </c>
      <c r="D139" s="286">
        <v>0.7</v>
      </c>
      <c r="E139" s="287">
        <v>27700</v>
      </c>
      <c r="F139" s="285">
        <v>1.1000000000000001</v>
      </c>
      <c r="G139" s="287">
        <f t="shared" si="0"/>
        <v>21329</v>
      </c>
    </row>
    <row r="140" spans="1:7" ht="13.8" thickBot="1" x14ac:dyDescent="0.3">
      <c r="A140" s="348"/>
      <c r="B140" s="284" t="s">
        <v>207</v>
      </c>
      <c r="C140" s="285" t="s">
        <v>43</v>
      </c>
      <c r="D140" s="286">
        <v>1</v>
      </c>
      <c r="E140" s="287">
        <v>3860</v>
      </c>
      <c r="F140" s="285">
        <v>1.05</v>
      </c>
      <c r="G140" s="287">
        <f t="shared" si="0"/>
        <v>4053</v>
      </c>
    </row>
    <row r="141" spans="1:7" ht="27.6" thickTop="1" thickBot="1" x14ac:dyDescent="0.3">
      <c r="A141" s="274"/>
      <c r="B141" s="284" t="s">
        <v>210</v>
      </c>
      <c r="C141" s="285">
        <f>'[2]APUS primarios'!D86</f>
        <v>0</v>
      </c>
      <c r="D141" s="286">
        <v>0.3</v>
      </c>
      <c r="E141" s="273">
        <f>'APUS primarios'!$E$95</f>
        <v>46758</v>
      </c>
      <c r="F141" s="285">
        <v>1.05</v>
      </c>
      <c r="G141" s="287">
        <f t="shared" si="0"/>
        <v>14729</v>
      </c>
    </row>
    <row r="142" spans="1:7" ht="14.4" thickTop="1" thickBot="1" x14ac:dyDescent="0.3">
      <c r="A142" s="295"/>
      <c r="B142" s="284" t="s">
        <v>777</v>
      </c>
      <c r="C142" s="285" t="s">
        <v>119</v>
      </c>
      <c r="D142" s="286">
        <v>1</v>
      </c>
      <c r="E142" s="287">
        <v>145503</v>
      </c>
      <c r="F142" s="285">
        <f>1/8</f>
        <v>0.125</v>
      </c>
      <c r="G142" s="287">
        <f t="shared" si="0"/>
        <v>18188</v>
      </c>
    </row>
    <row r="143" spans="1:7" ht="13.8" thickTop="1" x14ac:dyDescent="0.25">
      <c r="A143" s="299"/>
      <c r="B143" s="277" t="s">
        <v>121</v>
      </c>
      <c r="C143" s="278" t="s">
        <v>122</v>
      </c>
      <c r="D143" s="289">
        <v>0.1</v>
      </c>
      <c r="E143" s="280">
        <f>G142</f>
        <v>18188</v>
      </c>
      <c r="F143" s="278">
        <v>0</v>
      </c>
      <c r="G143" s="280">
        <f>ROUND((D143*E143),0)</f>
        <v>1819</v>
      </c>
    </row>
    <row r="146" spans="1:8" ht="13.2" x14ac:dyDescent="0.25">
      <c r="A146" s="263" t="str">
        <f>+'PPTO OFICIAL'!A85</f>
        <v>8.05</v>
      </c>
      <c r="B146" s="264" t="str">
        <f>+'PPTO OFICIAL'!B85</f>
        <v>Alistado de mortero para nivelación &lt; e= 5,5cm</v>
      </c>
      <c r="C146" s="263" t="str">
        <f>+'PPTO OFICIAL'!C85</f>
        <v>m²</v>
      </c>
      <c r="D146" s="265"/>
      <c r="E146" s="266">
        <f>ROUND(SUM(G146:G149),0)</f>
        <v>31555</v>
      </c>
      <c r="F146" s="267"/>
      <c r="G146" s="268"/>
    </row>
    <row r="147" spans="1:8" ht="13.8" thickBot="1" x14ac:dyDescent="0.3">
      <c r="A147" s="274"/>
      <c r="B147" s="284" t="s">
        <v>400</v>
      </c>
      <c r="C147" s="285" t="s">
        <v>242</v>
      </c>
      <c r="D147" s="286">
        <v>0.05</v>
      </c>
      <c r="E147" s="273">
        <v>408916</v>
      </c>
      <c r="F147" s="285">
        <v>1</v>
      </c>
      <c r="G147" s="287">
        <f>ROUND((D147*E147*F147),0)</f>
        <v>20446</v>
      </c>
    </row>
    <row r="148" spans="1:8" ht="14.4" thickTop="1" thickBot="1" x14ac:dyDescent="0.3">
      <c r="A148" s="295"/>
      <c r="B148" s="284" t="s">
        <v>98</v>
      </c>
      <c r="C148" s="285" t="s">
        <v>119</v>
      </c>
      <c r="D148" s="286">
        <v>1</v>
      </c>
      <c r="E148" s="287">
        <f>' MANO DE OBRA'!$F$46</f>
        <v>148119</v>
      </c>
      <c r="F148" s="285">
        <f>1/14</f>
        <v>7.1428571428571425E-2</v>
      </c>
      <c r="G148" s="287">
        <f>ROUND((D148*E148*F148),0)</f>
        <v>10580</v>
      </c>
    </row>
    <row r="149" spans="1:8" ht="13.8" thickTop="1" x14ac:dyDescent="0.25">
      <c r="A149" s="299"/>
      <c r="B149" s="277" t="s">
        <v>121</v>
      </c>
      <c r="C149" s="278" t="s">
        <v>122</v>
      </c>
      <c r="D149" s="289">
        <v>0.05</v>
      </c>
      <c r="E149" s="280">
        <f>G148</f>
        <v>10580</v>
      </c>
      <c r="F149" s="278">
        <v>0</v>
      </c>
      <c r="G149" s="280">
        <f>ROUND((D149*E149),0)</f>
        <v>529</v>
      </c>
    </row>
    <row r="151" spans="1:8" ht="26.4" x14ac:dyDescent="0.25">
      <c r="A151" s="263" t="str">
        <f>'PPTO OFICIAL'!A86</f>
        <v>8.06</v>
      </c>
      <c r="B151" s="264" t="str">
        <f>'PPTO OFICIAL'!B86</f>
        <v>Enchape porcelanato pared Blanco mate .60 x .60 tipo (rectificado)</v>
      </c>
      <c r="C151" s="263" t="str">
        <f>'PPTO OFICIAL'!C86</f>
        <v>m²</v>
      </c>
      <c r="D151" s="265"/>
      <c r="E151" s="266">
        <f>ROUND(SUM(G151:G157),0)</f>
        <v>93045</v>
      </c>
      <c r="F151" s="267"/>
      <c r="G151" s="268"/>
    </row>
    <row r="152" spans="1:8" ht="15.6" x14ac:dyDescent="0.25">
      <c r="A152" s="336"/>
      <c r="B152" s="270" t="s">
        <v>401</v>
      </c>
      <c r="C152" s="271" t="s">
        <v>179</v>
      </c>
      <c r="D152" s="272">
        <v>1</v>
      </c>
      <c r="E152" s="273">
        <v>58600</v>
      </c>
      <c r="F152" s="281">
        <v>1.03</v>
      </c>
      <c r="G152" s="273">
        <f>ROUND((D152*E152*F152),0)</f>
        <v>60358</v>
      </c>
    </row>
    <row r="153" spans="1:8" ht="13.2" x14ac:dyDescent="0.25">
      <c r="A153" s="336"/>
      <c r="B153" s="290" t="s">
        <v>206</v>
      </c>
      <c r="C153" s="271" t="s">
        <v>43</v>
      </c>
      <c r="D153" s="272">
        <v>0.35</v>
      </c>
      <c r="E153" s="273">
        <v>4800</v>
      </c>
      <c r="F153" s="271">
        <v>1.05</v>
      </c>
      <c r="G153" s="273">
        <f>ROUND((D153*E153*F153),0)</f>
        <v>1764</v>
      </c>
    </row>
    <row r="154" spans="1:8" ht="13.8" thickBot="1" x14ac:dyDescent="0.3">
      <c r="A154" s="337"/>
      <c r="B154" s="270" t="s">
        <v>396</v>
      </c>
      <c r="C154" s="271" t="s">
        <v>43</v>
      </c>
      <c r="D154" s="272">
        <v>1</v>
      </c>
      <c r="E154" s="273">
        <v>4650</v>
      </c>
      <c r="F154" s="271">
        <v>1.05</v>
      </c>
      <c r="G154" s="273">
        <f>ROUND((D154*E154*F154),0)</f>
        <v>4883</v>
      </c>
    </row>
    <row r="155" spans="1:8" ht="14.4" thickTop="1" thickBot="1" x14ac:dyDescent="0.3">
      <c r="A155" s="295"/>
      <c r="B155" s="270" t="s">
        <v>98</v>
      </c>
      <c r="C155" s="271" t="s">
        <v>119</v>
      </c>
      <c r="D155" s="272">
        <v>1</v>
      </c>
      <c r="E155" s="273">
        <f>' MANO DE OBRA'!$F$46</f>
        <v>148119</v>
      </c>
      <c r="F155" s="281">
        <v>0.15</v>
      </c>
      <c r="G155" s="273">
        <f>ROUND((D155*E155*F155),0)</f>
        <v>22218</v>
      </c>
    </row>
    <row r="156" spans="1:8" ht="13.8" thickTop="1" x14ac:dyDescent="0.25">
      <c r="A156" s="341"/>
      <c r="B156" s="270" t="s">
        <v>121</v>
      </c>
      <c r="C156" s="271" t="s">
        <v>122</v>
      </c>
      <c r="D156" s="272">
        <v>0.1</v>
      </c>
      <c r="E156" s="273">
        <f>G155</f>
        <v>22218</v>
      </c>
      <c r="F156" s="271">
        <v>0</v>
      </c>
      <c r="G156" s="273">
        <f>ROUND((D156*E156),0)</f>
        <v>2222</v>
      </c>
    </row>
    <row r="157" spans="1:8" ht="13.8" thickBot="1" x14ac:dyDescent="0.3">
      <c r="A157" s="342"/>
      <c r="B157" s="277" t="s">
        <v>208</v>
      </c>
      <c r="C157" s="278" t="s">
        <v>119</v>
      </c>
      <c r="D157" s="289">
        <v>1</v>
      </c>
      <c r="E157" s="280">
        <v>16000</v>
      </c>
      <c r="F157" s="278">
        <f>1/10</f>
        <v>0.1</v>
      </c>
      <c r="G157" s="280">
        <f>ROUND((D157*E157*F157),0)</f>
        <v>1600</v>
      </c>
    </row>
    <row r="159" spans="1:8" ht="13.2" x14ac:dyDescent="0.25">
      <c r="A159" s="263" t="str">
        <f>'PPTO OFICIAL'!A87</f>
        <v>8.07</v>
      </c>
      <c r="B159" s="264" t="str">
        <f>'PPTO OFICIAL'!B87</f>
        <v>Empradización zonas verdes</v>
      </c>
      <c r="C159" s="263" t="str">
        <f>'PPTO OFICIAL'!C87</f>
        <v>m²</v>
      </c>
      <c r="D159" s="265"/>
      <c r="E159" s="266">
        <f>ROUND(SUM(G160:G165),0)</f>
        <v>9025</v>
      </c>
      <c r="F159" s="267"/>
      <c r="G159" s="268"/>
      <c r="H159">
        <v>9025</v>
      </c>
    </row>
    <row r="160" spans="1:8" ht="13.8" thickBot="1" x14ac:dyDescent="0.3">
      <c r="A160" s="269"/>
      <c r="B160" s="284" t="s">
        <v>780</v>
      </c>
      <c r="C160" s="285" t="s">
        <v>228</v>
      </c>
      <c r="D160" s="286">
        <v>1</v>
      </c>
      <c r="E160" s="287">
        <v>3366.9</v>
      </c>
      <c r="F160" s="285"/>
      <c r="G160" s="287">
        <f>D160*E160</f>
        <v>3366.9</v>
      </c>
    </row>
    <row r="161" spans="1:7" ht="13.8" thickTop="1" x14ac:dyDescent="0.25">
      <c r="A161" s="300"/>
      <c r="B161" s="284" t="s">
        <v>781</v>
      </c>
      <c r="C161" s="285" t="s">
        <v>242</v>
      </c>
      <c r="D161" s="286">
        <v>0.06</v>
      </c>
      <c r="E161" s="287">
        <v>34830</v>
      </c>
      <c r="F161" s="306"/>
      <c r="G161" s="287">
        <f t="shared" ref="G161:G165" si="1">D161*E161</f>
        <v>2089.7999999999997</v>
      </c>
    </row>
    <row r="162" spans="1:7" ht="13.2" x14ac:dyDescent="0.25">
      <c r="A162" s="307"/>
      <c r="B162" s="284" t="s">
        <v>129</v>
      </c>
      <c r="C162" s="285" t="s">
        <v>130</v>
      </c>
      <c r="D162" s="286">
        <v>20</v>
      </c>
      <c r="E162" s="287">
        <v>11.61</v>
      </c>
      <c r="F162" s="306"/>
      <c r="G162" s="287">
        <f t="shared" si="1"/>
        <v>232.2</v>
      </c>
    </row>
    <row r="163" spans="1:7" ht="13.2" x14ac:dyDescent="0.25">
      <c r="A163" s="307"/>
      <c r="B163" s="284" t="s">
        <v>83</v>
      </c>
      <c r="C163" s="285" t="s">
        <v>119</v>
      </c>
      <c r="D163" s="286">
        <v>0.05</v>
      </c>
      <c r="E163" s="287">
        <v>62358</v>
      </c>
      <c r="F163" s="306"/>
      <c r="G163" s="287">
        <f t="shared" si="1"/>
        <v>3117.9</v>
      </c>
    </row>
    <row r="164" spans="1:7" ht="13.2" x14ac:dyDescent="0.25">
      <c r="A164" s="307"/>
      <c r="B164" s="284" t="s">
        <v>782</v>
      </c>
      <c r="C164" s="285" t="s">
        <v>783</v>
      </c>
      <c r="D164" s="286">
        <v>0.05</v>
      </c>
      <c r="E164" s="287">
        <v>3117.9</v>
      </c>
      <c r="F164" s="306"/>
      <c r="G164" s="287">
        <f t="shared" si="1"/>
        <v>155.89500000000001</v>
      </c>
    </row>
    <row r="165" spans="1:7" ht="13.2" x14ac:dyDescent="0.25">
      <c r="A165" s="307"/>
      <c r="B165" s="284" t="s">
        <v>784</v>
      </c>
      <c r="C165" s="285" t="s">
        <v>783</v>
      </c>
      <c r="D165" s="286">
        <v>0.02</v>
      </c>
      <c r="E165" s="287">
        <v>3117.9</v>
      </c>
      <c r="F165" s="306"/>
      <c r="G165" s="287">
        <f t="shared" si="1"/>
        <v>62.358000000000004</v>
      </c>
    </row>
    <row r="167" spans="1:7" ht="26.4" x14ac:dyDescent="0.25">
      <c r="A167" s="263" t="str">
        <f>'PPTO OFICIAL'!A88</f>
        <v>8.08</v>
      </c>
      <c r="B167" s="264" t="str">
        <f>'PPTO OFICIAL'!B88</f>
        <v>Cenefa en malla acero tipo cristanac para baños tipo Alfa a=0.30m</v>
      </c>
      <c r="C167" s="263" t="s">
        <v>8</v>
      </c>
      <c r="D167" s="265"/>
      <c r="E167" s="266">
        <f>ROUND(SUM(G167:G173),0)</f>
        <v>63148</v>
      </c>
      <c r="F167" s="267"/>
      <c r="G167" s="268"/>
    </row>
    <row r="168" spans="1:7" ht="26.4" x14ac:dyDescent="0.25">
      <c r="A168" s="336"/>
      <c r="B168" s="270" t="s">
        <v>299</v>
      </c>
      <c r="C168" s="271" t="s">
        <v>179</v>
      </c>
      <c r="D168" s="272">
        <v>1</v>
      </c>
      <c r="E168" s="273">
        <v>38400</v>
      </c>
      <c r="F168" s="281">
        <v>1.03</v>
      </c>
      <c r="G168" s="273">
        <f>ROUND((D168*E168*F168),0)</f>
        <v>39552</v>
      </c>
    </row>
    <row r="169" spans="1:7" ht="13.2" x14ac:dyDescent="0.25">
      <c r="A169" s="336"/>
      <c r="B169" s="290" t="s">
        <v>206</v>
      </c>
      <c r="C169" s="271" t="s">
        <v>43</v>
      </c>
      <c r="D169" s="272">
        <v>0.35</v>
      </c>
      <c r="E169" s="273">
        <v>4800</v>
      </c>
      <c r="F169" s="271">
        <v>1.05</v>
      </c>
      <c r="G169" s="273">
        <f>ROUND((D169*E169*F169),0)</f>
        <v>1764</v>
      </c>
    </row>
    <row r="170" spans="1:7" ht="13.8" thickBot="1" x14ac:dyDescent="0.3">
      <c r="A170" s="337"/>
      <c r="B170" s="270" t="s">
        <v>207</v>
      </c>
      <c r="C170" s="271" t="s">
        <v>43</v>
      </c>
      <c r="D170" s="272">
        <v>1</v>
      </c>
      <c r="E170" s="273">
        <v>4650</v>
      </c>
      <c r="F170" s="271">
        <v>0.4</v>
      </c>
      <c r="G170" s="273">
        <f>ROUND((D170*E170*F170),0)</f>
        <v>1860</v>
      </c>
    </row>
    <row r="171" spans="1:7" ht="14.4" thickTop="1" thickBot="1" x14ac:dyDescent="0.3">
      <c r="A171" s="295"/>
      <c r="B171" s="270" t="s">
        <v>777</v>
      </c>
      <c r="C171" s="271" t="s">
        <v>119</v>
      </c>
      <c r="D171" s="272">
        <v>1</v>
      </c>
      <c r="E171" s="273">
        <v>145503</v>
      </c>
      <c r="F171" s="281">
        <v>0.1</v>
      </c>
      <c r="G171" s="273">
        <f>ROUND((D171*E171*F171),0)</f>
        <v>14550</v>
      </c>
    </row>
    <row r="172" spans="1:7" ht="13.8" thickTop="1" x14ac:dyDescent="0.25">
      <c r="A172" s="341"/>
      <c r="B172" s="270" t="s">
        <v>121</v>
      </c>
      <c r="C172" s="271" t="s">
        <v>122</v>
      </c>
      <c r="D172" s="272">
        <v>0.05</v>
      </c>
      <c r="E172" s="273">
        <f>G171</f>
        <v>14550</v>
      </c>
      <c r="F172" s="271">
        <v>0</v>
      </c>
      <c r="G172" s="273">
        <f>ROUND((D172*E172),0)</f>
        <v>728</v>
      </c>
    </row>
    <row r="173" spans="1:7" ht="13.8" thickBot="1" x14ac:dyDescent="0.3">
      <c r="A173" s="342"/>
      <c r="B173" s="277" t="s">
        <v>208</v>
      </c>
      <c r="C173" s="278" t="s">
        <v>119</v>
      </c>
      <c r="D173" s="289">
        <v>1</v>
      </c>
      <c r="E173" s="280">
        <v>46938</v>
      </c>
      <c r="F173" s="278">
        <f>1/10</f>
        <v>0.1</v>
      </c>
      <c r="G173" s="280">
        <f>ROUND((D173*E173*F173),0)</f>
        <v>4694</v>
      </c>
    </row>
    <row r="175" spans="1:7" ht="39.6" x14ac:dyDescent="0.25">
      <c r="A175" s="263" t="str">
        <f>'PPTO OFICIAL'!A89</f>
        <v>8.09</v>
      </c>
      <c r="B175" s="264" t="str">
        <f>'PPTO OFICIAL'!B89</f>
        <v>Cielo raso en lámina de yeso 12mm junta perdida + estructura en perfilería galvanizada (Incluye tratamiento de juntas)</v>
      </c>
      <c r="C175" s="263" t="str">
        <f>'PPTO OFICIAL'!C89</f>
        <v>m²</v>
      </c>
      <c r="D175" s="265"/>
      <c r="E175" s="266">
        <f>ROUND(SUM(G175:G186),0)</f>
        <v>52326</v>
      </c>
      <c r="F175" s="267"/>
      <c r="G175" s="268"/>
    </row>
    <row r="176" spans="1:7" ht="13.2" x14ac:dyDescent="0.25">
      <c r="A176" s="340"/>
      <c r="B176" s="290" t="s">
        <v>214</v>
      </c>
      <c r="C176" s="291" t="s">
        <v>2</v>
      </c>
      <c r="D176" s="292">
        <v>0.84</v>
      </c>
      <c r="E176" s="287">
        <v>3400</v>
      </c>
      <c r="F176" s="293">
        <v>1.1000000000000001</v>
      </c>
      <c r="G176" s="273">
        <f>ROUND((D176*E176*F176),0)</f>
        <v>3142</v>
      </c>
    </row>
    <row r="177" spans="1:7" ht="13.2" x14ac:dyDescent="0.25">
      <c r="A177" s="340"/>
      <c r="B177" s="290" t="s">
        <v>215</v>
      </c>
      <c r="C177" s="291" t="s">
        <v>2</v>
      </c>
      <c r="D177" s="292">
        <v>0.42</v>
      </c>
      <c r="E177" s="287">
        <v>3900</v>
      </c>
      <c r="F177" s="293">
        <v>1.1000000000000001</v>
      </c>
      <c r="G177" s="273">
        <f>ROUND((D177*E177*F177),0)</f>
        <v>1802</v>
      </c>
    </row>
    <row r="178" spans="1:7" ht="13.2" x14ac:dyDescent="0.25">
      <c r="A178" s="340"/>
      <c r="B178" s="290" t="s">
        <v>216</v>
      </c>
      <c r="C178" s="291" t="s">
        <v>2</v>
      </c>
      <c r="D178" s="292">
        <v>0.82</v>
      </c>
      <c r="E178" s="287">
        <v>1580</v>
      </c>
      <c r="F178" s="293">
        <v>1.1000000000000001</v>
      </c>
      <c r="G178" s="273">
        <f>ROUND((D178*E178*F178),0)</f>
        <v>1425</v>
      </c>
    </row>
    <row r="179" spans="1:7" ht="13.2" x14ac:dyDescent="0.25">
      <c r="A179" s="340"/>
      <c r="B179" s="290" t="s">
        <v>402</v>
      </c>
      <c r="C179" s="291" t="s">
        <v>113</v>
      </c>
      <c r="D179" s="292">
        <v>1</v>
      </c>
      <c r="E179" s="287">
        <v>19800</v>
      </c>
      <c r="F179" s="293">
        <v>1.1000000000000001</v>
      </c>
      <c r="G179" s="273">
        <f>ROUND((D179*E179*F179),0)</f>
        <v>21780</v>
      </c>
    </row>
    <row r="180" spans="1:7" ht="13.2" x14ac:dyDescent="0.25">
      <c r="A180" s="340"/>
      <c r="B180" s="290" t="s">
        <v>198</v>
      </c>
      <c r="C180" s="291" t="s">
        <v>2</v>
      </c>
      <c r="D180" s="292">
        <v>15</v>
      </c>
      <c r="E180" s="287">
        <v>25</v>
      </c>
      <c r="F180" s="293">
        <v>0</v>
      </c>
      <c r="G180" s="273">
        <f>ROUND((D180*E180),0)</f>
        <v>375</v>
      </c>
    </row>
    <row r="181" spans="1:7" ht="13.2" x14ac:dyDescent="0.25">
      <c r="A181" s="340"/>
      <c r="B181" s="290" t="s">
        <v>199</v>
      </c>
      <c r="C181" s="291" t="s">
        <v>2</v>
      </c>
      <c r="D181" s="292">
        <v>15</v>
      </c>
      <c r="E181" s="287">
        <v>39</v>
      </c>
      <c r="F181" s="293">
        <v>0</v>
      </c>
      <c r="G181" s="273">
        <f>ROUND((D181*E181),0)</f>
        <v>585</v>
      </c>
    </row>
    <row r="182" spans="1:7" ht="13.2" x14ac:dyDescent="0.25">
      <c r="A182" s="340"/>
      <c r="B182" s="290" t="s">
        <v>200</v>
      </c>
      <c r="C182" s="291" t="s">
        <v>50</v>
      </c>
      <c r="D182" s="292">
        <v>4</v>
      </c>
      <c r="E182" s="287">
        <v>142</v>
      </c>
      <c r="F182" s="293">
        <v>0</v>
      </c>
      <c r="G182" s="273">
        <f>ROUND((D182*E182),0)</f>
        <v>568</v>
      </c>
    </row>
    <row r="183" spans="1:7" ht="13.8" thickBot="1" x14ac:dyDescent="0.3">
      <c r="A183" s="340"/>
      <c r="B183" s="290" t="s">
        <v>217</v>
      </c>
      <c r="C183" s="291" t="s">
        <v>142</v>
      </c>
      <c r="D183" s="292">
        <v>0.24</v>
      </c>
      <c r="E183" s="287">
        <v>10200</v>
      </c>
      <c r="F183" s="293">
        <v>1.05</v>
      </c>
      <c r="G183" s="273">
        <f>ROUND((D183*E183*F183),0)</f>
        <v>2570</v>
      </c>
    </row>
    <row r="184" spans="1:7" ht="14.4" thickTop="1" thickBot="1" x14ac:dyDescent="0.3">
      <c r="A184" s="295"/>
      <c r="B184" s="290" t="s">
        <v>777</v>
      </c>
      <c r="C184" s="291" t="s">
        <v>119</v>
      </c>
      <c r="D184" s="292">
        <v>1</v>
      </c>
      <c r="E184" s="287">
        <v>145503</v>
      </c>
      <c r="F184" s="293">
        <v>0.12</v>
      </c>
      <c r="G184" s="273">
        <f>ROUND((D184*E184*F184),0)</f>
        <v>17460</v>
      </c>
    </row>
    <row r="185" spans="1:7" ht="13.8" thickTop="1" x14ac:dyDescent="0.25">
      <c r="A185" s="341"/>
      <c r="B185" s="290" t="s">
        <v>121</v>
      </c>
      <c r="C185" s="291" t="s">
        <v>122</v>
      </c>
      <c r="D185" s="292">
        <v>0.1</v>
      </c>
      <c r="E185" s="287">
        <f>G184</f>
        <v>17460</v>
      </c>
      <c r="F185" s="293">
        <v>0</v>
      </c>
      <c r="G185" s="273">
        <f>ROUND((D185*E185),0)</f>
        <v>1746</v>
      </c>
    </row>
    <row r="186" spans="1:7" ht="13.8" thickBot="1" x14ac:dyDescent="0.3">
      <c r="A186" s="342"/>
      <c r="B186" s="277" t="s">
        <v>175</v>
      </c>
      <c r="C186" s="278" t="s">
        <v>122</v>
      </c>
      <c r="D186" s="289">
        <v>0.05</v>
      </c>
      <c r="E186" s="280">
        <f>G184</f>
        <v>17460</v>
      </c>
      <c r="F186" s="308">
        <v>0</v>
      </c>
      <c r="G186" s="280">
        <f>ROUND((D186*E186),0)</f>
        <v>873</v>
      </c>
    </row>
    <row r="188" spans="1:7" ht="39.6" x14ac:dyDescent="0.25">
      <c r="A188" s="263" t="str">
        <f>'PPTO OFICIAL'!A90</f>
        <v>8.10</v>
      </c>
      <c r="B188" s="264" t="str">
        <f>'PPTO OFICIAL'!B90</f>
        <v>Cielo raso en lámina de yeso RH 12mm junta perdida + estructura en perfilería galvanizada (Incluye tratamiento de juntas)</v>
      </c>
      <c r="C188" s="263" t="str">
        <f>'PPTO OFICIAL'!C90</f>
        <v>m²</v>
      </c>
      <c r="D188" s="265"/>
      <c r="E188" s="266">
        <f>ROUND(SUM(G188:G199),0)</f>
        <v>57833</v>
      </c>
      <c r="F188" s="267"/>
      <c r="G188" s="268"/>
    </row>
    <row r="189" spans="1:7" ht="13.2" x14ac:dyDescent="0.25">
      <c r="A189" s="340"/>
      <c r="B189" s="290" t="s">
        <v>214</v>
      </c>
      <c r="C189" s="291" t="s">
        <v>2</v>
      </c>
      <c r="D189" s="292">
        <v>0.84</v>
      </c>
      <c r="E189" s="287">
        <v>3400</v>
      </c>
      <c r="F189" s="293">
        <v>1.1000000000000001</v>
      </c>
      <c r="G189" s="273">
        <f>ROUND((D189*E189*F189),0)</f>
        <v>3142</v>
      </c>
    </row>
    <row r="190" spans="1:7" ht="13.2" x14ac:dyDescent="0.25">
      <c r="A190" s="340"/>
      <c r="B190" s="290" t="s">
        <v>215</v>
      </c>
      <c r="C190" s="291" t="s">
        <v>2</v>
      </c>
      <c r="D190" s="292">
        <v>0.42</v>
      </c>
      <c r="E190" s="287">
        <v>3900</v>
      </c>
      <c r="F190" s="293">
        <v>1.1000000000000001</v>
      </c>
      <c r="G190" s="273">
        <f>ROUND((D190*E190*F190),0)</f>
        <v>1802</v>
      </c>
    </row>
    <row r="191" spans="1:7" ht="13.2" x14ac:dyDescent="0.25">
      <c r="A191" s="340"/>
      <c r="B191" s="290" t="s">
        <v>216</v>
      </c>
      <c r="C191" s="291" t="s">
        <v>2</v>
      </c>
      <c r="D191" s="292">
        <v>0.82</v>
      </c>
      <c r="E191" s="287">
        <v>1580</v>
      </c>
      <c r="F191" s="293">
        <v>1.1000000000000001</v>
      </c>
      <c r="G191" s="273">
        <f>ROUND((D191*E191*F191),0)</f>
        <v>1425</v>
      </c>
    </row>
    <row r="192" spans="1:7" ht="13.2" x14ac:dyDescent="0.25">
      <c r="A192" s="340"/>
      <c r="B192" s="290" t="s">
        <v>403</v>
      </c>
      <c r="C192" s="291" t="s">
        <v>113</v>
      </c>
      <c r="D192" s="292">
        <v>1</v>
      </c>
      <c r="E192" s="287">
        <v>25600</v>
      </c>
      <c r="F192" s="293">
        <v>1.1000000000000001</v>
      </c>
      <c r="G192" s="273">
        <f>ROUND((D192*E192*F192),0)</f>
        <v>28160</v>
      </c>
    </row>
    <row r="193" spans="1:8" ht="13.2" x14ac:dyDescent="0.25">
      <c r="A193" s="340"/>
      <c r="B193" s="290" t="s">
        <v>198</v>
      </c>
      <c r="C193" s="291" t="s">
        <v>2</v>
      </c>
      <c r="D193" s="292">
        <v>15</v>
      </c>
      <c r="E193" s="287">
        <v>25</v>
      </c>
      <c r="F193" s="293">
        <v>0</v>
      </c>
      <c r="G193" s="273">
        <f>ROUND((D193*E193),0)</f>
        <v>375</v>
      </c>
    </row>
    <row r="194" spans="1:8" ht="13.2" x14ac:dyDescent="0.25">
      <c r="A194" s="340"/>
      <c r="B194" s="290" t="s">
        <v>199</v>
      </c>
      <c r="C194" s="291" t="s">
        <v>2</v>
      </c>
      <c r="D194" s="292">
        <v>15</v>
      </c>
      <c r="E194" s="287">
        <v>39</v>
      </c>
      <c r="F194" s="293">
        <v>0</v>
      </c>
      <c r="G194" s="273">
        <f>ROUND((D194*E194),0)</f>
        <v>585</v>
      </c>
    </row>
    <row r="195" spans="1:8" ht="13.2" x14ac:dyDescent="0.25">
      <c r="A195" s="340"/>
      <c r="B195" s="290" t="s">
        <v>200</v>
      </c>
      <c r="C195" s="291" t="s">
        <v>50</v>
      </c>
      <c r="D195" s="292">
        <v>4</v>
      </c>
      <c r="E195" s="287">
        <v>142</v>
      </c>
      <c r="F195" s="293">
        <v>0</v>
      </c>
      <c r="G195" s="273">
        <f>ROUND((D195*E195),0)</f>
        <v>568</v>
      </c>
    </row>
    <row r="196" spans="1:8" ht="13.8" thickBot="1" x14ac:dyDescent="0.3">
      <c r="A196" s="340"/>
      <c r="B196" s="290" t="s">
        <v>217</v>
      </c>
      <c r="C196" s="291" t="s">
        <v>142</v>
      </c>
      <c r="D196" s="292">
        <v>0.24</v>
      </c>
      <c r="E196" s="287">
        <v>10200</v>
      </c>
      <c r="F196" s="293">
        <v>1.05</v>
      </c>
      <c r="G196" s="273">
        <f>ROUND((D196*E196*F196),0)</f>
        <v>2570</v>
      </c>
    </row>
    <row r="197" spans="1:8" ht="14.4" thickTop="1" thickBot="1" x14ac:dyDescent="0.3">
      <c r="A197" s="295"/>
      <c r="B197" s="290" t="s">
        <v>777</v>
      </c>
      <c r="C197" s="291" t="s">
        <v>119</v>
      </c>
      <c r="D197" s="292">
        <v>1</v>
      </c>
      <c r="E197" s="287">
        <v>145503</v>
      </c>
      <c r="F197" s="293">
        <v>0.12</v>
      </c>
      <c r="G197" s="273">
        <f>ROUND((D197*E197*F197),0)</f>
        <v>17460</v>
      </c>
    </row>
    <row r="198" spans="1:8" ht="13.8" thickTop="1" x14ac:dyDescent="0.25">
      <c r="A198" s="341"/>
      <c r="B198" s="290" t="s">
        <v>121</v>
      </c>
      <c r="C198" s="291" t="s">
        <v>122</v>
      </c>
      <c r="D198" s="292">
        <v>0.05</v>
      </c>
      <c r="E198" s="287">
        <f>G197</f>
        <v>17460</v>
      </c>
      <c r="F198" s="293">
        <v>0</v>
      </c>
      <c r="G198" s="273">
        <f>ROUND((D198*E198),0)</f>
        <v>873</v>
      </c>
    </row>
    <row r="199" spans="1:8" ht="13.8" thickBot="1" x14ac:dyDescent="0.3">
      <c r="A199" s="342"/>
      <c r="B199" s="277" t="s">
        <v>175</v>
      </c>
      <c r="C199" s="278" t="s">
        <v>122</v>
      </c>
      <c r="D199" s="289">
        <v>0.05</v>
      </c>
      <c r="E199" s="280">
        <f>G197</f>
        <v>17460</v>
      </c>
      <c r="F199" s="308">
        <v>0</v>
      </c>
      <c r="G199" s="280">
        <f>ROUND((D199*E199),0)</f>
        <v>873</v>
      </c>
    </row>
    <row r="201" spans="1:8" ht="13.2" x14ac:dyDescent="0.25">
      <c r="A201" s="263" t="str">
        <f>'PPTO OFICIAL'!A91</f>
        <v>8.11</v>
      </c>
      <c r="B201" s="264" t="s">
        <v>792</v>
      </c>
      <c r="C201" s="263" t="str">
        <f>'PPTO OFICIAL'!C91</f>
        <v>m²</v>
      </c>
      <c r="D201" s="265"/>
      <c r="E201" s="266">
        <f>ROUND(SUM(G201:G211),0)</f>
        <v>22934</v>
      </c>
      <c r="F201" s="267"/>
      <c r="G201" s="268"/>
      <c r="H201">
        <v>22933</v>
      </c>
    </row>
    <row r="202" spans="1:8" ht="13.2" x14ac:dyDescent="0.25">
      <c r="A202" s="336"/>
      <c r="B202" s="270" t="s">
        <v>218</v>
      </c>
      <c r="C202" s="271" t="s">
        <v>43</v>
      </c>
      <c r="D202" s="272">
        <v>1</v>
      </c>
      <c r="E202" s="273">
        <v>1741.5</v>
      </c>
      <c r="F202" s="271"/>
      <c r="G202" s="273">
        <f>D202*E202</f>
        <v>1741.5</v>
      </c>
    </row>
    <row r="203" spans="1:8" ht="13.8" thickBot="1" x14ac:dyDescent="0.3">
      <c r="A203" s="337"/>
      <c r="B203" s="270" t="s">
        <v>785</v>
      </c>
      <c r="C203" s="271" t="s">
        <v>2</v>
      </c>
      <c r="D203" s="272">
        <v>0.2</v>
      </c>
      <c r="E203" s="273">
        <v>1388.556</v>
      </c>
      <c r="F203" s="271"/>
      <c r="G203" s="273">
        <f t="shared" ref="G203:G210" si="2">D203*E203</f>
        <v>277.71120000000002</v>
      </c>
    </row>
    <row r="204" spans="1:8" ht="14.4" thickTop="1" thickBot="1" x14ac:dyDescent="0.3">
      <c r="A204" s="295"/>
      <c r="B204" s="270" t="s">
        <v>786</v>
      </c>
      <c r="C204" s="271" t="s">
        <v>142</v>
      </c>
      <c r="D204" s="272">
        <v>0.1</v>
      </c>
      <c r="E204" s="287">
        <v>67172.905799999993</v>
      </c>
      <c r="F204" s="271"/>
      <c r="G204" s="273">
        <f t="shared" si="2"/>
        <v>6717.2905799999999</v>
      </c>
    </row>
    <row r="205" spans="1:8" ht="13.8" thickTop="1" x14ac:dyDescent="0.25">
      <c r="A205" s="341"/>
      <c r="B205" s="270" t="s">
        <v>787</v>
      </c>
      <c r="C205" s="271" t="s">
        <v>788</v>
      </c>
      <c r="D205" s="272">
        <v>0.2</v>
      </c>
      <c r="E205" s="273">
        <v>6733.8</v>
      </c>
      <c r="F205" s="271"/>
      <c r="G205" s="273">
        <f t="shared" si="2"/>
        <v>1346.7600000000002</v>
      </c>
    </row>
    <row r="206" spans="1:8" ht="13.2" x14ac:dyDescent="0.25">
      <c r="A206" s="345"/>
      <c r="B206" s="270" t="s">
        <v>789</v>
      </c>
      <c r="C206" s="271" t="s">
        <v>2</v>
      </c>
      <c r="D206" s="272">
        <v>0.2</v>
      </c>
      <c r="E206" s="273">
        <v>8707.5</v>
      </c>
      <c r="F206" s="271"/>
      <c r="G206" s="273">
        <f t="shared" si="2"/>
        <v>1741.5</v>
      </c>
    </row>
    <row r="207" spans="1:8" ht="13.2" x14ac:dyDescent="0.25">
      <c r="A207" s="345"/>
      <c r="B207" s="270" t="s">
        <v>790</v>
      </c>
      <c r="C207" s="271" t="s">
        <v>119</v>
      </c>
      <c r="D207" s="272">
        <v>0.125</v>
      </c>
      <c r="E207" s="273">
        <v>1482.2640000000001</v>
      </c>
      <c r="F207" s="271"/>
      <c r="G207" s="273">
        <f t="shared" si="2"/>
        <v>185.28300000000002</v>
      </c>
    </row>
    <row r="208" spans="1:8" ht="13.2" x14ac:dyDescent="0.25">
      <c r="A208" s="345"/>
      <c r="B208" s="270" t="s">
        <v>92</v>
      </c>
      <c r="C208" s="271" t="s">
        <v>119</v>
      </c>
      <c r="D208" s="272">
        <v>7.6999999999999999E-2</v>
      </c>
      <c r="E208" s="273">
        <v>83144</v>
      </c>
      <c r="F208" s="271"/>
      <c r="G208" s="273">
        <f t="shared" si="2"/>
        <v>6402.0879999999997</v>
      </c>
    </row>
    <row r="209" spans="1:8" ht="13.2" x14ac:dyDescent="0.25">
      <c r="A209" s="345"/>
      <c r="B209" s="270" t="s">
        <v>82</v>
      </c>
      <c r="C209" s="271" t="s">
        <v>119</v>
      </c>
      <c r="D209" s="272">
        <v>7.6999999999999999E-2</v>
      </c>
      <c r="E209" s="273">
        <v>51965</v>
      </c>
      <c r="F209" s="271"/>
      <c r="G209" s="273">
        <f t="shared" si="2"/>
        <v>4001.3049999999998</v>
      </c>
    </row>
    <row r="210" spans="1:8" ht="13.2" x14ac:dyDescent="0.25">
      <c r="A210" s="345"/>
      <c r="B210" s="270" t="s">
        <v>784</v>
      </c>
      <c r="C210" s="271" t="s">
        <v>783</v>
      </c>
      <c r="D210" s="272">
        <v>0.05</v>
      </c>
      <c r="E210" s="273">
        <v>10403.393</v>
      </c>
      <c r="F210" s="271"/>
      <c r="G210" s="273">
        <f t="shared" si="2"/>
        <v>520.16965000000005</v>
      </c>
    </row>
    <row r="211" spans="1:8" ht="13.8" thickBot="1" x14ac:dyDescent="0.3">
      <c r="A211" s="342"/>
      <c r="B211" s="277"/>
      <c r="C211" s="278"/>
      <c r="D211" s="289"/>
      <c r="E211" s="280"/>
      <c r="F211" s="308"/>
      <c r="G211" s="280"/>
    </row>
    <row r="213" spans="1:8" ht="13.2" x14ac:dyDescent="0.25">
      <c r="A213" s="263" t="str">
        <f>'PPTO OFICIAL'!A92</f>
        <v>8.12</v>
      </c>
      <c r="B213" s="264" t="s">
        <v>791</v>
      </c>
      <c r="C213" s="263" t="str">
        <f>'PPTO OFICIAL'!C92</f>
        <v>m²</v>
      </c>
      <c r="D213" s="265"/>
      <c r="E213" s="266">
        <f>ROUND(SUM(G213:G223),0)</f>
        <v>25672</v>
      </c>
      <c r="F213" s="267"/>
      <c r="G213" s="268"/>
      <c r="H213">
        <v>25673</v>
      </c>
    </row>
    <row r="214" spans="1:8" ht="13.2" x14ac:dyDescent="0.25">
      <c r="A214" s="336"/>
      <c r="B214" s="270" t="s">
        <v>218</v>
      </c>
      <c r="C214" s="271" t="s">
        <v>43</v>
      </c>
      <c r="D214" s="272">
        <v>1</v>
      </c>
      <c r="E214" s="273">
        <v>1741.5</v>
      </c>
      <c r="F214" s="271"/>
      <c r="G214" s="273">
        <f>D214*E214</f>
        <v>1741.5</v>
      </c>
    </row>
    <row r="215" spans="1:8" ht="13.8" thickBot="1" x14ac:dyDescent="0.3">
      <c r="A215" s="337"/>
      <c r="B215" s="270" t="s">
        <v>785</v>
      </c>
      <c r="C215" s="271" t="s">
        <v>2</v>
      </c>
      <c r="D215" s="272">
        <v>0.2</v>
      </c>
      <c r="E215" s="273">
        <v>1388.556</v>
      </c>
      <c r="F215" s="271"/>
      <c r="G215" s="273">
        <f t="shared" ref="G215:G222" si="3">D215*E215</f>
        <v>277.71120000000002</v>
      </c>
    </row>
    <row r="216" spans="1:8" ht="14.4" thickTop="1" thickBot="1" x14ac:dyDescent="0.3">
      <c r="A216" s="295"/>
      <c r="B216" s="270" t="s">
        <v>786</v>
      </c>
      <c r="C216" s="271" t="s">
        <v>142</v>
      </c>
      <c r="D216" s="272">
        <v>0.1</v>
      </c>
      <c r="E216" s="273">
        <v>67172.905799999993</v>
      </c>
      <c r="F216" s="271"/>
      <c r="G216" s="273">
        <f t="shared" si="3"/>
        <v>6717.2905799999999</v>
      </c>
    </row>
    <row r="217" spans="1:8" ht="13.8" thickTop="1" x14ac:dyDescent="0.25">
      <c r="A217" s="341"/>
      <c r="B217" s="270" t="s">
        <v>787</v>
      </c>
      <c r="C217" s="271" t="s">
        <v>788</v>
      </c>
      <c r="D217" s="272">
        <v>0.2</v>
      </c>
      <c r="E217" s="273">
        <v>6733.8</v>
      </c>
      <c r="F217" s="271"/>
      <c r="G217" s="273">
        <f t="shared" si="3"/>
        <v>1346.7600000000002</v>
      </c>
    </row>
    <row r="218" spans="1:8" ht="13.2" x14ac:dyDescent="0.25">
      <c r="A218" s="345"/>
      <c r="B218" s="270" t="s">
        <v>789</v>
      </c>
      <c r="C218" s="271" t="s">
        <v>2</v>
      </c>
      <c r="D218" s="272">
        <v>0.2</v>
      </c>
      <c r="E218" s="273">
        <v>8707.5</v>
      </c>
      <c r="F218" s="271"/>
      <c r="G218" s="273">
        <f t="shared" si="3"/>
        <v>1741.5</v>
      </c>
    </row>
    <row r="219" spans="1:8" ht="13.2" x14ac:dyDescent="0.25">
      <c r="A219" s="345"/>
      <c r="B219" s="270" t="s">
        <v>790</v>
      </c>
      <c r="C219" s="271" t="s">
        <v>119</v>
      </c>
      <c r="D219" s="272">
        <v>0.25</v>
      </c>
      <c r="E219" s="273">
        <v>1482.2640000000001</v>
      </c>
      <c r="F219" s="271"/>
      <c r="G219" s="273">
        <f t="shared" si="3"/>
        <v>370.56600000000003</v>
      </c>
    </row>
    <row r="220" spans="1:8" ht="13.2" x14ac:dyDescent="0.25">
      <c r="A220" s="345"/>
      <c r="B220" s="270" t="s">
        <v>92</v>
      </c>
      <c r="C220" s="271" t="s">
        <v>119</v>
      </c>
      <c r="D220" s="272">
        <v>9.5000000000000001E-2</v>
      </c>
      <c r="E220" s="273">
        <v>83144</v>
      </c>
      <c r="F220" s="271"/>
      <c r="G220" s="273">
        <f t="shared" si="3"/>
        <v>7898.68</v>
      </c>
    </row>
    <row r="221" spans="1:8" ht="13.2" x14ac:dyDescent="0.25">
      <c r="A221" s="345"/>
      <c r="B221" s="270" t="s">
        <v>82</v>
      </c>
      <c r="C221" s="271" t="s">
        <v>119</v>
      </c>
      <c r="D221" s="272">
        <v>9.5000000000000001E-2</v>
      </c>
      <c r="E221" s="273">
        <v>51965</v>
      </c>
      <c r="F221" s="271"/>
      <c r="G221" s="273">
        <f t="shared" si="3"/>
        <v>4936.6750000000002</v>
      </c>
    </row>
    <row r="222" spans="1:8" ht="13.2" x14ac:dyDescent="0.25">
      <c r="A222" s="345"/>
      <c r="B222" s="270" t="s">
        <v>784</v>
      </c>
      <c r="C222" s="271" t="s">
        <v>783</v>
      </c>
      <c r="D222" s="272">
        <v>0.05</v>
      </c>
      <c r="E222" s="273">
        <v>12835.355</v>
      </c>
      <c r="F222" s="271"/>
      <c r="G222" s="273">
        <f t="shared" si="3"/>
        <v>641.76774999999998</v>
      </c>
    </row>
    <row r="223" spans="1:8" ht="13.2" x14ac:dyDescent="0.25">
      <c r="A223" s="345"/>
      <c r="B223" s="270"/>
      <c r="C223" s="271"/>
      <c r="D223" s="272"/>
      <c r="E223" s="273"/>
      <c r="F223" s="271"/>
      <c r="G223" s="273"/>
    </row>
    <row r="224" spans="1:8" ht="26.4" x14ac:dyDescent="0.25">
      <c r="A224" s="263" t="str">
        <f>'PPTO OFICIAL'!A93</f>
        <v>8.13</v>
      </c>
      <c r="B224" s="264" t="str">
        <f>'PPTO OFICIAL'!B93</f>
        <v>Pintura texturizada hidrorepelente tipo silcoplast color (incluye base)</v>
      </c>
      <c r="C224" s="263" t="str">
        <f>'PPTO OFICIAL'!C93</f>
        <v>m²</v>
      </c>
      <c r="D224" s="265"/>
      <c r="E224" s="266">
        <f>ROUND(SUM(G224:G228),0)</f>
        <v>26709</v>
      </c>
      <c r="F224" s="267"/>
      <c r="G224" s="268"/>
      <c r="H224">
        <v>27750</v>
      </c>
    </row>
    <row r="225" spans="1:8" ht="13.8" thickBot="1" x14ac:dyDescent="0.3">
      <c r="A225" s="274"/>
      <c r="B225" s="270" t="s">
        <v>219</v>
      </c>
      <c r="C225" s="271" t="s">
        <v>142</v>
      </c>
      <c r="D225" s="272">
        <v>0.12</v>
      </c>
      <c r="E225" s="273">
        <v>54000</v>
      </c>
      <c r="F225" s="271">
        <v>1.5394291725105189</v>
      </c>
      <c r="G225" s="273">
        <f>ROUND((D225*E225*F225),0)</f>
        <v>9976</v>
      </c>
    </row>
    <row r="226" spans="1:8" ht="14.4" thickTop="1" thickBot="1" x14ac:dyDescent="0.3">
      <c r="A226" s="295"/>
      <c r="B226" s="270" t="s">
        <v>777</v>
      </c>
      <c r="C226" s="271" t="s">
        <v>119</v>
      </c>
      <c r="D226" s="272">
        <v>1</v>
      </c>
      <c r="E226" s="287">
        <v>145503</v>
      </c>
      <c r="F226" s="271">
        <f>1/10</f>
        <v>0.1</v>
      </c>
      <c r="G226" s="273">
        <f>ROUND((D226*E226*F226),0)</f>
        <v>14550</v>
      </c>
    </row>
    <row r="227" spans="1:8" ht="13.8" thickTop="1" x14ac:dyDescent="0.25">
      <c r="A227" s="341"/>
      <c r="B227" s="270" t="s">
        <v>121</v>
      </c>
      <c r="C227" s="271" t="s">
        <v>122</v>
      </c>
      <c r="D227" s="272">
        <v>0.05</v>
      </c>
      <c r="E227" s="273">
        <f>G226</f>
        <v>14550</v>
      </c>
      <c r="F227" s="271">
        <v>0</v>
      </c>
      <c r="G227" s="273">
        <f>ROUND((D227*E227),0)</f>
        <v>728</v>
      </c>
    </row>
    <row r="228" spans="1:8" ht="13.8" thickBot="1" x14ac:dyDescent="0.3">
      <c r="A228" s="342"/>
      <c r="B228" s="277" t="s">
        <v>175</v>
      </c>
      <c r="C228" s="278" t="s">
        <v>122</v>
      </c>
      <c r="D228" s="289">
        <v>0.1</v>
      </c>
      <c r="E228" s="280">
        <f>G226</f>
        <v>14550</v>
      </c>
      <c r="F228" s="308">
        <v>0</v>
      </c>
      <c r="G228" s="280">
        <f>ROUND((D228*E228),0)</f>
        <v>1455</v>
      </c>
    </row>
    <row r="231" spans="1:8" ht="26.4" x14ac:dyDescent="0.25">
      <c r="A231" s="263" t="str">
        <f>'PPTO OFICIAL'!A94</f>
        <v>8.14</v>
      </c>
      <c r="B231" s="264" t="str">
        <f>'PPTO OFICIAL'!B94</f>
        <v>Suministro e instalación de adoquín peatonal 6 x 10 x 20 (color) (incluye cama de arena)</v>
      </c>
      <c r="C231" s="263" t="str">
        <f>'PPTO OFICIAL'!C94</f>
        <v>m²</v>
      </c>
      <c r="D231" s="265"/>
      <c r="E231" s="266">
        <f>ROUND(SUM(G231:G236),0)</f>
        <v>76728</v>
      </c>
      <c r="F231" s="267"/>
      <c r="G231" s="268"/>
      <c r="H231">
        <v>83146</v>
      </c>
    </row>
    <row r="232" spans="1:8" ht="15.6" x14ac:dyDescent="0.25">
      <c r="A232" s="336"/>
      <c r="B232" s="270" t="s">
        <v>404</v>
      </c>
      <c r="C232" s="271" t="s">
        <v>179</v>
      </c>
      <c r="D232" s="272">
        <v>1</v>
      </c>
      <c r="E232" s="273">
        <v>58000</v>
      </c>
      <c r="F232" s="271">
        <v>1.05</v>
      </c>
      <c r="G232" s="273">
        <f>ROUND((D232*E232*F232),0)</f>
        <v>60900</v>
      </c>
    </row>
    <row r="233" spans="1:8" ht="13.8" thickBot="1" x14ac:dyDescent="0.3">
      <c r="A233" s="337"/>
      <c r="B233" s="270" t="s">
        <v>126</v>
      </c>
      <c r="C233" s="271" t="s">
        <v>242</v>
      </c>
      <c r="D233" s="272">
        <v>0.04</v>
      </c>
      <c r="E233" s="273">
        <v>72000</v>
      </c>
      <c r="F233" s="271">
        <v>1.05</v>
      </c>
      <c r="G233" s="273">
        <f>ROUND((D233*E233*F233),0)</f>
        <v>3024</v>
      </c>
    </row>
    <row r="234" spans="1:8" ht="14.4" thickTop="1" thickBot="1" x14ac:dyDescent="0.3">
      <c r="A234" s="295"/>
      <c r="B234" s="270" t="s">
        <v>777</v>
      </c>
      <c r="C234" s="271" t="s">
        <v>119</v>
      </c>
      <c r="D234" s="272">
        <v>1</v>
      </c>
      <c r="E234" s="287">
        <v>145503</v>
      </c>
      <c r="F234" s="271">
        <v>0.08</v>
      </c>
      <c r="G234" s="273">
        <f>ROUND((D234*E234*F234),0)</f>
        <v>11640</v>
      </c>
    </row>
    <row r="235" spans="1:8" ht="13.8" thickTop="1" x14ac:dyDescent="0.25">
      <c r="A235" s="341"/>
      <c r="B235" s="270" t="s">
        <v>312</v>
      </c>
      <c r="C235" s="271" t="s">
        <v>122</v>
      </c>
      <c r="D235" s="272">
        <v>0.05</v>
      </c>
      <c r="E235" s="273">
        <f>G234</f>
        <v>11640</v>
      </c>
      <c r="F235" s="271">
        <v>0</v>
      </c>
      <c r="G235" s="273">
        <f>ROUND((D235*E235),0)</f>
        <v>582</v>
      </c>
    </row>
    <row r="236" spans="1:8" ht="13.8" thickBot="1" x14ac:dyDescent="0.3">
      <c r="A236" s="342"/>
      <c r="B236" s="277" t="s">
        <v>121</v>
      </c>
      <c r="C236" s="278" t="s">
        <v>122</v>
      </c>
      <c r="D236" s="289">
        <v>0.05</v>
      </c>
      <c r="E236" s="280">
        <f>G234</f>
        <v>11640</v>
      </c>
      <c r="F236" s="308">
        <v>0</v>
      </c>
      <c r="G236" s="280">
        <f>ROUND((D236*E236),0)</f>
        <v>582</v>
      </c>
    </row>
    <row r="239" spans="1:8" ht="39.6" x14ac:dyDescent="0.25">
      <c r="A239" s="263" t="str">
        <f>'PPTO OFICIAL'!A95</f>
        <v>8.15</v>
      </c>
      <c r="B239" s="264" t="str">
        <f>'PPTO OFICIAL'!B95</f>
        <v>Cinta de confinamiento para adoquines Secc 0.10 x 0.20 C20.7 mpa  S/suelo (a la vista) (incluye dilataciones y refuerzo)</v>
      </c>
      <c r="C239" s="263" t="str">
        <f>'PPTO OFICIAL'!C95</f>
        <v>m</v>
      </c>
      <c r="D239" s="265"/>
      <c r="E239" s="266">
        <f>ROUND(SUM(G239:G248),0)</f>
        <v>36176</v>
      </c>
      <c r="F239" s="267"/>
      <c r="G239" s="268"/>
      <c r="H239">
        <v>36105</v>
      </c>
    </row>
    <row r="240" spans="1:8" ht="13.2" x14ac:dyDescent="0.25">
      <c r="A240" s="336"/>
      <c r="B240" s="270" t="s">
        <v>143</v>
      </c>
      <c r="C240" s="271" t="s">
        <v>50</v>
      </c>
      <c r="D240" s="272">
        <v>2</v>
      </c>
      <c r="E240" s="273">
        <v>3650</v>
      </c>
      <c r="F240" s="281">
        <f>1/3</f>
        <v>0.33333333333333331</v>
      </c>
      <c r="G240" s="273">
        <f>ROUND((D240*E240*F240),0)</f>
        <v>2433</v>
      </c>
    </row>
    <row r="241" spans="1:7" ht="13.2" x14ac:dyDescent="0.25">
      <c r="A241" s="336"/>
      <c r="B241" s="270" t="s">
        <v>144</v>
      </c>
      <c r="C241" s="271" t="s">
        <v>139</v>
      </c>
      <c r="D241" s="272">
        <v>0.1</v>
      </c>
      <c r="E241" s="273">
        <v>2670</v>
      </c>
      <c r="F241" s="281">
        <v>0</v>
      </c>
      <c r="G241" s="273">
        <f>ROUND((D241*E241),0)</f>
        <v>267</v>
      </c>
    </row>
    <row r="242" spans="1:7" ht="13.2" x14ac:dyDescent="0.25">
      <c r="A242" s="336"/>
      <c r="B242" s="270" t="s">
        <v>174</v>
      </c>
      <c r="C242" s="271" t="s">
        <v>142</v>
      </c>
      <c r="D242" s="272">
        <v>0.05</v>
      </c>
      <c r="E242" s="273">
        <v>7500</v>
      </c>
      <c r="F242" s="281">
        <v>0</v>
      </c>
      <c r="G242" s="273">
        <f>ROUND((D242*E242),0)</f>
        <v>375</v>
      </c>
    </row>
    <row r="243" spans="1:7" ht="13.2" x14ac:dyDescent="0.25">
      <c r="A243" s="336"/>
      <c r="B243" s="270" t="s">
        <v>164</v>
      </c>
      <c r="C243" s="271" t="s">
        <v>43</v>
      </c>
      <c r="D243" s="272">
        <v>0.1</v>
      </c>
      <c r="E243" s="273">
        <v>6545</v>
      </c>
      <c r="F243" s="271">
        <v>1.03</v>
      </c>
      <c r="G243" s="273">
        <f>ROUND((D243*E243*F243),0)</f>
        <v>674</v>
      </c>
    </row>
    <row r="244" spans="1:7" ht="13.8" thickBot="1" x14ac:dyDescent="0.3">
      <c r="A244" s="337"/>
      <c r="B244" s="270" t="s">
        <v>166</v>
      </c>
      <c r="C244" s="271" t="s">
        <v>50</v>
      </c>
      <c r="D244" s="272">
        <v>2</v>
      </c>
      <c r="E244" s="273">
        <v>2100</v>
      </c>
      <c r="F244" s="281">
        <f>1/3</f>
        <v>0.33333333333333331</v>
      </c>
      <c r="G244" s="273">
        <f>ROUND((D244*E244*F244),0)</f>
        <v>1400</v>
      </c>
    </row>
    <row r="245" spans="1:7" ht="16.2" thickTop="1" x14ac:dyDescent="0.25">
      <c r="A245" s="338"/>
      <c r="B245" s="270" t="s">
        <v>165</v>
      </c>
      <c r="C245" s="271" t="s">
        <v>127</v>
      </c>
      <c r="D245" s="272">
        <v>0.02</v>
      </c>
      <c r="E245" s="273">
        <v>382058</v>
      </c>
      <c r="F245" s="281">
        <v>0.85593271461716947</v>
      </c>
      <c r="G245" s="273">
        <f>ROUND((D245*E245*F245),0)</f>
        <v>6540</v>
      </c>
    </row>
    <row r="246" spans="1:7" ht="13.8" thickBot="1" x14ac:dyDescent="0.3">
      <c r="A246" s="339"/>
      <c r="B246" s="283" t="s">
        <v>171</v>
      </c>
      <c r="C246" s="271" t="s">
        <v>43</v>
      </c>
      <c r="D246" s="272">
        <v>1.4</v>
      </c>
      <c r="E246" s="273">
        <f>'APUS primarios'!$E$72</f>
        <v>6671</v>
      </c>
      <c r="F246" s="281">
        <v>0</v>
      </c>
      <c r="G246" s="273">
        <f>ROUND((D246*E246),0)</f>
        <v>9339</v>
      </c>
    </row>
    <row r="247" spans="1:7" ht="14.4" thickTop="1" thickBot="1" x14ac:dyDescent="0.3">
      <c r="A247" s="276"/>
      <c r="B247" s="270" t="s">
        <v>779</v>
      </c>
      <c r="C247" s="271" t="s">
        <v>119</v>
      </c>
      <c r="D247" s="272">
        <v>1</v>
      </c>
      <c r="E247" s="273">
        <v>197468</v>
      </c>
      <c r="F247" s="281">
        <v>7.3061190655614172E-2</v>
      </c>
      <c r="G247" s="273">
        <f>ROUND((D247*E247*F247),0)</f>
        <v>14427</v>
      </c>
    </row>
    <row r="248" spans="1:7" ht="13.8" thickTop="1" x14ac:dyDescent="0.25">
      <c r="A248" s="309"/>
      <c r="B248" s="270" t="s">
        <v>121</v>
      </c>
      <c r="C248" s="271" t="s">
        <v>122</v>
      </c>
      <c r="D248" s="272">
        <v>0.05</v>
      </c>
      <c r="E248" s="273">
        <f>G247</f>
        <v>14427</v>
      </c>
      <c r="F248" s="281">
        <v>0</v>
      </c>
      <c r="G248" s="273">
        <f>ROUND((D248*E248),0)</f>
        <v>721</v>
      </c>
    </row>
    <row r="251" spans="1:7" ht="39.6" x14ac:dyDescent="0.25">
      <c r="A251" s="263" t="str">
        <f>'PPTO OFICIAL'!A96</f>
        <v>8.16</v>
      </c>
      <c r="B251" s="264" t="str">
        <f>'PPTO OFICIAL'!B96</f>
        <v>Cielo raso en lámina de yeso RF5/8" (doble lámina) junta perdida + estructura en perfilería galvanizada (Incluye tratamiento de juntas)</v>
      </c>
      <c r="C251" s="263" t="str">
        <f>'PPTO OFICIAL'!C96</f>
        <v>m²</v>
      </c>
      <c r="D251" s="265"/>
      <c r="E251" s="266">
        <f>ROUND(SUM(G251:G262),0)</f>
        <v>113630</v>
      </c>
      <c r="F251" s="267"/>
      <c r="G251" s="268"/>
    </row>
    <row r="252" spans="1:7" ht="13.2" x14ac:dyDescent="0.25">
      <c r="A252" s="340"/>
      <c r="B252" s="290" t="s">
        <v>406</v>
      </c>
      <c r="C252" s="291" t="s">
        <v>2</v>
      </c>
      <c r="D252" s="292">
        <v>0.84</v>
      </c>
      <c r="E252" s="287">
        <v>4800</v>
      </c>
      <c r="F252" s="293">
        <v>1.1000000000000001</v>
      </c>
      <c r="G252" s="273">
        <f>ROUND((D252*E252*F252),0)</f>
        <v>4435</v>
      </c>
    </row>
    <row r="253" spans="1:7" ht="13.2" x14ac:dyDescent="0.25">
      <c r="A253" s="340"/>
      <c r="B253" s="290" t="s">
        <v>407</v>
      </c>
      <c r="C253" s="291" t="s">
        <v>2</v>
      </c>
      <c r="D253" s="292">
        <v>0.42</v>
      </c>
      <c r="E253" s="287">
        <v>5700</v>
      </c>
      <c r="F253" s="293">
        <v>1.1000000000000001</v>
      </c>
      <c r="G253" s="273">
        <f>ROUND((D253*E253*F253),0)</f>
        <v>2633</v>
      </c>
    </row>
    <row r="254" spans="1:7" ht="13.2" x14ac:dyDescent="0.25">
      <c r="A254" s="340"/>
      <c r="B254" s="290" t="s">
        <v>216</v>
      </c>
      <c r="C254" s="291" t="s">
        <v>2</v>
      </c>
      <c r="D254" s="292">
        <v>0.82</v>
      </c>
      <c r="E254" s="287">
        <v>1580</v>
      </c>
      <c r="F254" s="293">
        <v>1.1000000000000001</v>
      </c>
      <c r="G254" s="273">
        <f>ROUND((D254*E254*F254),0)</f>
        <v>1425</v>
      </c>
    </row>
    <row r="255" spans="1:7" ht="13.2" x14ac:dyDescent="0.25">
      <c r="A255" s="340"/>
      <c r="B255" s="290" t="s">
        <v>405</v>
      </c>
      <c r="C255" s="291" t="s">
        <v>113</v>
      </c>
      <c r="D255" s="292">
        <v>2</v>
      </c>
      <c r="E255" s="287">
        <v>36800</v>
      </c>
      <c r="F255" s="293">
        <v>1.1000000000000001</v>
      </c>
      <c r="G255" s="273">
        <f>ROUND((D255*E255*F255),0)</f>
        <v>80960</v>
      </c>
    </row>
    <row r="256" spans="1:7" ht="13.2" x14ac:dyDescent="0.25">
      <c r="A256" s="340"/>
      <c r="B256" s="290" t="s">
        <v>198</v>
      </c>
      <c r="C256" s="291" t="s">
        <v>2</v>
      </c>
      <c r="D256" s="292">
        <v>15</v>
      </c>
      <c r="E256" s="287">
        <v>25</v>
      </c>
      <c r="F256" s="293">
        <v>0</v>
      </c>
      <c r="G256" s="273">
        <f>ROUND((D256*E256),0)</f>
        <v>375</v>
      </c>
    </row>
    <row r="257" spans="1:7" ht="13.2" x14ac:dyDescent="0.25">
      <c r="A257" s="340"/>
      <c r="B257" s="290" t="s">
        <v>199</v>
      </c>
      <c r="C257" s="291" t="s">
        <v>2</v>
      </c>
      <c r="D257" s="292">
        <v>15</v>
      </c>
      <c r="E257" s="287">
        <v>39</v>
      </c>
      <c r="F257" s="293">
        <v>0</v>
      </c>
      <c r="G257" s="273">
        <f>ROUND((D257*E257),0)</f>
        <v>585</v>
      </c>
    </row>
    <row r="258" spans="1:7" ht="13.2" x14ac:dyDescent="0.25">
      <c r="A258" s="340"/>
      <c r="B258" s="290" t="s">
        <v>200</v>
      </c>
      <c r="C258" s="291" t="s">
        <v>50</v>
      </c>
      <c r="D258" s="292">
        <v>4</v>
      </c>
      <c r="E258" s="287">
        <v>142</v>
      </c>
      <c r="F258" s="293">
        <v>0</v>
      </c>
      <c r="G258" s="273">
        <f>ROUND((D258*E258),0)</f>
        <v>568</v>
      </c>
    </row>
    <row r="259" spans="1:7" ht="13.8" thickBot="1" x14ac:dyDescent="0.3">
      <c r="A259" s="340"/>
      <c r="B259" s="290" t="s">
        <v>217</v>
      </c>
      <c r="C259" s="291" t="s">
        <v>142</v>
      </c>
      <c r="D259" s="292">
        <v>0.24</v>
      </c>
      <c r="E259" s="287">
        <v>10200</v>
      </c>
      <c r="F259" s="293">
        <v>1.05</v>
      </c>
      <c r="G259" s="273">
        <f>ROUND((D259*E259*F259),0)</f>
        <v>2570</v>
      </c>
    </row>
    <row r="260" spans="1:7" ht="14.4" thickTop="1" thickBot="1" x14ac:dyDescent="0.3">
      <c r="A260" s="295"/>
      <c r="B260" s="290" t="s">
        <v>777</v>
      </c>
      <c r="C260" s="291" t="s">
        <v>119</v>
      </c>
      <c r="D260" s="292">
        <v>1</v>
      </c>
      <c r="E260" s="287">
        <v>145503</v>
      </c>
      <c r="F260" s="293">
        <v>0.12</v>
      </c>
      <c r="G260" s="273">
        <f>ROUND((D260*E260*F260),0)</f>
        <v>17460</v>
      </c>
    </row>
    <row r="261" spans="1:7" ht="13.8" thickTop="1" x14ac:dyDescent="0.25">
      <c r="A261" s="341"/>
      <c r="B261" s="290" t="s">
        <v>121</v>
      </c>
      <c r="C261" s="291" t="s">
        <v>122</v>
      </c>
      <c r="D261" s="292">
        <v>0.1</v>
      </c>
      <c r="E261" s="287">
        <f>G260</f>
        <v>17460</v>
      </c>
      <c r="F261" s="293">
        <v>0</v>
      </c>
      <c r="G261" s="273">
        <f>ROUND((D261*E261),0)</f>
        <v>1746</v>
      </c>
    </row>
    <row r="262" spans="1:7" ht="13.8" thickBot="1" x14ac:dyDescent="0.3">
      <c r="A262" s="342"/>
      <c r="B262" s="277" t="s">
        <v>175</v>
      </c>
      <c r="C262" s="278" t="s">
        <v>122</v>
      </c>
      <c r="D262" s="289">
        <v>0.05</v>
      </c>
      <c r="E262" s="280">
        <f>G260</f>
        <v>17460</v>
      </c>
      <c r="F262" s="308">
        <v>0</v>
      </c>
      <c r="G262" s="280">
        <f>ROUND((D262*E262),0)</f>
        <v>873</v>
      </c>
    </row>
    <row r="265" spans="1:7" ht="39.6" x14ac:dyDescent="0.25">
      <c r="A265" s="263" t="str">
        <f>'PPTO OFICIAL'!A97</f>
        <v>8.17</v>
      </c>
      <c r="B265" s="264" t="str">
        <f>'PPTO OFICIAL'!B97</f>
        <v>Suministro e instalación de enchape en piedra arenisca tipo Labor (GRAMAR) (incluye carteras) Cortes y cantos a 45°</v>
      </c>
      <c r="C265" s="263" t="str">
        <f>'PPTO OFICIAL'!C97</f>
        <v>m²</v>
      </c>
      <c r="D265" s="265"/>
      <c r="E265" s="266">
        <f>ROUND(SUM(G265:G273),0)</f>
        <v>146614</v>
      </c>
      <c r="F265" s="267"/>
      <c r="G265" s="268"/>
    </row>
    <row r="266" spans="1:7" ht="13.2" x14ac:dyDescent="0.25">
      <c r="A266" s="336"/>
      <c r="B266" s="270" t="s">
        <v>211</v>
      </c>
      <c r="C266" s="271" t="s">
        <v>50</v>
      </c>
      <c r="D266" s="272">
        <v>0.1</v>
      </c>
      <c r="E266" s="273">
        <v>2000</v>
      </c>
      <c r="F266" s="271">
        <v>0</v>
      </c>
      <c r="G266" s="273">
        <f>ROUND((D266*E266),0)</f>
        <v>200</v>
      </c>
    </row>
    <row r="267" spans="1:7" ht="13.2" x14ac:dyDescent="0.25">
      <c r="A267" s="336"/>
      <c r="B267" s="270" t="s">
        <v>202</v>
      </c>
      <c r="C267" s="271" t="s">
        <v>43</v>
      </c>
      <c r="D267" s="272">
        <v>2</v>
      </c>
      <c r="E267" s="273">
        <v>1155</v>
      </c>
      <c r="F267" s="271">
        <v>1.05</v>
      </c>
      <c r="G267" s="273">
        <f>ROUND((D267*E267*F267),0)</f>
        <v>2426</v>
      </c>
    </row>
    <row r="268" spans="1:7" ht="15.6" x14ac:dyDescent="0.25">
      <c r="A268" s="336"/>
      <c r="B268" s="270" t="s">
        <v>408</v>
      </c>
      <c r="C268" s="271" t="s">
        <v>179</v>
      </c>
      <c r="D268" s="272">
        <v>1</v>
      </c>
      <c r="E268" s="273">
        <v>97800</v>
      </c>
      <c r="F268" s="271">
        <v>1.1000000000000001</v>
      </c>
      <c r="G268" s="273">
        <f>ROUND((D268*E268*F268),0)</f>
        <v>107580</v>
      </c>
    </row>
    <row r="269" spans="1:7" ht="13.2" x14ac:dyDescent="0.25">
      <c r="A269" s="336"/>
      <c r="B269" s="290" t="s">
        <v>206</v>
      </c>
      <c r="C269" s="271" t="s">
        <v>43</v>
      </c>
      <c r="D269" s="272">
        <v>0.5</v>
      </c>
      <c r="E269" s="273">
        <v>4800</v>
      </c>
      <c r="F269" s="271">
        <v>1.05</v>
      </c>
      <c r="G269" s="273">
        <f>ROUND((D269*E269*F269),0)</f>
        <v>2520</v>
      </c>
    </row>
    <row r="270" spans="1:7" ht="13.8" thickBot="1" x14ac:dyDescent="0.3">
      <c r="A270" s="337"/>
      <c r="B270" s="270" t="s">
        <v>207</v>
      </c>
      <c r="C270" s="271" t="s">
        <v>43</v>
      </c>
      <c r="D270" s="272">
        <v>4</v>
      </c>
      <c r="E270" s="273">
        <v>1590</v>
      </c>
      <c r="F270" s="271">
        <v>1.05</v>
      </c>
      <c r="G270" s="273">
        <f>ROUND((D270*E270*F270),0)</f>
        <v>6678</v>
      </c>
    </row>
    <row r="271" spans="1:7" ht="14.4" thickTop="1" thickBot="1" x14ac:dyDescent="0.3">
      <c r="A271" s="295"/>
      <c r="B271" s="270" t="s">
        <v>777</v>
      </c>
      <c r="C271" s="271" t="s">
        <v>119</v>
      </c>
      <c r="D271" s="272">
        <v>1</v>
      </c>
      <c r="E271" s="287">
        <v>145503</v>
      </c>
      <c r="F271" s="271">
        <v>0.17</v>
      </c>
      <c r="G271" s="273">
        <f>ROUND((D271*E271*F271),0)</f>
        <v>24736</v>
      </c>
    </row>
    <row r="272" spans="1:7" ht="13.8" thickTop="1" x14ac:dyDescent="0.25">
      <c r="A272" s="341"/>
      <c r="B272" s="270" t="s">
        <v>175</v>
      </c>
      <c r="C272" s="271" t="s">
        <v>122</v>
      </c>
      <c r="D272" s="272">
        <v>0.05</v>
      </c>
      <c r="E272" s="273">
        <f>G271</f>
        <v>24736</v>
      </c>
      <c r="F272" s="271">
        <v>0</v>
      </c>
      <c r="G272" s="273">
        <f>ROUND((D272*E272),0)</f>
        <v>1237</v>
      </c>
    </row>
    <row r="273" spans="1:7" ht="13.8" thickBot="1" x14ac:dyDescent="0.3">
      <c r="A273" s="342"/>
      <c r="B273" s="277" t="s">
        <v>121</v>
      </c>
      <c r="C273" s="278" t="s">
        <v>122</v>
      </c>
      <c r="D273" s="289">
        <v>0.05</v>
      </c>
      <c r="E273" s="280">
        <f>G271</f>
        <v>24736</v>
      </c>
      <c r="F273" s="308">
        <v>0</v>
      </c>
      <c r="G273" s="280">
        <f>ROUND((D273*E273),0)</f>
        <v>1237</v>
      </c>
    </row>
    <row r="276" spans="1:7" ht="66" x14ac:dyDescent="0.25">
      <c r="A276" s="263" t="str">
        <f>+'PPTO OFICIAL'!A98</f>
        <v>8.18</v>
      </c>
      <c r="B276" s="264" t="str">
        <f>+'PPTO OFICIAL'!B98</f>
        <v>Suministro de instalación de mueble en madecor RH de 18mm + puertas y cajones con rieles full extension + mesón en granito san gabriel de 20mm con salpicadero y faldón (incluye equipo de horno y hornillas + pozuelo en acero inoxidable)</v>
      </c>
      <c r="C276" s="263" t="s">
        <v>8</v>
      </c>
      <c r="D276" s="265"/>
      <c r="E276" s="266">
        <f>ROUND(SUM(G276:G279),0)</f>
        <v>1382639</v>
      </c>
      <c r="F276" s="267"/>
      <c r="G276" s="268"/>
    </row>
    <row r="277" spans="1:7" ht="13.8" thickBot="1" x14ac:dyDescent="0.3">
      <c r="A277" s="274"/>
      <c r="B277" s="270" t="s">
        <v>409</v>
      </c>
      <c r="C277" s="271" t="s">
        <v>233</v>
      </c>
      <c r="D277" s="272">
        <v>1</v>
      </c>
      <c r="E277" s="273">
        <v>1375000</v>
      </c>
      <c r="F277" s="271">
        <v>0</v>
      </c>
      <c r="G277" s="273">
        <f>ROUND((D277*E277),0)</f>
        <v>1375000</v>
      </c>
    </row>
    <row r="278" spans="1:7" ht="14.4" thickTop="1" thickBot="1" x14ac:dyDescent="0.3">
      <c r="A278" s="295"/>
      <c r="B278" s="270" t="s">
        <v>777</v>
      </c>
      <c r="C278" s="271" t="s">
        <v>119</v>
      </c>
      <c r="D278" s="272">
        <v>1</v>
      </c>
      <c r="E278" s="273">
        <v>145503</v>
      </c>
      <c r="F278" s="271">
        <v>0.05</v>
      </c>
      <c r="G278" s="273">
        <f>ROUND((D278*E278*F278),0)</f>
        <v>7275</v>
      </c>
    </row>
    <row r="279" spans="1:7" ht="13.8" thickTop="1" x14ac:dyDescent="0.25">
      <c r="A279" s="299"/>
      <c r="B279" s="277" t="s">
        <v>121</v>
      </c>
      <c r="C279" s="278" t="s">
        <v>122</v>
      </c>
      <c r="D279" s="289">
        <v>0.05</v>
      </c>
      <c r="E279" s="280">
        <f>G278</f>
        <v>7275</v>
      </c>
      <c r="F279" s="278">
        <v>0</v>
      </c>
      <c r="G279" s="280">
        <f>ROUND((D279*E279),0)</f>
        <v>364</v>
      </c>
    </row>
    <row r="280" spans="1:7" x14ac:dyDescent="0.25">
      <c r="A280" s="298"/>
      <c r="B280" s="298"/>
      <c r="C280" s="298"/>
      <c r="D280" s="298"/>
      <c r="E280" s="298"/>
      <c r="F280" s="298"/>
      <c r="G280" s="298"/>
    </row>
    <row r="281" spans="1:7" ht="26.4" x14ac:dyDescent="0.25">
      <c r="A281" s="263" t="str">
        <f>+'PPTO OFICIAL'!A99</f>
        <v>8.19</v>
      </c>
      <c r="B281" s="264" t="str">
        <f>+'PPTO OFICIAL'!B99</f>
        <v>Grifería monocontrol cuello de ganso para lavaplatos de cuerpo metálico y sistema interior metálico</v>
      </c>
      <c r="C281" s="263" t="str">
        <f>+'PPTO OFICIAL'!C99</f>
        <v>Un</v>
      </c>
      <c r="D281" s="265"/>
      <c r="E281" s="266">
        <f>ROUND(SUM(G281:G284),0)</f>
        <v>369916</v>
      </c>
      <c r="F281" s="267"/>
      <c r="G281" s="268"/>
    </row>
    <row r="282" spans="1:7" ht="13.8" thickBot="1" x14ac:dyDescent="0.3">
      <c r="A282" s="274"/>
      <c r="B282" s="270" t="s">
        <v>410</v>
      </c>
      <c r="C282" s="271" t="s">
        <v>2</v>
      </c>
      <c r="D282" s="272">
        <v>1</v>
      </c>
      <c r="E282" s="273">
        <v>347000</v>
      </c>
      <c r="F282" s="271">
        <v>1</v>
      </c>
      <c r="G282" s="273">
        <f>ROUND((D282*E282*F282),0)</f>
        <v>347000</v>
      </c>
    </row>
    <row r="283" spans="1:7" ht="14.4" thickTop="1" thickBot="1" x14ac:dyDescent="0.3">
      <c r="A283" s="276"/>
      <c r="B283" s="270" t="s">
        <v>777</v>
      </c>
      <c r="C283" s="271" t="s">
        <v>119</v>
      </c>
      <c r="D283" s="272">
        <v>1</v>
      </c>
      <c r="E283" s="273">
        <v>145503</v>
      </c>
      <c r="F283" s="271">
        <v>0.15</v>
      </c>
      <c r="G283" s="273">
        <f>ROUND((D283*E283*F283),0)</f>
        <v>21825</v>
      </c>
    </row>
    <row r="284" spans="1:7" ht="14.4" thickTop="1" thickBot="1" x14ac:dyDescent="0.3">
      <c r="A284" s="310"/>
      <c r="B284" s="277" t="s">
        <v>121</v>
      </c>
      <c r="C284" s="278" t="s">
        <v>122</v>
      </c>
      <c r="D284" s="289">
        <v>0.05</v>
      </c>
      <c r="E284" s="280">
        <f>G283</f>
        <v>21825</v>
      </c>
      <c r="F284" s="278">
        <v>0</v>
      </c>
      <c r="G284" s="280">
        <f>ROUND((D284*E284),0)</f>
        <v>1091</v>
      </c>
    </row>
    <row r="287" spans="1:7" ht="13.2" x14ac:dyDescent="0.25">
      <c r="A287" s="263" t="str">
        <f>+'PPTO OFICIAL'!A100</f>
        <v>8.20</v>
      </c>
      <c r="B287" s="264" t="str">
        <f>+'PPTO OFICIAL'!B100</f>
        <v>Alzado en concreto para mueble de cocina</v>
      </c>
      <c r="C287" s="263" t="s">
        <v>8</v>
      </c>
      <c r="D287" s="265"/>
      <c r="E287" s="266">
        <f>ROUND(SUM(G287:G290),0)</f>
        <v>51805</v>
      </c>
      <c r="F287" s="267"/>
      <c r="G287" s="268"/>
    </row>
    <row r="288" spans="1:7" ht="13.8" thickBot="1" x14ac:dyDescent="0.3">
      <c r="A288" s="274"/>
      <c r="B288" s="284" t="s">
        <v>400</v>
      </c>
      <c r="C288" s="285" t="s">
        <v>242</v>
      </c>
      <c r="D288" s="286">
        <v>0.1</v>
      </c>
      <c r="E288" s="273">
        <v>408916</v>
      </c>
      <c r="F288" s="285">
        <v>1</v>
      </c>
      <c r="G288" s="287">
        <f>ROUND((D288*E288*F288),0)</f>
        <v>40892</v>
      </c>
    </row>
    <row r="289" spans="1:7" ht="14.4" thickTop="1" thickBot="1" x14ac:dyDescent="0.3">
      <c r="A289" s="295"/>
      <c r="B289" s="284" t="s">
        <v>777</v>
      </c>
      <c r="C289" s="285" t="s">
        <v>119</v>
      </c>
      <c r="D289" s="286">
        <v>1</v>
      </c>
      <c r="E289" s="287">
        <v>145503</v>
      </c>
      <c r="F289" s="285">
        <f>1/14</f>
        <v>7.1428571428571425E-2</v>
      </c>
      <c r="G289" s="287">
        <f>ROUND((D289*E289*F289),0)</f>
        <v>10393</v>
      </c>
    </row>
    <row r="290" spans="1:7" ht="13.8" thickTop="1" x14ac:dyDescent="0.25">
      <c r="A290" s="299"/>
      <c r="B290" s="277" t="s">
        <v>121</v>
      </c>
      <c r="C290" s="278" t="s">
        <v>122</v>
      </c>
      <c r="D290" s="289">
        <v>0.05</v>
      </c>
      <c r="E290" s="280">
        <f>G289</f>
        <v>10393</v>
      </c>
      <c r="F290" s="278">
        <v>0</v>
      </c>
      <c r="G290" s="280">
        <f>ROUND((D290*E290),0)</f>
        <v>520</v>
      </c>
    </row>
    <row r="293" spans="1:7" ht="39.6" x14ac:dyDescent="0.25">
      <c r="A293" s="263" t="str">
        <f>'PPTO OFICIAL'!A103</f>
        <v>9.01</v>
      </c>
      <c r="B293" s="264" t="str">
        <f>'PPTO OFICIAL'!B103</f>
        <v>Cortasol Celoscreen liso en ALUMINIO + color + paso 150 (Incluye accesorios + estructura metálica adicional + porta panel)</v>
      </c>
      <c r="C293" s="263" t="str">
        <f>'PPTO OFICIAL'!C103</f>
        <v>m²</v>
      </c>
      <c r="D293" s="265"/>
      <c r="E293" s="266">
        <f>ROUND(SUM(G294:G302),0)</f>
        <v>368486</v>
      </c>
      <c r="F293" s="267"/>
      <c r="G293" s="268"/>
    </row>
    <row r="294" spans="1:7" ht="13.2" x14ac:dyDescent="0.25">
      <c r="A294" s="358"/>
      <c r="B294" s="284" t="s">
        <v>718</v>
      </c>
      <c r="C294" s="285" t="s">
        <v>228</v>
      </c>
      <c r="D294" s="286">
        <v>1</v>
      </c>
      <c r="E294" s="287">
        <v>264000</v>
      </c>
      <c r="F294" s="285">
        <v>1</v>
      </c>
      <c r="G294" s="287">
        <f>ROUND((D294*E294*F294),0)</f>
        <v>264000</v>
      </c>
    </row>
    <row r="295" spans="1:7" ht="13.2" x14ac:dyDescent="0.25">
      <c r="A295" s="336"/>
      <c r="B295" s="284" t="s">
        <v>717</v>
      </c>
      <c r="C295" s="285" t="s">
        <v>43</v>
      </c>
      <c r="D295" s="286">
        <v>2.3199999999999998</v>
      </c>
      <c r="E295" s="287">
        <v>8500</v>
      </c>
      <c r="F295" s="285">
        <v>1</v>
      </c>
      <c r="G295" s="287">
        <f>ROUND((D295*E295*F295),0)</f>
        <v>19720</v>
      </c>
    </row>
    <row r="296" spans="1:7" ht="13.2" x14ac:dyDescent="0.25">
      <c r="A296" s="336"/>
      <c r="B296" s="284" t="s">
        <v>220</v>
      </c>
      <c r="C296" s="285" t="s">
        <v>43</v>
      </c>
      <c r="D296" s="286">
        <v>2</v>
      </c>
      <c r="E296" s="287">
        <v>7100</v>
      </c>
      <c r="F296" s="285">
        <v>1</v>
      </c>
      <c r="G296" s="287">
        <f>ROUND((D296*E296*F296),0)</f>
        <v>14200</v>
      </c>
    </row>
    <row r="297" spans="1:7" ht="13.2" x14ac:dyDescent="0.25">
      <c r="A297" s="336"/>
      <c r="B297" s="284" t="s">
        <v>184</v>
      </c>
      <c r="C297" s="285" t="s">
        <v>43</v>
      </c>
      <c r="D297" s="286">
        <v>0.7</v>
      </c>
      <c r="E297" s="287">
        <v>12975</v>
      </c>
      <c r="F297" s="285">
        <v>0</v>
      </c>
      <c r="G297" s="287">
        <f>ROUND((D297*E297),0)</f>
        <v>9083</v>
      </c>
    </row>
    <row r="298" spans="1:7" ht="13.2" x14ac:dyDescent="0.25">
      <c r="A298" s="336"/>
      <c r="B298" s="284" t="s">
        <v>185</v>
      </c>
      <c r="C298" s="285" t="s">
        <v>142</v>
      </c>
      <c r="D298" s="286">
        <v>0.25</v>
      </c>
      <c r="E298" s="287">
        <v>46323</v>
      </c>
      <c r="F298" s="285">
        <v>1</v>
      </c>
      <c r="G298" s="287">
        <f>ROUND((D298*E298*F298),0)</f>
        <v>11581</v>
      </c>
    </row>
    <row r="299" spans="1:7" ht="13.8" thickBot="1" x14ac:dyDescent="0.3">
      <c r="A299" s="337"/>
      <c r="B299" s="284" t="s">
        <v>141</v>
      </c>
      <c r="C299" s="285" t="s">
        <v>142</v>
      </c>
      <c r="D299" s="286">
        <v>0.18</v>
      </c>
      <c r="E299" s="287">
        <v>47484</v>
      </c>
      <c r="F299" s="285">
        <v>1</v>
      </c>
      <c r="G299" s="287">
        <f>ROUND((D299*E299*F299),0)</f>
        <v>8547</v>
      </c>
    </row>
    <row r="300" spans="1:7" ht="14.4" thickTop="1" thickBot="1" x14ac:dyDescent="0.3">
      <c r="A300" s="311"/>
      <c r="B300" s="312" t="s">
        <v>793</v>
      </c>
      <c r="C300" s="285" t="s">
        <v>119</v>
      </c>
      <c r="D300" s="286">
        <v>1</v>
      </c>
      <c r="E300" s="287">
        <v>155896</v>
      </c>
      <c r="F300" s="306">
        <v>0.25</v>
      </c>
      <c r="G300" s="287">
        <f>ROUND((D300*E300*F300),0)</f>
        <v>38974</v>
      </c>
    </row>
    <row r="301" spans="1:7" ht="13.8" thickTop="1" x14ac:dyDescent="0.25">
      <c r="A301" s="341"/>
      <c r="B301" s="284" t="s">
        <v>121</v>
      </c>
      <c r="C301" s="285" t="s">
        <v>122</v>
      </c>
      <c r="D301" s="286">
        <v>0.05</v>
      </c>
      <c r="E301" s="287">
        <f>G300</f>
        <v>38974</v>
      </c>
      <c r="F301" s="285">
        <v>0</v>
      </c>
      <c r="G301" s="287">
        <f>ROUND((D301*E301),0)</f>
        <v>1949</v>
      </c>
    </row>
    <row r="302" spans="1:7" ht="13.2" x14ac:dyDescent="0.25">
      <c r="A302" s="346"/>
      <c r="B302" s="313" t="s">
        <v>186</v>
      </c>
      <c r="C302" s="314" t="s">
        <v>119</v>
      </c>
      <c r="D302" s="289">
        <v>1</v>
      </c>
      <c r="E302" s="315">
        <v>64771</v>
      </c>
      <c r="F302" s="316">
        <f>1/150</f>
        <v>6.6666666666666671E-3</v>
      </c>
      <c r="G302" s="280">
        <f>ROUND((D302*E302*F302),0)</f>
        <v>432</v>
      </c>
    </row>
    <row r="305" spans="1:7" ht="39.6" x14ac:dyDescent="0.25">
      <c r="A305" s="263" t="str">
        <f>'PPTO OFICIAL'!A104</f>
        <v>9.02</v>
      </c>
      <c r="B305" s="264" t="str">
        <f>'PPTO OFICIAL'!B104</f>
        <v>Suministro e instalación de canal en lámina galvanizada cal 18 según diseño d &lt;=1.10m (incluye washprimer + anticorrosivo + pintura esmalte)</v>
      </c>
      <c r="C305" s="263" t="s">
        <v>8</v>
      </c>
      <c r="D305" s="265"/>
      <c r="E305" s="266">
        <f>ROUND(SUM(G306:G313),0)</f>
        <v>94615</v>
      </c>
      <c r="F305" s="267"/>
      <c r="G305" s="268"/>
    </row>
    <row r="306" spans="1:7" ht="13.2" x14ac:dyDescent="0.25">
      <c r="A306" s="336"/>
      <c r="B306" s="284" t="s">
        <v>720</v>
      </c>
      <c r="C306" s="285" t="s">
        <v>228</v>
      </c>
      <c r="D306" s="286">
        <v>1</v>
      </c>
      <c r="E306" s="287">
        <v>28740</v>
      </c>
      <c r="F306" s="285">
        <v>1.02</v>
      </c>
      <c r="G306" s="287">
        <f>ROUND((D306*E306*F306),0)</f>
        <v>29315</v>
      </c>
    </row>
    <row r="307" spans="1:7" ht="13.2" x14ac:dyDescent="0.25">
      <c r="A307" s="336"/>
      <c r="B307" s="284" t="s">
        <v>719</v>
      </c>
      <c r="C307" s="285" t="s">
        <v>142</v>
      </c>
      <c r="D307" s="286">
        <v>0.25</v>
      </c>
      <c r="E307" s="287">
        <v>45900</v>
      </c>
      <c r="F307" s="285">
        <v>1.03</v>
      </c>
      <c r="G307" s="287">
        <f>ROUND((D307*E307*F307),0)</f>
        <v>11819</v>
      </c>
    </row>
    <row r="308" spans="1:7" ht="13.2" x14ac:dyDescent="0.25">
      <c r="A308" s="336"/>
      <c r="B308" s="284" t="s">
        <v>185</v>
      </c>
      <c r="C308" s="285" t="s">
        <v>142</v>
      </c>
      <c r="D308" s="286">
        <v>0.25</v>
      </c>
      <c r="E308" s="287">
        <v>46323</v>
      </c>
      <c r="F308" s="285">
        <v>1.03</v>
      </c>
      <c r="G308" s="287">
        <f>ROUND((D308*E308*F308),0)</f>
        <v>11928</v>
      </c>
    </row>
    <row r="309" spans="1:7" ht="13.8" thickBot="1" x14ac:dyDescent="0.3">
      <c r="A309" s="337"/>
      <c r="B309" s="284" t="s">
        <v>141</v>
      </c>
      <c r="C309" s="285" t="s">
        <v>142</v>
      </c>
      <c r="D309" s="286">
        <v>0.25</v>
      </c>
      <c r="E309" s="287">
        <v>59800</v>
      </c>
      <c r="F309" s="285">
        <v>1.03</v>
      </c>
      <c r="G309" s="287">
        <f>ROUND((D309*E309*F309),0)</f>
        <v>15399</v>
      </c>
    </row>
    <row r="310" spans="1:7" ht="14.4" thickTop="1" thickBot="1" x14ac:dyDescent="0.3">
      <c r="A310" s="311"/>
      <c r="B310" s="312" t="s">
        <v>793</v>
      </c>
      <c r="C310" s="285" t="s">
        <v>119</v>
      </c>
      <c r="D310" s="286">
        <v>1</v>
      </c>
      <c r="E310" s="287">
        <v>155896</v>
      </c>
      <c r="F310" s="306">
        <v>0.15</v>
      </c>
      <c r="G310" s="287">
        <f>ROUND((D310*E310*F310),0)</f>
        <v>23384</v>
      </c>
    </row>
    <row r="311" spans="1:7" ht="13.8" thickTop="1" x14ac:dyDescent="0.25">
      <c r="A311" s="341"/>
      <c r="B311" s="284" t="s">
        <v>121</v>
      </c>
      <c r="C311" s="285" t="s">
        <v>122</v>
      </c>
      <c r="D311" s="286">
        <v>0.05</v>
      </c>
      <c r="E311" s="287">
        <f>G310</f>
        <v>23384</v>
      </c>
      <c r="F311" s="285">
        <v>0</v>
      </c>
      <c r="G311" s="287">
        <f>ROUND((D311*E311),0)</f>
        <v>1169</v>
      </c>
    </row>
    <row r="312" spans="1:7" ht="13.2" x14ac:dyDescent="0.25">
      <c r="A312" s="346"/>
      <c r="B312" s="313" t="s">
        <v>186</v>
      </c>
      <c r="C312" s="314" t="s">
        <v>119</v>
      </c>
      <c r="D312" s="289">
        <v>1</v>
      </c>
      <c r="E312" s="315">
        <v>64771</v>
      </c>
      <c r="F312" s="316">
        <f>1/150</f>
        <v>6.6666666666666671E-3</v>
      </c>
      <c r="G312" s="280">
        <f>ROUND((D312*E312*F312),0)</f>
        <v>432</v>
      </c>
    </row>
    <row r="313" spans="1:7" ht="13.2" x14ac:dyDescent="0.25">
      <c r="A313" s="317"/>
      <c r="B313" s="277" t="s">
        <v>175</v>
      </c>
      <c r="C313" s="278" t="s">
        <v>122</v>
      </c>
      <c r="D313" s="289">
        <v>0.05</v>
      </c>
      <c r="E313" s="280">
        <f>G310</f>
        <v>23384</v>
      </c>
      <c r="F313" s="308">
        <v>0</v>
      </c>
      <c r="G313" s="280">
        <f>ROUND((D313*E313),0)</f>
        <v>1169</v>
      </c>
    </row>
    <row r="315" spans="1:7" ht="39.6" x14ac:dyDescent="0.25">
      <c r="A315" s="263" t="str">
        <f>'PPTO OFICIAL'!A105</f>
        <v>9.03</v>
      </c>
      <c r="B315" s="264" t="str">
        <f>'PPTO OFICIAL'!B105</f>
        <v>Pasamanos metálico tipo + anticorrosivo + pintura esmalte color gris aluminio según diseño, (incluye platinas y elementos de fijación)</v>
      </c>
      <c r="C315" s="263" t="s">
        <v>8</v>
      </c>
      <c r="D315" s="265"/>
      <c r="E315" s="266">
        <f>ROUND(SUM(G316:G326),0)</f>
        <v>245897</v>
      </c>
      <c r="F315" s="267"/>
      <c r="G315" s="268"/>
    </row>
    <row r="316" spans="1:7" ht="13.2" x14ac:dyDescent="0.25">
      <c r="A316" s="336"/>
      <c r="B316" s="284" t="s">
        <v>723</v>
      </c>
      <c r="C316" s="285" t="s">
        <v>26</v>
      </c>
      <c r="D316" s="286">
        <v>1.5</v>
      </c>
      <c r="E316" s="287">
        <v>6210</v>
      </c>
      <c r="F316" s="285">
        <v>1.02</v>
      </c>
      <c r="G316" s="287">
        <f>ROUND((D316*E316*F316),0)</f>
        <v>9501</v>
      </c>
    </row>
    <row r="317" spans="1:7" ht="13.2" x14ac:dyDescent="0.25">
      <c r="A317" s="336"/>
      <c r="B317" s="284" t="s">
        <v>221</v>
      </c>
      <c r="C317" s="285" t="s">
        <v>8</v>
      </c>
      <c r="D317" s="286">
        <v>1</v>
      </c>
      <c r="E317" s="287">
        <v>24000</v>
      </c>
      <c r="F317" s="285">
        <v>1.05</v>
      </c>
      <c r="G317" s="287">
        <f>ROUND((D317*E317*F317),0)</f>
        <v>25200</v>
      </c>
    </row>
    <row r="318" spans="1:7" ht="13.2" x14ac:dyDescent="0.25">
      <c r="A318" s="336"/>
      <c r="B318" s="284" t="s">
        <v>722</v>
      </c>
      <c r="C318" s="285" t="s">
        <v>8</v>
      </c>
      <c r="D318" s="286">
        <v>4</v>
      </c>
      <c r="E318" s="287">
        <v>20500</v>
      </c>
      <c r="F318" s="285">
        <v>1.02</v>
      </c>
      <c r="G318" s="287">
        <f>ROUND((D318*E318*F318),0)</f>
        <v>83640</v>
      </c>
    </row>
    <row r="319" spans="1:7" ht="13.2" x14ac:dyDescent="0.25">
      <c r="A319" s="336"/>
      <c r="B319" s="284" t="s">
        <v>721</v>
      </c>
      <c r="C319" s="285" t="s">
        <v>8</v>
      </c>
      <c r="D319" s="286">
        <v>1</v>
      </c>
      <c r="E319" s="287">
        <v>28000</v>
      </c>
      <c r="F319" s="285">
        <v>1.5</v>
      </c>
      <c r="G319" s="287">
        <f>ROUND((D319*E319*F319),0)</f>
        <v>42000</v>
      </c>
    </row>
    <row r="320" spans="1:7" ht="13.2" x14ac:dyDescent="0.25">
      <c r="A320" s="336"/>
      <c r="B320" s="284" t="s">
        <v>724</v>
      </c>
      <c r="C320" s="285" t="s">
        <v>15</v>
      </c>
      <c r="D320" s="286">
        <v>6</v>
      </c>
      <c r="E320" s="287">
        <v>2600</v>
      </c>
      <c r="F320" s="285">
        <v>1</v>
      </c>
      <c r="G320" s="287">
        <f>ROUND((D320*E320*F320),0)</f>
        <v>15600</v>
      </c>
    </row>
    <row r="321" spans="1:9" ht="13.2" x14ac:dyDescent="0.25">
      <c r="A321" s="336"/>
      <c r="B321" s="284" t="s">
        <v>184</v>
      </c>
      <c r="C321" s="285" t="s">
        <v>43</v>
      </c>
      <c r="D321" s="286">
        <v>0.5</v>
      </c>
      <c r="E321" s="287">
        <v>12975</v>
      </c>
      <c r="F321" s="285">
        <v>0</v>
      </c>
      <c r="G321" s="287">
        <f>ROUND((D321*E321),0)</f>
        <v>6488</v>
      </c>
      <c r="I321" s="47">
        <v>123000</v>
      </c>
    </row>
    <row r="322" spans="1:9" ht="13.2" x14ac:dyDescent="0.25">
      <c r="A322" s="336"/>
      <c r="B322" s="284" t="s">
        <v>185</v>
      </c>
      <c r="C322" s="285" t="s">
        <v>142</v>
      </c>
      <c r="D322" s="286">
        <v>0.08</v>
      </c>
      <c r="E322" s="287">
        <v>38900</v>
      </c>
      <c r="F322" s="285">
        <v>2</v>
      </c>
      <c r="G322" s="287">
        <f>ROUND((D322*E322*F322),0)</f>
        <v>6224</v>
      </c>
      <c r="I322" s="47">
        <v>6</v>
      </c>
    </row>
    <row r="323" spans="1:9" ht="13.8" thickBot="1" x14ac:dyDescent="0.3">
      <c r="A323" s="337"/>
      <c r="B323" s="284" t="s">
        <v>141</v>
      </c>
      <c r="C323" s="285" t="s">
        <v>142</v>
      </c>
      <c r="D323" s="286">
        <v>0.08</v>
      </c>
      <c r="E323" s="287">
        <v>47484</v>
      </c>
      <c r="F323" s="285">
        <v>2</v>
      </c>
      <c r="G323" s="287">
        <f>ROUND((D323*E323*F323),0)</f>
        <v>7597</v>
      </c>
      <c r="I323" s="47">
        <f>+I321/I322</f>
        <v>20500</v>
      </c>
    </row>
    <row r="324" spans="1:9" ht="14.4" thickTop="1" thickBot="1" x14ac:dyDescent="0.3">
      <c r="A324" s="311"/>
      <c r="B324" s="312" t="s">
        <v>793</v>
      </c>
      <c r="C324" s="285" t="s">
        <v>119</v>
      </c>
      <c r="D324" s="286">
        <v>1</v>
      </c>
      <c r="E324" s="287">
        <v>155896</v>
      </c>
      <c r="F324" s="306">
        <v>0.3</v>
      </c>
      <c r="G324" s="287">
        <f>ROUND((D324*E324*F324),0)</f>
        <v>46769</v>
      </c>
    </row>
    <row r="325" spans="1:9" ht="13.8" thickTop="1" x14ac:dyDescent="0.25">
      <c r="A325" s="341"/>
      <c r="B325" s="284" t="s">
        <v>121</v>
      </c>
      <c r="C325" s="285" t="s">
        <v>122</v>
      </c>
      <c r="D325" s="286">
        <v>0.05</v>
      </c>
      <c r="E325" s="287">
        <f>G324</f>
        <v>46769</v>
      </c>
      <c r="F325" s="285">
        <v>0</v>
      </c>
      <c r="G325" s="287">
        <f>ROUND((D325*E325),0)</f>
        <v>2338</v>
      </c>
    </row>
    <row r="326" spans="1:9" ht="13.2" x14ac:dyDescent="0.25">
      <c r="A326" s="346"/>
      <c r="B326" s="313" t="s">
        <v>186</v>
      </c>
      <c r="C326" s="314" t="s">
        <v>119</v>
      </c>
      <c r="D326" s="289">
        <v>1</v>
      </c>
      <c r="E326" s="315">
        <v>64771</v>
      </c>
      <c r="F326" s="316">
        <f>1/120</f>
        <v>8.3333333333333332E-3</v>
      </c>
      <c r="G326" s="280">
        <f>ROUND((D326*E326*F326),0)</f>
        <v>540</v>
      </c>
    </row>
    <row r="328" spans="1:9" ht="26.4" x14ac:dyDescent="0.25">
      <c r="A328" s="263" t="str">
        <f>'PPTO OFICIAL'!A106</f>
        <v>9.04</v>
      </c>
      <c r="B328" s="318" t="str">
        <f>'PPTO OFICIAL'!B106</f>
        <v>Cerramiento en tubería rectangular según diseño (incluye acabado)</v>
      </c>
      <c r="C328" s="263" t="str">
        <f>'PPTO OFICIAL'!C118</f>
        <v>m²</v>
      </c>
      <c r="D328" s="265"/>
      <c r="E328" s="266">
        <f>ROUND(SUM(G329:G337),0)</f>
        <v>270430</v>
      </c>
      <c r="F328" s="267"/>
      <c r="G328" s="268"/>
    </row>
    <row r="329" spans="1:9" ht="13.2" x14ac:dyDescent="0.25">
      <c r="A329" s="336"/>
      <c r="B329" s="284" t="s">
        <v>723</v>
      </c>
      <c r="C329" s="285" t="s">
        <v>26</v>
      </c>
      <c r="D329" s="286">
        <v>1.5</v>
      </c>
      <c r="E329" s="287">
        <v>6210</v>
      </c>
      <c r="F329" s="285">
        <v>2</v>
      </c>
      <c r="G329" s="287">
        <f>ROUND((D329*E329*F329),0)</f>
        <v>18630</v>
      </c>
    </row>
    <row r="330" spans="1:9" ht="13.2" x14ac:dyDescent="0.25">
      <c r="A330" s="336"/>
      <c r="B330" s="284" t="s">
        <v>721</v>
      </c>
      <c r="C330" s="285" t="s">
        <v>8</v>
      </c>
      <c r="D330" s="286">
        <v>1</v>
      </c>
      <c r="E330" s="287">
        <v>28000</v>
      </c>
      <c r="F330" s="285">
        <v>6.5</v>
      </c>
      <c r="G330" s="287">
        <f>ROUND((D330*E330*F330),0)</f>
        <v>182000</v>
      </c>
      <c r="I330" s="47">
        <f>1/0.12</f>
        <v>8.3333333333333339</v>
      </c>
    </row>
    <row r="331" spans="1:9" ht="13.2" x14ac:dyDescent="0.25">
      <c r="A331" s="336"/>
      <c r="B331" s="284" t="s">
        <v>724</v>
      </c>
      <c r="C331" s="285" t="s">
        <v>15</v>
      </c>
      <c r="D331" s="286">
        <v>6</v>
      </c>
      <c r="E331" s="287">
        <v>2600</v>
      </c>
      <c r="F331" s="285">
        <v>1</v>
      </c>
      <c r="G331" s="287">
        <f>ROUND((D331*E331*F331),0)</f>
        <v>15600</v>
      </c>
    </row>
    <row r="332" spans="1:9" ht="13.2" x14ac:dyDescent="0.25">
      <c r="A332" s="336"/>
      <c r="B332" s="284" t="s">
        <v>184</v>
      </c>
      <c r="C332" s="285" t="s">
        <v>43</v>
      </c>
      <c r="D332" s="286">
        <v>0.5</v>
      </c>
      <c r="E332" s="287">
        <v>12975</v>
      </c>
      <c r="F332" s="285">
        <v>0</v>
      </c>
      <c r="G332" s="287">
        <f>ROUND((D332*E332),0)</f>
        <v>6488</v>
      </c>
      <c r="I332" s="47">
        <v>123000</v>
      </c>
    </row>
    <row r="333" spans="1:9" ht="13.2" x14ac:dyDescent="0.25">
      <c r="A333" s="336"/>
      <c r="B333" s="284" t="s">
        <v>185</v>
      </c>
      <c r="C333" s="285" t="s">
        <v>142</v>
      </c>
      <c r="D333" s="286">
        <v>0.08</v>
      </c>
      <c r="E333" s="287">
        <v>46323</v>
      </c>
      <c r="F333" s="285">
        <v>2</v>
      </c>
      <c r="G333" s="287">
        <f>ROUND((D333*E333*F333),0)</f>
        <v>7412</v>
      </c>
      <c r="I333" s="47">
        <v>6</v>
      </c>
    </row>
    <row r="334" spans="1:9" ht="13.8" thickBot="1" x14ac:dyDescent="0.3">
      <c r="A334" s="337"/>
      <c r="B334" s="284" t="s">
        <v>141</v>
      </c>
      <c r="C334" s="285" t="s">
        <v>142</v>
      </c>
      <c r="D334" s="286">
        <v>0.08</v>
      </c>
      <c r="E334" s="287">
        <v>47484</v>
      </c>
      <c r="F334" s="285">
        <v>2</v>
      </c>
      <c r="G334" s="287">
        <f>ROUND((D334*E334*F334),0)</f>
        <v>7597</v>
      </c>
      <c r="I334" s="47">
        <f>+I332/I333</f>
        <v>20500</v>
      </c>
    </row>
    <row r="335" spans="1:9" ht="14.4" thickTop="1" thickBot="1" x14ac:dyDescent="0.3">
      <c r="A335" s="311"/>
      <c r="B335" s="312" t="s">
        <v>794</v>
      </c>
      <c r="C335" s="285" t="s">
        <v>119</v>
      </c>
      <c r="D335" s="286">
        <v>1</v>
      </c>
      <c r="E335" s="287">
        <v>155896</v>
      </c>
      <c r="F335" s="306">
        <v>0.18</v>
      </c>
      <c r="G335" s="287">
        <f>ROUND((D335*E335*F335),0)</f>
        <v>28061</v>
      </c>
    </row>
    <row r="336" spans="1:9" ht="13.8" thickTop="1" x14ac:dyDescent="0.25">
      <c r="A336" s="341"/>
      <c r="B336" s="284" t="s">
        <v>121</v>
      </c>
      <c r="C336" s="285" t="s">
        <v>122</v>
      </c>
      <c r="D336" s="286">
        <v>0.05</v>
      </c>
      <c r="E336" s="287">
        <f>G335</f>
        <v>28061</v>
      </c>
      <c r="F336" s="285">
        <v>0</v>
      </c>
      <c r="G336" s="287">
        <f>ROUND((D336*E336),0)</f>
        <v>1403</v>
      </c>
    </row>
    <row r="337" spans="1:7" ht="13.2" x14ac:dyDescent="0.25">
      <c r="A337" s="346"/>
      <c r="B337" s="313" t="s">
        <v>186</v>
      </c>
      <c r="C337" s="314" t="s">
        <v>119</v>
      </c>
      <c r="D337" s="289">
        <v>1</v>
      </c>
      <c r="E337" s="315">
        <v>64771</v>
      </c>
      <c r="F337" s="316">
        <v>0.05</v>
      </c>
      <c r="G337" s="280">
        <f>ROUND((D337*E337*F337),0)</f>
        <v>3239</v>
      </c>
    </row>
    <row r="340" spans="1:7" ht="26.4" x14ac:dyDescent="0.25">
      <c r="A340" s="263" t="str">
        <f>'PPTO OFICIAL'!A109</f>
        <v>10.01</v>
      </c>
      <c r="B340" s="264" t="str">
        <f>'PPTO OFICIAL'!B109</f>
        <v>Suministro e instalación de Puerta Aluminio Tipo 1 (incluye chapa)</v>
      </c>
      <c r="C340" s="263" t="str">
        <f>'PPTO OFICIAL'!C109</f>
        <v>m²</v>
      </c>
      <c r="D340" s="265"/>
      <c r="E340" s="266">
        <f>ROUND(SUM(G341:G348),0)</f>
        <v>366994</v>
      </c>
      <c r="F340" s="267"/>
      <c r="G340" s="268"/>
    </row>
    <row r="341" spans="1:7" ht="13.2" x14ac:dyDescent="0.25">
      <c r="A341" s="269"/>
      <c r="B341" s="284" t="s">
        <v>728</v>
      </c>
      <c r="C341" s="285" t="s">
        <v>8</v>
      </c>
      <c r="D341" s="286">
        <v>2</v>
      </c>
      <c r="E341" s="287">
        <v>36800</v>
      </c>
      <c r="F341" s="285">
        <v>1</v>
      </c>
      <c r="G341" s="287">
        <f t="shared" ref="G341:G347" si="4">ROUND((D341*E341*F341),0)</f>
        <v>73600</v>
      </c>
    </row>
    <row r="342" spans="1:7" ht="13.2" x14ac:dyDescent="0.25">
      <c r="A342" s="269"/>
      <c r="B342" s="284" t="s">
        <v>727</v>
      </c>
      <c r="C342" s="285" t="s">
        <v>8</v>
      </c>
      <c r="D342" s="286">
        <v>3.5</v>
      </c>
      <c r="E342" s="287">
        <v>38900</v>
      </c>
      <c r="F342" s="285">
        <v>1</v>
      </c>
      <c r="G342" s="287">
        <f t="shared" si="4"/>
        <v>136150</v>
      </c>
    </row>
    <row r="343" spans="1:7" ht="13.2" x14ac:dyDescent="0.25">
      <c r="A343" s="269"/>
      <c r="B343" s="284" t="s">
        <v>729</v>
      </c>
      <c r="C343" s="285" t="s">
        <v>8</v>
      </c>
      <c r="D343" s="286">
        <v>5</v>
      </c>
      <c r="E343" s="287">
        <v>12500</v>
      </c>
      <c r="F343" s="285">
        <v>0.5</v>
      </c>
      <c r="G343" s="287">
        <f t="shared" si="4"/>
        <v>31250</v>
      </c>
    </row>
    <row r="344" spans="1:7" ht="13.2" x14ac:dyDescent="0.25">
      <c r="A344" s="269"/>
      <c r="B344" s="284" t="s">
        <v>730</v>
      </c>
      <c r="C344" s="285" t="s">
        <v>2</v>
      </c>
      <c r="D344" s="286">
        <v>4</v>
      </c>
      <c r="E344" s="287">
        <v>4350</v>
      </c>
      <c r="F344" s="285">
        <v>0.4</v>
      </c>
      <c r="G344" s="287">
        <f t="shared" si="4"/>
        <v>6960</v>
      </c>
    </row>
    <row r="345" spans="1:7" ht="13.2" x14ac:dyDescent="0.25">
      <c r="A345" s="269"/>
      <c r="B345" s="284" t="s">
        <v>725</v>
      </c>
      <c r="C345" s="285" t="s">
        <v>228</v>
      </c>
      <c r="D345" s="286">
        <v>1</v>
      </c>
      <c r="E345" s="287">
        <v>55000</v>
      </c>
      <c r="F345" s="285">
        <v>0.4</v>
      </c>
      <c r="G345" s="287">
        <f t="shared" si="4"/>
        <v>22000</v>
      </c>
    </row>
    <row r="346" spans="1:7" ht="13.8" thickBot="1" x14ac:dyDescent="0.3">
      <c r="A346" s="269"/>
      <c r="B346" s="284" t="s">
        <v>726</v>
      </c>
      <c r="C346" s="285" t="s">
        <v>15</v>
      </c>
      <c r="D346" s="286">
        <v>1</v>
      </c>
      <c r="E346" s="287">
        <v>128000</v>
      </c>
      <c r="F346" s="285">
        <v>0.4</v>
      </c>
      <c r="G346" s="287">
        <f t="shared" si="4"/>
        <v>51200</v>
      </c>
    </row>
    <row r="347" spans="1:7" ht="14.4" thickTop="1" thickBot="1" x14ac:dyDescent="0.3">
      <c r="A347" s="300"/>
      <c r="B347" s="284" t="s">
        <v>777</v>
      </c>
      <c r="C347" s="285" t="s">
        <v>119</v>
      </c>
      <c r="D347" s="286">
        <v>1</v>
      </c>
      <c r="E347" s="287">
        <v>145503</v>
      </c>
      <c r="F347" s="306">
        <v>0.3</v>
      </c>
      <c r="G347" s="287">
        <f t="shared" si="4"/>
        <v>43651</v>
      </c>
    </row>
    <row r="348" spans="1:7" ht="13.8" thickTop="1" x14ac:dyDescent="0.25">
      <c r="A348" s="319"/>
      <c r="B348" s="277" t="s">
        <v>121</v>
      </c>
      <c r="C348" s="278" t="s">
        <v>122</v>
      </c>
      <c r="D348" s="289">
        <v>0.05</v>
      </c>
      <c r="E348" s="280">
        <f>G347</f>
        <v>43651</v>
      </c>
      <c r="F348" s="278">
        <v>0</v>
      </c>
      <c r="G348" s="280">
        <f>ROUND((D348*E348),0)</f>
        <v>2183</v>
      </c>
    </row>
    <row r="350" spans="1:7" ht="26.4" x14ac:dyDescent="0.25">
      <c r="A350" s="263" t="str">
        <f>'PPTO OFICIAL'!A110</f>
        <v>10.02</v>
      </c>
      <c r="B350" s="264" t="str">
        <f>'PPTO OFICIAL'!B110</f>
        <v>Suministro e instalación de Puerta Aluminio Tipo 2 (incluye chapa)</v>
      </c>
      <c r="C350" s="263" t="str">
        <f>'PPTO OFICIAL'!C110</f>
        <v>m²</v>
      </c>
      <c r="D350" s="265"/>
      <c r="E350" s="266">
        <f>ROUND(SUM(G351:G358),0)</f>
        <v>358176</v>
      </c>
      <c r="F350" s="267"/>
      <c r="G350" s="268"/>
    </row>
    <row r="351" spans="1:7" ht="13.2" x14ac:dyDescent="0.25">
      <c r="A351" s="269"/>
      <c r="B351" s="284" t="s">
        <v>728</v>
      </c>
      <c r="C351" s="285" t="s">
        <v>8</v>
      </c>
      <c r="D351" s="286">
        <v>2</v>
      </c>
      <c r="E351" s="287">
        <v>36800</v>
      </c>
      <c r="F351" s="285">
        <v>1</v>
      </c>
      <c r="G351" s="287">
        <f t="shared" ref="G351:G357" si="5">ROUND((D351*E351*F351),0)</f>
        <v>73600</v>
      </c>
    </row>
    <row r="352" spans="1:7" ht="13.2" x14ac:dyDescent="0.25">
      <c r="A352" s="269"/>
      <c r="B352" s="284" t="s">
        <v>727</v>
      </c>
      <c r="C352" s="285" t="s">
        <v>8</v>
      </c>
      <c r="D352" s="286">
        <v>3.5</v>
      </c>
      <c r="E352" s="287">
        <v>38900</v>
      </c>
      <c r="F352" s="285">
        <v>1</v>
      </c>
      <c r="G352" s="287">
        <f t="shared" si="5"/>
        <v>136150</v>
      </c>
    </row>
    <row r="353" spans="1:7" ht="13.2" x14ac:dyDescent="0.25">
      <c r="A353" s="269"/>
      <c r="B353" s="284" t="s">
        <v>729</v>
      </c>
      <c r="C353" s="285" t="s">
        <v>8</v>
      </c>
      <c r="D353" s="286">
        <v>5</v>
      </c>
      <c r="E353" s="287">
        <v>12500</v>
      </c>
      <c r="F353" s="285">
        <v>0.5</v>
      </c>
      <c r="G353" s="287">
        <f t="shared" si="5"/>
        <v>31250</v>
      </c>
    </row>
    <row r="354" spans="1:7" ht="13.2" x14ac:dyDescent="0.25">
      <c r="A354" s="269"/>
      <c r="B354" s="284" t="s">
        <v>730</v>
      </c>
      <c r="C354" s="285" t="s">
        <v>2</v>
      </c>
      <c r="D354" s="286">
        <v>4</v>
      </c>
      <c r="E354" s="287">
        <v>4350</v>
      </c>
      <c r="F354" s="285">
        <v>0.4</v>
      </c>
      <c r="G354" s="287">
        <f t="shared" si="5"/>
        <v>6960</v>
      </c>
    </row>
    <row r="355" spans="1:7" ht="13.2" x14ac:dyDescent="0.25">
      <c r="A355" s="269"/>
      <c r="B355" s="284" t="s">
        <v>725</v>
      </c>
      <c r="C355" s="285" t="s">
        <v>228</v>
      </c>
      <c r="D355" s="286">
        <v>1</v>
      </c>
      <c r="E355" s="287">
        <v>55000</v>
      </c>
      <c r="F355" s="285">
        <v>0.2</v>
      </c>
      <c r="G355" s="287">
        <f t="shared" si="5"/>
        <v>11000</v>
      </c>
    </row>
    <row r="356" spans="1:7" ht="13.8" thickBot="1" x14ac:dyDescent="0.3">
      <c r="A356" s="269"/>
      <c r="B356" s="284" t="s">
        <v>726</v>
      </c>
      <c r="C356" s="285" t="s">
        <v>15</v>
      </c>
      <c r="D356" s="286">
        <v>1</v>
      </c>
      <c r="E356" s="287">
        <v>128000</v>
      </c>
      <c r="F356" s="285">
        <v>0.4</v>
      </c>
      <c r="G356" s="287">
        <f t="shared" si="5"/>
        <v>51200</v>
      </c>
    </row>
    <row r="357" spans="1:7" ht="14.4" thickTop="1" thickBot="1" x14ac:dyDescent="0.3">
      <c r="A357" s="300"/>
      <c r="B357" s="284" t="s">
        <v>795</v>
      </c>
      <c r="C357" s="285" t="s">
        <v>119</v>
      </c>
      <c r="D357" s="286">
        <v>1</v>
      </c>
      <c r="E357" s="287">
        <v>145503</v>
      </c>
      <c r="F357" s="306">
        <v>0.3</v>
      </c>
      <c r="G357" s="287">
        <f t="shared" si="5"/>
        <v>43651</v>
      </c>
    </row>
    <row r="358" spans="1:7" ht="13.8" thickTop="1" x14ac:dyDescent="0.25">
      <c r="A358" s="319"/>
      <c r="B358" s="277" t="s">
        <v>121</v>
      </c>
      <c r="C358" s="278" t="s">
        <v>122</v>
      </c>
      <c r="D358" s="289">
        <v>0.1</v>
      </c>
      <c r="E358" s="280">
        <f>G357</f>
        <v>43651</v>
      </c>
      <c r="F358" s="278">
        <v>0</v>
      </c>
      <c r="G358" s="280">
        <f>ROUND((D358*E358),0)</f>
        <v>4365</v>
      </c>
    </row>
    <row r="359" spans="1:7" x14ac:dyDescent="0.25">
      <c r="A359" s="298"/>
      <c r="B359" s="298"/>
      <c r="C359" s="298"/>
      <c r="D359" s="298"/>
      <c r="E359" s="298"/>
      <c r="F359" s="298"/>
      <c r="G359" s="298"/>
    </row>
    <row r="360" spans="1:7" ht="26.4" x14ac:dyDescent="0.25">
      <c r="A360" s="263" t="str">
        <f>'PPTO OFICIAL'!A111</f>
        <v>10.03</v>
      </c>
      <c r="B360" s="264" t="str">
        <f>'PPTO OFICIAL'!B111</f>
        <v>Suministro e instalación de Puerta Aluminio Tipo 3 (incluye chapa)</v>
      </c>
      <c r="C360" s="263" t="str">
        <f>'PPTO OFICIAL'!C111</f>
        <v>m²</v>
      </c>
      <c r="D360" s="265"/>
      <c r="E360" s="266">
        <f>ROUND(SUM(G361:G368),0)</f>
        <v>465036</v>
      </c>
      <c r="F360" s="267"/>
      <c r="G360" s="268"/>
    </row>
    <row r="361" spans="1:7" ht="13.2" x14ac:dyDescent="0.25">
      <c r="A361" s="269"/>
      <c r="B361" s="284" t="s">
        <v>728</v>
      </c>
      <c r="C361" s="285" t="s">
        <v>8</v>
      </c>
      <c r="D361" s="286">
        <v>2</v>
      </c>
      <c r="E361" s="287">
        <v>36800</v>
      </c>
      <c r="F361" s="285">
        <v>1</v>
      </c>
      <c r="G361" s="287">
        <f t="shared" ref="G361:G367" si="6">ROUND((D361*E361*F361),0)</f>
        <v>73600</v>
      </c>
    </row>
    <row r="362" spans="1:7" ht="13.2" x14ac:dyDescent="0.25">
      <c r="A362" s="269"/>
      <c r="B362" s="284" t="s">
        <v>727</v>
      </c>
      <c r="C362" s="285" t="s">
        <v>8</v>
      </c>
      <c r="D362" s="286">
        <v>3.5</v>
      </c>
      <c r="E362" s="287">
        <v>38900</v>
      </c>
      <c r="F362" s="285">
        <v>1</v>
      </c>
      <c r="G362" s="287">
        <f t="shared" si="6"/>
        <v>136150</v>
      </c>
    </row>
    <row r="363" spans="1:7" ht="13.2" x14ac:dyDescent="0.25">
      <c r="A363" s="269"/>
      <c r="B363" s="284" t="s">
        <v>732</v>
      </c>
      <c r="C363" s="285" t="s">
        <v>8</v>
      </c>
      <c r="D363" s="286">
        <v>7</v>
      </c>
      <c r="E363" s="287">
        <v>38900</v>
      </c>
      <c r="F363" s="285">
        <v>0.5</v>
      </c>
      <c r="G363" s="287">
        <f t="shared" si="6"/>
        <v>136150</v>
      </c>
    </row>
    <row r="364" spans="1:7" ht="13.2" x14ac:dyDescent="0.25">
      <c r="A364" s="269"/>
      <c r="B364" s="284" t="s">
        <v>730</v>
      </c>
      <c r="C364" s="285" t="s">
        <v>2</v>
      </c>
      <c r="D364" s="286">
        <v>4</v>
      </c>
      <c r="E364" s="287">
        <v>4350</v>
      </c>
      <c r="F364" s="285">
        <v>0.4</v>
      </c>
      <c r="G364" s="287">
        <f t="shared" si="6"/>
        <v>6960</v>
      </c>
    </row>
    <row r="365" spans="1:7" ht="13.2" x14ac:dyDescent="0.25">
      <c r="A365" s="269"/>
      <c r="B365" s="284" t="s">
        <v>731</v>
      </c>
      <c r="C365" s="285" t="s">
        <v>228</v>
      </c>
      <c r="D365" s="286">
        <v>1</v>
      </c>
      <c r="E365" s="287">
        <v>64800</v>
      </c>
      <c r="F365" s="285">
        <v>0.2</v>
      </c>
      <c r="G365" s="287">
        <f t="shared" si="6"/>
        <v>12960</v>
      </c>
    </row>
    <row r="366" spans="1:7" ht="13.8" thickBot="1" x14ac:dyDescent="0.3">
      <c r="A366" s="269"/>
      <c r="B366" s="284" t="s">
        <v>726</v>
      </c>
      <c r="C366" s="285" t="s">
        <v>15</v>
      </c>
      <c r="D366" s="286">
        <v>1</v>
      </c>
      <c r="E366" s="287">
        <v>128000</v>
      </c>
      <c r="F366" s="285">
        <v>0.4</v>
      </c>
      <c r="G366" s="287">
        <f t="shared" si="6"/>
        <v>51200</v>
      </c>
    </row>
    <row r="367" spans="1:7" ht="14.4" thickTop="1" thickBot="1" x14ac:dyDescent="0.3">
      <c r="A367" s="300"/>
      <c r="B367" s="284" t="s">
        <v>777</v>
      </c>
      <c r="C367" s="285" t="s">
        <v>119</v>
      </c>
      <c r="D367" s="286">
        <v>1</v>
      </c>
      <c r="E367" s="287">
        <v>145503</v>
      </c>
      <c r="F367" s="306">
        <v>0.3</v>
      </c>
      <c r="G367" s="287">
        <f t="shared" si="6"/>
        <v>43651</v>
      </c>
    </row>
    <row r="368" spans="1:7" ht="13.8" thickTop="1" x14ac:dyDescent="0.25">
      <c r="A368" s="319"/>
      <c r="B368" s="277" t="s">
        <v>121</v>
      </c>
      <c r="C368" s="278" t="s">
        <v>122</v>
      </c>
      <c r="D368" s="289">
        <v>0.1</v>
      </c>
      <c r="E368" s="280">
        <f>G367</f>
        <v>43651</v>
      </c>
      <c r="F368" s="278">
        <v>0</v>
      </c>
      <c r="G368" s="280">
        <f>ROUND((D368*E368),0)</f>
        <v>4365</v>
      </c>
    </row>
    <row r="369" spans="1:7" x14ac:dyDescent="0.25">
      <c r="A369" s="298"/>
      <c r="B369" s="298"/>
      <c r="C369" s="298"/>
      <c r="D369" s="298"/>
      <c r="E369" s="298"/>
      <c r="F369" s="298"/>
      <c r="G369" s="298"/>
    </row>
    <row r="370" spans="1:7" x14ac:dyDescent="0.25">
      <c r="A370" s="298"/>
      <c r="B370" s="298"/>
      <c r="C370" s="298"/>
      <c r="D370" s="298"/>
      <c r="E370" s="298"/>
      <c r="F370" s="298"/>
      <c r="G370" s="298"/>
    </row>
    <row r="371" spans="1:7" ht="26.4" x14ac:dyDescent="0.25">
      <c r="A371" s="263" t="str">
        <f>'PPTO OFICIAL'!A112</f>
        <v>10.04</v>
      </c>
      <c r="B371" s="264" t="str">
        <f>'PPTO OFICIAL'!B112</f>
        <v>Suministro e instalación de Puerta Aluminio Tipo 4 (incluye chapa)</v>
      </c>
      <c r="C371" s="263" t="str">
        <f>'PPTO OFICIAL'!C112</f>
        <v>m²</v>
      </c>
      <c r="D371" s="265"/>
      <c r="E371" s="266">
        <f>ROUND(SUM(G372:G379),0)</f>
        <v>369176</v>
      </c>
      <c r="F371" s="267"/>
      <c r="G371" s="268"/>
    </row>
    <row r="372" spans="1:7" ht="13.2" x14ac:dyDescent="0.25">
      <c r="A372" s="269"/>
      <c r="B372" s="284" t="s">
        <v>728</v>
      </c>
      <c r="C372" s="285" t="s">
        <v>8</v>
      </c>
      <c r="D372" s="286">
        <v>2</v>
      </c>
      <c r="E372" s="287">
        <v>36800</v>
      </c>
      <c r="F372" s="285">
        <v>1</v>
      </c>
      <c r="G372" s="287">
        <f t="shared" ref="G372:G378" si="7">ROUND((D372*E372*F372),0)</f>
        <v>73600</v>
      </c>
    </row>
    <row r="373" spans="1:7" ht="13.2" x14ac:dyDescent="0.25">
      <c r="A373" s="269"/>
      <c r="B373" s="284" t="s">
        <v>727</v>
      </c>
      <c r="C373" s="285" t="s">
        <v>8</v>
      </c>
      <c r="D373" s="286">
        <v>3.5</v>
      </c>
      <c r="E373" s="287">
        <v>38900</v>
      </c>
      <c r="F373" s="285">
        <v>1</v>
      </c>
      <c r="G373" s="287">
        <f t="shared" si="7"/>
        <v>136150</v>
      </c>
    </row>
    <row r="374" spans="1:7" ht="13.2" x14ac:dyDescent="0.25">
      <c r="A374" s="269"/>
      <c r="B374" s="284" t="s">
        <v>729</v>
      </c>
      <c r="C374" s="285" t="s">
        <v>8</v>
      </c>
      <c r="D374" s="286">
        <v>5</v>
      </c>
      <c r="E374" s="287">
        <v>12500</v>
      </c>
      <c r="F374" s="285">
        <v>0.5</v>
      </c>
      <c r="G374" s="287">
        <f t="shared" si="7"/>
        <v>31250</v>
      </c>
    </row>
    <row r="375" spans="1:7" ht="13.2" x14ac:dyDescent="0.25">
      <c r="A375" s="269"/>
      <c r="B375" s="284" t="s">
        <v>730</v>
      </c>
      <c r="C375" s="285" t="s">
        <v>2</v>
      </c>
      <c r="D375" s="286">
        <v>4</v>
      </c>
      <c r="E375" s="287">
        <v>4350</v>
      </c>
      <c r="F375" s="285">
        <v>0.4</v>
      </c>
      <c r="G375" s="287">
        <f t="shared" si="7"/>
        <v>6960</v>
      </c>
    </row>
    <row r="376" spans="1:7" ht="13.2" x14ac:dyDescent="0.25">
      <c r="A376" s="269"/>
      <c r="B376" s="284" t="s">
        <v>731</v>
      </c>
      <c r="C376" s="285" t="s">
        <v>228</v>
      </c>
      <c r="D376" s="286">
        <v>1</v>
      </c>
      <c r="E376" s="287">
        <v>55000</v>
      </c>
      <c r="F376" s="285">
        <v>0.4</v>
      </c>
      <c r="G376" s="287">
        <f t="shared" si="7"/>
        <v>22000</v>
      </c>
    </row>
    <row r="377" spans="1:7" ht="13.8" thickBot="1" x14ac:dyDescent="0.3">
      <c r="A377" s="269"/>
      <c r="B377" s="284" t="s">
        <v>726</v>
      </c>
      <c r="C377" s="285" t="s">
        <v>15</v>
      </c>
      <c r="D377" s="286">
        <v>1</v>
      </c>
      <c r="E377" s="287">
        <v>128000</v>
      </c>
      <c r="F377" s="285">
        <v>0.4</v>
      </c>
      <c r="G377" s="287">
        <f t="shared" si="7"/>
        <v>51200</v>
      </c>
    </row>
    <row r="378" spans="1:7" ht="14.4" thickTop="1" thickBot="1" x14ac:dyDescent="0.3">
      <c r="A378" s="300"/>
      <c r="B378" s="284" t="s">
        <v>777</v>
      </c>
      <c r="C378" s="285" t="s">
        <v>119</v>
      </c>
      <c r="D378" s="286">
        <v>1</v>
      </c>
      <c r="E378" s="287">
        <v>145503</v>
      </c>
      <c r="F378" s="306">
        <v>0.3</v>
      </c>
      <c r="G378" s="287">
        <f t="shared" si="7"/>
        <v>43651</v>
      </c>
    </row>
    <row r="379" spans="1:7" ht="13.8" thickTop="1" x14ac:dyDescent="0.25">
      <c r="A379" s="319"/>
      <c r="B379" s="277" t="s">
        <v>121</v>
      </c>
      <c r="C379" s="278" t="s">
        <v>122</v>
      </c>
      <c r="D379" s="289">
        <v>0.1</v>
      </c>
      <c r="E379" s="280">
        <f>G378</f>
        <v>43651</v>
      </c>
      <c r="F379" s="278">
        <v>0</v>
      </c>
      <c r="G379" s="280">
        <f>ROUND((D379*E379),0)</f>
        <v>4365</v>
      </c>
    </row>
    <row r="381" spans="1:7" ht="26.4" x14ac:dyDescent="0.25">
      <c r="A381" s="263" t="str">
        <f>'PPTO OFICIAL'!A113</f>
        <v>10.05</v>
      </c>
      <c r="B381" s="264" t="str">
        <f>'PPTO OFICIAL'!B113</f>
        <v>Suministro e instalación de Puerta Aluminio Tipo 5 (incluye chapa)</v>
      </c>
      <c r="C381" s="263" t="str">
        <f>'PPTO OFICIAL'!C113</f>
        <v>m²</v>
      </c>
      <c r="D381" s="265"/>
      <c r="E381" s="266">
        <f>ROUND(SUM(G382:G388),0)</f>
        <v>361726</v>
      </c>
      <c r="F381" s="267"/>
      <c r="G381" s="268"/>
    </row>
    <row r="382" spans="1:7" ht="13.2" x14ac:dyDescent="0.25">
      <c r="A382" s="269"/>
      <c r="B382" s="284" t="s">
        <v>733</v>
      </c>
      <c r="C382" s="285" t="s">
        <v>8</v>
      </c>
      <c r="D382" s="286">
        <v>2</v>
      </c>
      <c r="E382" s="287">
        <v>48700</v>
      </c>
      <c r="F382" s="285">
        <v>1</v>
      </c>
      <c r="G382" s="287">
        <f t="shared" ref="G382:G387" si="8">ROUND((D382*E382*F382),0)</f>
        <v>97400</v>
      </c>
    </row>
    <row r="383" spans="1:7" ht="13.2" x14ac:dyDescent="0.25">
      <c r="A383" s="269"/>
      <c r="B383" s="284" t="s">
        <v>727</v>
      </c>
      <c r="C383" s="285" t="s">
        <v>8</v>
      </c>
      <c r="D383" s="286">
        <v>3.5</v>
      </c>
      <c r="E383" s="287">
        <v>38900</v>
      </c>
      <c r="F383" s="285">
        <v>1</v>
      </c>
      <c r="G383" s="287">
        <f t="shared" si="8"/>
        <v>136150</v>
      </c>
    </row>
    <row r="384" spans="1:7" ht="13.2" x14ac:dyDescent="0.25">
      <c r="A384" s="269"/>
      <c r="B384" s="284" t="s">
        <v>730</v>
      </c>
      <c r="C384" s="285" t="s">
        <v>2</v>
      </c>
      <c r="D384" s="286">
        <v>4</v>
      </c>
      <c r="E384" s="287">
        <v>4350</v>
      </c>
      <c r="F384" s="285">
        <v>0.4</v>
      </c>
      <c r="G384" s="287">
        <f t="shared" si="8"/>
        <v>6960</v>
      </c>
    </row>
    <row r="385" spans="1:7" ht="13.2" x14ac:dyDescent="0.25">
      <c r="A385" s="269"/>
      <c r="B385" s="284" t="s">
        <v>731</v>
      </c>
      <c r="C385" s="285" t="s">
        <v>228</v>
      </c>
      <c r="D385" s="286">
        <v>1</v>
      </c>
      <c r="E385" s="287">
        <v>55000</v>
      </c>
      <c r="F385" s="285">
        <v>0.4</v>
      </c>
      <c r="G385" s="287">
        <f t="shared" si="8"/>
        <v>22000</v>
      </c>
    </row>
    <row r="386" spans="1:7" ht="13.8" thickBot="1" x14ac:dyDescent="0.3">
      <c r="A386" s="269"/>
      <c r="B386" s="284" t="s">
        <v>726</v>
      </c>
      <c r="C386" s="285" t="s">
        <v>15</v>
      </c>
      <c r="D386" s="286">
        <v>1</v>
      </c>
      <c r="E386" s="287">
        <v>128000</v>
      </c>
      <c r="F386" s="285">
        <v>0.4</v>
      </c>
      <c r="G386" s="287">
        <f t="shared" si="8"/>
        <v>51200</v>
      </c>
    </row>
    <row r="387" spans="1:7" ht="14.4" thickTop="1" thickBot="1" x14ac:dyDescent="0.3">
      <c r="A387" s="300"/>
      <c r="B387" s="284" t="s">
        <v>777</v>
      </c>
      <c r="C387" s="285" t="s">
        <v>119</v>
      </c>
      <c r="D387" s="286">
        <v>1</v>
      </c>
      <c r="E387" s="287">
        <v>145503</v>
      </c>
      <c r="F387" s="306">
        <v>0.3</v>
      </c>
      <c r="G387" s="287">
        <f t="shared" si="8"/>
        <v>43651</v>
      </c>
    </row>
    <row r="388" spans="1:7" ht="13.8" thickTop="1" x14ac:dyDescent="0.25">
      <c r="A388" s="319"/>
      <c r="B388" s="277" t="s">
        <v>121</v>
      </c>
      <c r="C388" s="278" t="s">
        <v>122</v>
      </c>
      <c r="D388" s="289">
        <v>0.1</v>
      </c>
      <c r="E388" s="280">
        <f>G387</f>
        <v>43651</v>
      </c>
      <c r="F388" s="278">
        <v>0</v>
      </c>
      <c r="G388" s="280">
        <f>ROUND((D388*E388),0)</f>
        <v>4365</v>
      </c>
    </row>
    <row r="389" spans="1:7" x14ac:dyDescent="0.25">
      <c r="A389" s="298"/>
      <c r="B389" s="298"/>
      <c r="C389" s="298"/>
      <c r="D389" s="298"/>
      <c r="E389" s="298"/>
      <c r="F389" s="298"/>
      <c r="G389" s="298"/>
    </row>
    <row r="390" spans="1:7" x14ac:dyDescent="0.25">
      <c r="A390" s="298"/>
      <c r="B390" s="298"/>
      <c r="C390" s="298"/>
      <c r="D390" s="298"/>
      <c r="E390" s="298"/>
      <c r="F390" s="298"/>
      <c r="G390" s="298"/>
    </row>
    <row r="391" spans="1:7" ht="26.4" x14ac:dyDescent="0.25">
      <c r="A391" s="263" t="str">
        <f>'PPTO OFICIAL'!A114</f>
        <v>10.06</v>
      </c>
      <c r="B391" s="264" t="str">
        <f>'PPTO OFICIAL'!B114</f>
        <v>Suministro e instalación de Puerta Aluminio Tipo 6 (incluye chapa)</v>
      </c>
      <c r="C391" s="263" t="str">
        <f>'PPTO OFICIAL'!C114</f>
        <v>m²</v>
      </c>
      <c r="D391" s="265"/>
      <c r="E391" s="266">
        <f>ROUND(SUM(G392:G399),0)</f>
        <v>379576</v>
      </c>
      <c r="F391" s="267"/>
      <c r="G391" s="268"/>
    </row>
    <row r="392" spans="1:7" ht="13.2" x14ac:dyDescent="0.25">
      <c r="A392" s="269"/>
      <c r="B392" s="284" t="s">
        <v>728</v>
      </c>
      <c r="C392" s="285" t="s">
        <v>8</v>
      </c>
      <c r="D392" s="286">
        <v>2</v>
      </c>
      <c r="E392" s="287">
        <v>36800</v>
      </c>
      <c r="F392" s="285">
        <v>1</v>
      </c>
      <c r="G392" s="287">
        <f t="shared" ref="G392:G398" si="9">ROUND((D392*E392*F392),0)</f>
        <v>73600</v>
      </c>
    </row>
    <row r="393" spans="1:7" ht="13.2" x14ac:dyDescent="0.25">
      <c r="A393" s="269"/>
      <c r="B393" s="284" t="s">
        <v>727</v>
      </c>
      <c r="C393" s="285" t="s">
        <v>8</v>
      </c>
      <c r="D393" s="286">
        <v>3.5</v>
      </c>
      <c r="E393" s="287">
        <v>38900</v>
      </c>
      <c r="F393" s="285">
        <v>1</v>
      </c>
      <c r="G393" s="287">
        <f t="shared" si="9"/>
        <v>136150</v>
      </c>
    </row>
    <row r="394" spans="1:7" ht="13.2" x14ac:dyDescent="0.25">
      <c r="A394" s="269"/>
      <c r="B394" s="284" t="s">
        <v>729</v>
      </c>
      <c r="C394" s="285" t="s">
        <v>8</v>
      </c>
      <c r="D394" s="286">
        <v>5</v>
      </c>
      <c r="E394" s="287">
        <v>12500</v>
      </c>
      <c r="F394" s="285">
        <v>0.5</v>
      </c>
      <c r="G394" s="287">
        <f t="shared" si="9"/>
        <v>31250</v>
      </c>
    </row>
    <row r="395" spans="1:7" ht="13.2" x14ac:dyDescent="0.25">
      <c r="A395" s="269"/>
      <c r="B395" s="284" t="s">
        <v>730</v>
      </c>
      <c r="C395" s="285" t="s">
        <v>2</v>
      </c>
      <c r="D395" s="286">
        <v>4</v>
      </c>
      <c r="E395" s="287">
        <v>4350</v>
      </c>
      <c r="F395" s="285">
        <v>0.4</v>
      </c>
      <c r="G395" s="287">
        <f t="shared" si="9"/>
        <v>6960</v>
      </c>
    </row>
    <row r="396" spans="1:7" ht="13.2" x14ac:dyDescent="0.25">
      <c r="A396" s="269"/>
      <c r="B396" s="284" t="s">
        <v>731</v>
      </c>
      <c r="C396" s="285" t="s">
        <v>228</v>
      </c>
      <c r="D396" s="286">
        <v>1</v>
      </c>
      <c r="E396" s="287">
        <v>64800</v>
      </c>
      <c r="F396" s="285">
        <v>0.5</v>
      </c>
      <c r="G396" s="287">
        <f t="shared" si="9"/>
        <v>32400</v>
      </c>
    </row>
    <row r="397" spans="1:7" ht="13.8" thickBot="1" x14ac:dyDescent="0.3">
      <c r="A397" s="269"/>
      <c r="B397" s="284" t="s">
        <v>726</v>
      </c>
      <c r="C397" s="285" t="s">
        <v>15</v>
      </c>
      <c r="D397" s="286">
        <v>1</v>
      </c>
      <c r="E397" s="287">
        <v>128000</v>
      </c>
      <c r="F397" s="285">
        <v>0.4</v>
      </c>
      <c r="G397" s="287">
        <f t="shared" si="9"/>
        <v>51200</v>
      </c>
    </row>
    <row r="398" spans="1:7" ht="14.4" thickTop="1" thickBot="1" x14ac:dyDescent="0.3">
      <c r="A398" s="300"/>
      <c r="B398" s="284" t="s">
        <v>777</v>
      </c>
      <c r="C398" s="285" t="s">
        <v>119</v>
      </c>
      <c r="D398" s="286">
        <v>1</v>
      </c>
      <c r="E398" s="287">
        <v>145503</v>
      </c>
      <c r="F398" s="306">
        <v>0.3</v>
      </c>
      <c r="G398" s="287">
        <f t="shared" si="9"/>
        <v>43651</v>
      </c>
    </row>
    <row r="399" spans="1:7" ht="13.8" thickTop="1" x14ac:dyDescent="0.25">
      <c r="A399" s="319"/>
      <c r="B399" s="277" t="s">
        <v>121</v>
      </c>
      <c r="C399" s="278" t="s">
        <v>122</v>
      </c>
      <c r="D399" s="289">
        <v>0.1</v>
      </c>
      <c r="E399" s="280">
        <f>G398</f>
        <v>43651</v>
      </c>
      <c r="F399" s="278">
        <v>0</v>
      </c>
      <c r="G399" s="280">
        <f>ROUND((D399*E399),0)</f>
        <v>4365</v>
      </c>
    </row>
    <row r="400" spans="1:7" x14ac:dyDescent="0.25">
      <c r="A400" s="298"/>
      <c r="B400" s="298"/>
      <c r="C400" s="298"/>
      <c r="D400" s="298"/>
      <c r="E400" s="298"/>
      <c r="F400" s="298"/>
      <c r="G400" s="298"/>
    </row>
    <row r="401" spans="1:7" ht="26.4" x14ac:dyDescent="0.25">
      <c r="A401" s="263" t="str">
        <f>'PPTO OFICIAL'!A115</f>
        <v>10.07</v>
      </c>
      <c r="B401" s="264" t="str">
        <f>'PPTO OFICIAL'!B115</f>
        <v>Suministro e instalación de Puerta Aluminio Tipo 7 (incluye chapa)</v>
      </c>
      <c r="C401" s="263" t="str">
        <f>'PPTO OFICIAL'!C115</f>
        <v>m²</v>
      </c>
      <c r="D401" s="265"/>
      <c r="E401" s="266">
        <f>ROUND(SUM(G402:G409),0)</f>
        <v>387774</v>
      </c>
      <c r="F401" s="267"/>
      <c r="G401" s="268"/>
    </row>
    <row r="402" spans="1:7" ht="13.2" x14ac:dyDescent="0.25">
      <c r="A402" s="269"/>
      <c r="B402" s="284" t="s">
        <v>728</v>
      </c>
      <c r="C402" s="285" t="s">
        <v>8</v>
      </c>
      <c r="D402" s="286">
        <v>2</v>
      </c>
      <c r="E402" s="287">
        <v>36800</v>
      </c>
      <c r="F402" s="285">
        <v>1</v>
      </c>
      <c r="G402" s="287">
        <f t="shared" ref="G402:G408" si="10">ROUND((D402*E402*F402),0)</f>
        <v>73600</v>
      </c>
    </row>
    <row r="403" spans="1:7" ht="13.2" x14ac:dyDescent="0.25">
      <c r="A403" s="269"/>
      <c r="B403" s="284" t="s">
        <v>727</v>
      </c>
      <c r="C403" s="285" t="s">
        <v>8</v>
      </c>
      <c r="D403" s="286">
        <v>3.5</v>
      </c>
      <c r="E403" s="287">
        <v>38900</v>
      </c>
      <c r="F403" s="285">
        <v>1</v>
      </c>
      <c r="G403" s="287">
        <f t="shared" si="10"/>
        <v>136150</v>
      </c>
    </row>
    <row r="404" spans="1:7" ht="13.2" x14ac:dyDescent="0.25">
      <c r="A404" s="269"/>
      <c r="B404" s="284" t="s">
        <v>729</v>
      </c>
      <c r="C404" s="285" t="s">
        <v>8</v>
      </c>
      <c r="D404" s="286">
        <v>5</v>
      </c>
      <c r="E404" s="287">
        <v>12500</v>
      </c>
      <c r="F404" s="285">
        <v>0.5</v>
      </c>
      <c r="G404" s="287">
        <f t="shared" si="10"/>
        <v>31250</v>
      </c>
    </row>
    <row r="405" spans="1:7" ht="13.2" x14ac:dyDescent="0.25">
      <c r="A405" s="269"/>
      <c r="B405" s="284" t="s">
        <v>730</v>
      </c>
      <c r="C405" s="285" t="s">
        <v>2</v>
      </c>
      <c r="D405" s="286">
        <v>4</v>
      </c>
      <c r="E405" s="287">
        <v>4350</v>
      </c>
      <c r="F405" s="285">
        <v>0.4</v>
      </c>
      <c r="G405" s="287">
        <f t="shared" si="10"/>
        <v>6960</v>
      </c>
    </row>
    <row r="406" spans="1:7" ht="13.2" x14ac:dyDescent="0.25">
      <c r="A406" s="269"/>
      <c r="B406" s="284" t="s">
        <v>731</v>
      </c>
      <c r="C406" s="285" t="s">
        <v>228</v>
      </c>
      <c r="D406" s="286">
        <v>1</v>
      </c>
      <c r="E406" s="287">
        <v>64800</v>
      </c>
      <c r="F406" s="285">
        <v>0.75</v>
      </c>
      <c r="G406" s="287">
        <f t="shared" si="10"/>
        <v>48600</v>
      </c>
    </row>
    <row r="407" spans="1:7" ht="13.8" thickBot="1" x14ac:dyDescent="0.3">
      <c r="A407" s="269"/>
      <c r="B407" s="284" t="s">
        <v>726</v>
      </c>
      <c r="C407" s="285" t="s">
        <v>15</v>
      </c>
      <c r="D407" s="286">
        <v>1</v>
      </c>
      <c r="E407" s="287">
        <v>128000</v>
      </c>
      <c r="F407" s="285">
        <v>0.4</v>
      </c>
      <c r="G407" s="287">
        <f t="shared" si="10"/>
        <v>51200</v>
      </c>
    </row>
    <row r="408" spans="1:7" ht="14.4" thickTop="1" thickBot="1" x14ac:dyDescent="0.3">
      <c r="A408" s="300"/>
      <c r="B408" s="284" t="s">
        <v>777</v>
      </c>
      <c r="C408" s="285" t="s">
        <v>119</v>
      </c>
      <c r="D408" s="286">
        <v>1</v>
      </c>
      <c r="E408" s="287">
        <v>145503</v>
      </c>
      <c r="F408" s="306">
        <v>0.25</v>
      </c>
      <c r="G408" s="287">
        <f t="shared" si="10"/>
        <v>36376</v>
      </c>
    </row>
    <row r="409" spans="1:7" ht="13.8" thickTop="1" x14ac:dyDescent="0.25">
      <c r="A409" s="319"/>
      <c r="B409" s="277" t="s">
        <v>121</v>
      </c>
      <c r="C409" s="278" t="s">
        <v>122</v>
      </c>
      <c r="D409" s="289">
        <v>0.1</v>
      </c>
      <c r="E409" s="280">
        <f>G408</f>
        <v>36376</v>
      </c>
      <c r="F409" s="278">
        <v>0</v>
      </c>
      <c r="G409" s="280">
        <f>ROUND((D409*E409),0)</f>
        <v>3638</v>
      </c>
    </row>
    <row r="410" spans="1:7" x14ac:dyDescent="0.25">
      <c r="A410" s="298"/>
      <c r="B410" s="298"/>
      <c r="C410" s="298"/>
      <c r="D410" s="298"/>
      <c r="E410" s="298"/>
      <c r="F410" s="298"/>
      <c r="G410" s="298"/>
    </row>
    <row r="411" spans="1:7" ht="26.4" x14ac:dyDescent="0.25">
      <c r="A411" s="263" t="str">
        <f>'PPTO OFICIAL'!A116</f>
        <v>10.08</v>
      </c>
      <c r="B411" s="264" t="str">
        <f>'PPTO OFICIAL'!B116</f>
        <v>Suministro e instalación de Puerta Aluminio Tipo 8 (incluye chapa)</v>
      </c>
      <c r="C411" s="263" t="str">
        <f>'PPTO OFICIAL'!C116</f>
        <v>m²</v>
      </c>
      <c r="D411" s="265"/>
      <c r="E411" s="266">
        <f>ROUND(SUM(G412:G419),0)</f>
        <v>387774</v>
      </c>
      <c r="F411" s="267"/>
      <c r="G411" s="268"/>
    </row>
    <row r="412" spans="1:7" ht="13.2" x14ac:dyDescent="0.25">
      <c r="A412" s="269"/>
      <c r="B412" s="284" t="s">
        <v>728</v>
      </c>
      <c r="C412" s="285" t="s">
        <v>8</v>
      </c>
      <c r="D412" s="286">
        <v>2</v>
      </c>
      <c r="E412" s="287">
        <v>36800</v>
      </c>
      <c r="F412" s="285">
        <v>1</v>
      </c>
      <c r="G412" s="287">
        <f t="shared" ref="G412:G418" si="11">ROUND((D412*E412*F412),0)</f>
        <v>73600</v>
      </c>
    </row>
    <row r="413" spans="1:7" ht="13.2" x14ac:dyDescent="0.25">
      <c r="A413" s="269"/>
      <c r="B413" s="284" t="s">
        <v>727</v>
      </c>
      <c r="C413" s="285" t="s">
        <v>8</v>
      </c>
      <c r="D413" s="286">
        <v>3.5</v>
      </c>
      <c r="E413" s="287">
        <v>38900</v>
      </c>
      <c r="F413" s="285">
        <v>1</v>
      </c>
      <c r="G413" s="287">
        <f t="shared" si="11"/>
        <v>136150</v>
      </c>
    </row>
    <row r="414" spans="1:7" ht="13.2" x14ac:dyDescent="0.25">
      <c r="A414" s="269"/>
      <c r="B414" s="284" t="s">
        <v>729</v>
      </c>
      <c r="C414" s="285" t="s">
        <v>8</v>
      </c>
      <c r="D414" s="286">
        <v>5</v>
      </c>
      <c r="E414" s="287">
        <v>12500</v>
      </c>
      <c r="F414" s="285">
        <v>0.5</v>
      </c>
      <c r="G414" s="287">
        <f t="shared" si="11"/>
        <v>31250</v>
      </c>
    </row>
    <row r="415" spans="1:7" ht="13.2" x14ac:dyDescent="0.25">
      <c r="A415" s="269"/>
      <c r="B415" s="284" t="s">
        <v>730</v>
      </c>
      <c r="C415" s="285" t="s">
        <v>2</v>
      </c>
      <c r="D415" s="286">
        <v>4</v>
      </c>
      <c r="E415" s="287">
        <v>4350</v>
      </c>
      <c r="F415" s="285">
        <v>0.4</v>
      </c>
      <c r="G415" s="287">
        <f t="shared" si="11"/>
        <v>6960</v>
      </c>
    </row>
    <row r="416" spans="1:7" ht="13.2" x14ac:dyDescent="0.25">
      <c r="A416" s="269"/>
      <c r="B416" s="284" t="s">
        <v>731</v>
      </c>
      <c r="C416" s="285" t="s">
        <v>228</v>
      </c>
      <c r="D416" s="286">
        <v>1</v>
      </c>
      <c r="E416" s="287">
        <v>64800</v>
      </c>
      <c r="F416" s="285">
        <v>0.75</v>
      </c>
      <c r="G416" s="287">
        <f t="shared" si="11"/>
        <v>48600</v>
      </c>
    </row>
    <row r="417" spans="1:7" ht="13.8" thickBot="1" x14ac:dyDescent="0.3">
      <c r="A417" s="269"/>
      <c r="B417" s="284" t="s">
        <v>726</v>
      </c>
      <c r="C417" s="285" t="s">
        <v>15</v>
      </c>
      <c r="D417" s="286">
        <v>1</v>
      </c>
      <c r="E417" s="287">
        <v>128000</v>
      </c>
      <c r="F417" s="285">
        <v>0.4</v>
      </c>
      <c r="G417" s="287">
        <f t="shared" si="11"/>
        <v>51200</v>
      </c>
    </row>
    <row r="418" spans="1:7" ht="14.4" thickTop="1" thickBot="1" x14ac:dyDescent="0.3">
      <c r="A418" s="300"/>
      <c r="B418" s="284" t="s">
        <v>777</v>
      </c>
      <c r="C418" s="285" t="s">
        <v>119</v>
      </c>
      <c r="D418" s="286">
        <v>1</v>
      </c>
      <c r="E418" s="287">
        <v>145503</v>
      </c>
      <c r="F418" s="306">
        <v>0.25</v>
      </c>
      <c r="G418" s="287">
        <f t="shared" si="11"/>
        <v>36376</v>
      </c>
    </row>
    <row r="419" spans="1:7" ht="13.8" thickTop="1" x14ac:dyDescent="0.25">
      <c r="A419" s="319"/>
      <c r="B419" s="277" t="s">
        <v>121</v>
      </c>
      <c r="C419" s="278" t="s">
        <v>122</v>
      </c>
      <c r="D419" s="289">
        <v>0.1</v>
      </c>
      <c r="E419" s="280">
        <f>G418</f>
        <v>36376</v>
      </c>
      <c r="F419" s="278">
        <v>0</v>
      </c>
      <c r="G419" s="280">
        <f>ROUND((D419*E419),0)</f>
        <v>3638</v>
      </c>
    </row>
    <row r="420" spans="1:7" x14ac:dyDescent="0.25">
      <c r="A420" s="298"/>
      <c r="B420" s="298"/>
      <c r="C420" s="298"/>
      <c r="D420" s="298"/>
      <c r="E420" s="298"/>
      <c r="F420" s="298"/>
      <c r="G420" s="298"/>
    </row>
    <row r="421" spans="1:7" x14ac:dyDescent="0.25">
      <c r="A421" s="298"/>
      <c r="B421" s="298"/>
      <c r="C421" s="298"/>
      <c r="D421" s="298"/>
      <c r="E421" s="298"/>
      <c r="F421" s="298"/>
      <c r="G421" s="298"/>
    </row>
    <row r="422" spans="1:7" ht="26.4" x14ac:dyDescent="0.25">
      <c r="A422" s="263" t="str">
        <f>'PPTO OFICIAL'!A117</f>
        <v>10.09</v>
      </c>
      <c r="B422" s="264" t="str">
        <f>'PPTO OFICIAL'!B117</f>
        <v>Suministro e instalación de Puerta Cortafuego Certificada (incluye ceradura antipánico) - Tipo 9</v>
      </c>
      <c r="C422" s="263" t="str">
        <f>'PPTO OFICIAL'!C117</f>
        <v>m²</v>
      </c>
      <c r="D422" s="265"/>
      <c r="E422" s="266">
        <f>ROUND(SUM(G423:G427),0)</f>
        <v>891334</v>
      </c>
      <c r="F422" s="267"/>
      <c r="G422" s="268"/>
    </row>
    <row r="423" spans="1:7" ht="13.2" x14ac:dyDescent="0.25">
      <c r="A423" s="269"/>
      <c r="B423" s="284" t="s">
        <v>734</v>
      </c>
      <c r="C423" s="285" t="s">
        <v>8</v>
      </c>
      <c r="D423" s="286">
        <v>1</v>
      </c>
      <c r="E423" s="287">
        <v>589000</v>
      </c>
      <c r="F423" s="285">
        <v>1</v>
      </c>
      <c r="G423" s="287">
        <f>ROUND((D423*E423*F423),0)</f>
        <v>589000</v>
      </c>
    </row>
    <row r="424" spans="1:7" ht="13.2" x14ac:dyDescent="0.25">
      <c r="A424" s="269"/>
      <c r="B424" s="284" t="s">
        <v>730</v>
      </c>
      <c r="C424" s="285" t="s">
        <v>2</v>
      </c>
      <c r="D424" s="286">
        <v>4</v>
      </c>
      <c r="E424" s="287">
        <v>8950</v>
      </c>
      <c r="F424" s="285">
        <v>0.4</v>
      </c>
      <c r="G424" s="287">
        <f>ROUND((D424*E424*F424),0)</f>
        <v>14320</v>
      </c>
    </row>
    <row r="425" spans="1:7" ht="13.8" thickBot="1" x14ac:dyDescent="0.3">
      <c r="A425" s="269"/>
      <c r="B425" s="284" t="s">
        <v>735</v>
      </c>
      <c r="C425" s="285" t="s">
        <v>15</v>
      </c>
      <c r="D425" s="286">
        <v>1</v>
      </c>
      <c r="E425" s="287">
        <v>620000</v>
      </c>
      <c r="F425" s="285">
        <v>0.4</v>
      </c>
      <c r="G425" s="287">
        <f>ROUND((D425*E425*F425),0)</f>
        <v>248000</v>
      </c>
    </row>
    <row r="426" spans="1:7" ht="14.4" thickTop="1" thickBot="1" x14ac:dyDescent="0.3">
      <c r="A426" s="300"/>
      <c r="B426" s="284" t="s">
        <v>777</v>
      </c>
      <c r="C426" s="285" t="s">
        <v>119</v>
      </c>
      <c r="D426" s="286">
        <v>1</v>
      </c>
      <c r="E426" s="287">
        <v>145503</v>
      </c>
      <c r="F426" s="306">
        <v>0.25</v>
      </c>
      <c r="G426" s="287">
        <f>ROUND((D426*E426*F426),0)</f>
        <v>36376</v>
      </c>
    </row>
    <row r="427" spans="1:7" ht="13.8" thickTop="1" x14ac:dyDescent="0.25">
      <c r="A427" s="319"/>
      <c r="B427" s="277" t="s">
        <v>121</v>
      </c>
      <c r="C427" s="278" t="s">
        <v>122</v>
      </c>
      <c r="D427" s="289">
        <v>0.1</v>
      </c>
      <c r="E427" s="280">
        <f>G426</f>
        <v>36376</v>
      </c>
      <c r="F427" s="278">
        <v>0</v>
      </c>
      <c r="G427" s="280">
        <f>ROUND((D427*E427),0)</f>
        <v>3638</v>
      </c>
    </row>
    <row r="428" spans="1:7" x14ac:dyDescent="0.25">
      <c r="A428" s="298"/>
      <c r="B428" s="298"/>
      <c r="C428" s="298"/>
      <c r="D428" s="298"/>
      <c r="E428" s="298"/>
      <c r="F428" s="298"/>
      <c r="G428" s="298"/>
    </row>
    <row r="429" spans="1:7" x14ac:dyDescent="0.25">
      <c r="A429" s="298"/>
      <c r="B429" s="298"/>
      <c r="C429" s="298"/>
      <c r="D429" s="298"/>
      <c r="E429" s="298"/>
      <c r="F429" s="298"/>
      <c r="G429" s="298"/>
    </row>
    <row r="430" spans="1:7" ht="13.2" x14ac:dyDescent="0.25">
      <c r="A430" s="263" t="str">
        <f>'PPTO OFICIAL'!A118</f>
        <v>10.10</v>
      </c>
      <c r="B430" s="264" t="str">
        <f>'PPTO OFICIAL'!B118</f>
        <v>Suministro e instalación de Puerta Ventana Aluminio Tipo</v>
      </c>
      <c r="C430" s="263" t="str">
        <f>'PPTO OFICIAL'!C118</f>
        <v>m²</v>
      </c>
      <c r="D430" s="265"/>
      <c r="E430" s="266">
        <f>ROUND(SUM(G431:G435),0)</f>
        <v>371064</v>
      </c>
      <c r="F430" s="267"/>
      <c r="G430" s="268"/>
    </row>
    <row r="431" spans="1:7" ht="13.2" x14ac:dyDescent="0.25">
      <c r="A431" s="269"/>
      <c r="B431" s="284" t="s">
        <v>736</v>
      </c>
      <c r="C431" s="285" t="s">
        <v>8</v>
      </c>
      <c r="D431" s="286">
        <v>4</v>
      </c>
      <c r="E431" s="287">
        <v>62800</v>
      </c>
      <c r="F431" s="285">
        <v>1</v>
      </c>
      <c r="G431" s="287">
        <f>ROUND((D431*E431*F431),0)</f>
        <v>251200</v>
      </c>
    </row>
    <row r="432" spans="1:7" ht="13.2" x14ac:dyDescent="0.25">
      <c r="A432" s="269"/>
      <c r="B432" s="284" t="s">
        <v>729</v>
      </c>
      <c r="C432" s="285" t="s">
        <v>8</v>
      </c>
      <c r="D432" s="286">
        <v>5</v>
      </c>
      <c r="E432" s="287">
        <v>12500</v>
      </c>
      <c r="F432" s="285">
        <v>0.5</v>
      </c>
      <c r="G432" s="287">
        <f>ROUND((D432*E432*F432),0)</f>
        <v>31250</v>
      </c>
    </row>
    <row r="433" spans="1:7" ht="13.8" thickBot="1" x14ac:dyDescent="0.3">
      <c r="A433" s="269"/>
      <c r="B433" s="284" t="s">
        <v>737</v>
      </c>
      <c r="C433" s="285" t="s">
        <v>228</v>
      </c>
      <c r="D433" s="286">
        <v>1</v>
      </c>
      <c r="E433" s="287">
        <v>64800</v>
      </c>
      <c r="F433" s="285">
        <v>0.75</v>
      </c>
      <c r="G433" s="287">
        <f>ROUND((D433*E433*F433),0)</f>
        <v>48600</v>
      </c>
    </row>
    <row r="434" spans="1:7" ht="14.4" thickTop="1" thickBot="1" x14ac:dyDescent="0.3">
      <c r="A434" s="300"/>
      <c r="B434" s="284" t="s">
        <v>777</v>
      </c>
      <c r="C434" s="285" t="s">
        <v>119</v>
      </c>
      <c r="D434" s="286">
        <v>1</v>
      </c>
      <c r="E434" s="287">
        <v>145503</v>
      </c>
      <c r="F434" s="306">
        <v>0.25</v>
      </c>
      <c r="G434" s="287">
        <f>ROUND((D434*E434*F434),0)</f>
        <v>36376</v>
      </c>
    </row>
    <row r="435" spans="1:7" ht="13.8" thickTop="1" x14ac:dyDescent="0.25">
      <c r="A435" s="319"/>
      <c r="B435" s="277" t="s">
        <v>121</v>
      </c>
      <c r="C435" s="278" t="s">
        <v>122</v>
      </c>
      <c r="D435" s="289">
        <v>0.1</v>
      </c>
      <c r="E435" s="280">
        <f>G434</f>
        <v>36376</v>
      </c>
      <c r="F435" s="278">
        <v>0</v>
      </c>
      <c r="G435" s="280">
        <f>ROUND((D435*E435),0)</f>
        <v>3638</v>
      </c>
    </row>
    <row r="436" spans="1:7" x14ac:dyDescent="0.25">
      <c r="A436" s="298"/>
      <c r="B436" s="298"/>
      <c r="C436" s="298"/>
      <c r="D436" s="298"/>
      <c r="E436" s="298"/>
      <c r="F436" s="298"/>
      <c r="G436" s="298"/>
    </row>
    <row r="437" spans="1:7" ht="13.2" x14ac:dyDescent="0.25">
      <c r="A437" s="263" t="str">
        <f>'PPTO OFICIAL'!A119</f>
        <v>10.11</v>
      </c>
      <c r="B437" s="264" t="str">
        <f>'PPTO OFICIAL'!B119</f>
        <v>Ventana Aluminio Marco + vidrio (5mm a 6mm)</v>
      </c>
      <c r="C437" s="263" t="str">
        <f>'PPTO OFICIAL'!C119</f>
        <v>m²</v>
      </c>
      <c r="D437" s="265"/>
      <c r="E437" s="266">
        <f>ROUND(SUM(G438:G442),0)</f>
        <v>284911</v>
      </c>
      <c r="F437" s="267"/>
      <c r="G437" s="268"/>
    </row>
    <row r="438" spans="1:7" ht="13.2" x14ac:dyDescent="0.25">
      <c r="A438" s="269"/>
      <c r="B438" s="284" t="s">
        <v>738</v>
      </c>
      <c r="C438" s="285" t="s">
        <v>8</v>
      </c>
      <c r="D438" s="286">
        <v>3.5</v>
      </c>
      <c r="E438" s="287">
        <v>49600</v>
      </c>
      <c r="F438" s="285">
        <v>1</v>
      </c>
      <c r="G438" s="287">
        <f>ROUND((D438*E438*F438),0)</f>
        <v>173600</v>
      </c>
    </row>
    <row r="439" spans="1:7" ht="13.2" x14ac:dyDescent="0.25">
      <c r="A439" s="269"/>
      <c r="B439" s="284" t="s">
        <v>739</v>
      </c>
      <c r="C439" s="285" t="s">
        <v>8</v>
      </c>
      <c r="D439" s="286">
        <v>1</v>
      </c>
      <c r="E439" s="287">
        <v>14500</v>
      </c>
      <c r="F439" s="285">
        <v>1</v>
      </c>
      <c r="G439" s="287">
        <f>ROUND((D439*E439*F439),0)</f>
        <v>14500</v>
      </c>
    </row>
    <row r="440" spans="1:7" ht="13.8" thickBot="1" x14ac:dyDescent="0.3">
      <c r="A440" s="269"/>
      <c r="B440" s="284" t="s">
        <v>737</v>
      </c>
      <c r="C440" s="285" t="s">
        <v>228</v>
      </c>
      <c r="D440" s="286">
        <v>1</v>
      </c>
      <c r="E440" s="287">
        <v>64800</v>
      </c>
      <c r="F440" s="285">
        <v>1</v>
      </c>
      <c r="G440" s="287">
        <f>ROUND((D440*E440*F440),0)</f>
        <v>64800</v>
      </c>
    </row>
    <row r="441" spans="1:7" ht="14.4" thickTop="1" thickBot="1" x14ac:dyDescent="0.3">
      <c r="A441" s="300"/>
      <c r="B441" s="284" t="s">
        <v>777</v>
      </c>
      <c r="C441" s="285" t="s">
        <v>119</v>
      </c>
      <c r="D441" s="286">
        <v>1</v>
      </c>
      <c r="E441" s="287">
        <v>145503</v>
      </c>
      <c r="F441" s="306">
        <v>0.2</v>
      </c>
      <c r="G441" s="287">
        <f>ROUND((D441*E441*F441),0)</f>
        <v>29101</v>
      </c>
    </row>
    <row r="442" spans="1:7" ht="13.8" thickTop="1" x14ac:dyDescent="0.25">
      <c r="A442" s="319"/>
      <c r="B442" s="277" t="s">
        <v>121</v>
      </c>
      <c r="C442" s="278" t="s">
        <v>122</v>
      </c>
      <c r="D442" s="289">
        <v>0.1</v>
      </c>
      <c r="E442" s="280">
        <f>G441</f>
        <v>29101</v>
      </c>
      <c r="F442" s="278">
        <v>0</v>
      </c>
      <c r="G442" s="280">
        <f>ROUND((D442*E442),0)</f>
        <v>2910</v>
      </c>
    </row>
    <row r="443" spans="1:7" x14ac:dyDescent="0.25">
      <c r="A443" s="298"/>
      <c r="B443" s="298"/>
      <c r="C443" s="298"/>
      <c r="D443" s="298"/>
      <c r="E443" s="298"/>
      <c r="F443" s="298"/>
      <c r="G443" s="298"/>
    </row>
    <row r="444" spans="1:7" x14ac:dyDescent="0.25">
      <c r="A444" s="298"/>
      <c r="B444" s="298"/>
      <c r="C444" s="298"/>
      <c r="D444" s="298"/>
      <c r="E444" s="298"/>
      <c r="F444" s="298"/>
      <c r="G444" s="298"/>
    </row>
    <row r="445" spans="1:7" ht="13.2" x14ac:dyDescent="0.25">
      <c r="A445" s="263" t="str">
        <f>'PPTO OFICIAL'!A120</f>
        <v>10.12</v>
      </c>
      <c r="B445" s="264" t="str">
        <f>'PPTO OFICIAL'!B120</f>
        <v>Ventana Aluminio Tipo + Persiana + Vidrio (5mm a 6mm)</v>
      </c>
      <c r="C445" s="263" t="str">
        <f>'PPTO OFICIAL'!C128</f>
        <v>UND</v>
      </c>
      <c r="D445" s="265"/>
      <c r="E445" s="266">
        <f>ROUND(SUM(G446:G451),0)</f>
        <v>316161</v>
      </c>
      <c r="F445" s="267"/>
      <c r="G445" s="268"/>
    </row>
    <row r="446" spans="1:7" ht="13.2" x14ac:dyDescent="0.25">
      <c r="A446" s="269"/>
      <c r="B446" s="284" t="s">
        <v>738</v>
      </c>
      <c r="C446" s="285" t="s">
        <v>8</v>
      </c>
      <c r="D446" s="286">
        <v>3.5</v>
      </c>
      <c r="E446" s="287">
        <v>49600</v>
      </c>
      <c r="F446" s="285">
        <v>1</v>
      </c>
      <c r="G446" s="287">
        <f>ROUND((D446*E446*F446),0)</f>
        <v>173600</v>
      </c>
    </row>
    <row r="447" spans="1:7" ht="13.2" x14ac:dyDescent="0.25">
      <c r="A447" s="269"/>
      <c r="B447" s="284" t="s">
        <v>739</v>
      </c>
      <c r="C447" s="285" t="s">
        <v>8</v>
      </c>
      <c r="D447" s="286">
        <v>1</v>
      </c>
      <c r="E447" s="287">
        <v>14500</v>
      </c>
      <c r="F447" s="285">
        <v>1</v>
      </c>
      <c r="G447" s="287">
        <f>ROUND((D447*E447*F447),0)</f>
        <v>14500</v>
      </c>
    </row>
    <row r="448" spans="1:7" ht="13.2" x14ac:dyDescent="0.25">
      <c r="A448" s="269"/>
      <c r="B448" s="284" t="s">
        <v>729</v>
      </c>
      <c r="C448" s="285" t="s">
        <v>8</v>
      </c>
      <c r="D448" s="286">
        <v>5</v>
      </c>
      <c r="E448" s="287">
        <v>12500</v>
      </c>
      <c r="F448" s="285">
        <v>0.5</v>
      </c>
      <c r="G448" s="287">
        <f>ROUND((D448*E448*F448),0)</f>
        <v>31250</v>
      </c>
    </row>
    <row r="449" spans="1:7" ht="13.8" thickBot="1" x14ac:dyDescent="0.3">
      <c r="A449" s="269"/>
      <c r="B449" s="284" t="s">
        <v>737</v>
      </c>
      <c r="C449" s="285" t="s">
        <v>228</v>
      </c>
      <c r="D449" s="286">
        <v>1</v>
      </c>
      <c r="E449" s="287">
        <v>64800</v>
      </c>
      <c r="F449" s="285">
        <v>1</v>
      </c>
      <c r="G449" s="287">
        <f>ROUND((D449*E449*F449),0)</f>
        <v>64800</v>
      </c>
    </row>
    <row r="450" spans="1:7" ht="14.4" thickTop="1" thickBot="1" x14ac:dyDescent="0.3">
      <c r="A450" s="300"/>
      <c r="B450" s="284" t="s">
        <v>777</v>
      </c>
      <c r="C450" s="285" t="s">
        <v>119</v>
      </c>
      <c r="D450" s="286">
        <v>1</v>
      </c>
      <c r="E450" s="287">
        <v>145503</v>
      </c>
      <c r="F450" s="306">
        <v>0.2</v>
      </c>
      <c r="G450" s="287">
        <f>ROUND((D450*E450*F450),0)</f>
        <v>29101</v>
      </c>
    </row>
    <row r="451" spans="1:7" ht="13.8" thickTop="1" x14ac:dyDescent="0.25">
      <c r="A451" s="319"/>
      <c r="B451" s="277" t="s">
        <v>121</v>
      </c>
      <c r="C451" s="278" t="s">
        <v>122</v>
      </c>
      <c r="D451" s="289">
        <v>0.1</v>
      </c>
      <c r="E451" s="280">
        <f>G450</f>
        <v>29101</v>
      </c>
      <c r="F451" s="278">
        <v>0</v>
      </c>
      <c r="G451" s="280">
        <f>ROUND((D451*E451),0)</f>
        <v>2910</v>
      </c>
    </row>
  </sheetData>
  <mergeCells count="50">
    <mergeCell ref="A9:A11"/>
    <mergeCell ref="A43:A49"/>
    <mergeCell ref="A29:A33"/>
    <mergeCell ref="A34:A35"/>
    <mergeCell ref="A15:A19"/>
    <mergeCell ref="A20:A21"/>
    <mergeCell ref="A23:A24"/>
    <mergeCell ref="A37:A38"/>
    <mergeCell ref="A311:A312"/>
    <mergeCell ref="A329:A334"/>
    <mergeCell ref="A336:A337"/>
    <mergeCell ref="A120:A124"/>
    <mergeCell ref="A138:A140"/>
    <mergeCell ref="A301:A302"/>
    <mergeCell ref="A316:A323"/>
    <mergeCell ref="A325:A326"/>
    <mergeCell ref="A266:A270"/>
    <mergeCell ref="A272:A273"/>
    <mergeCell ref="A176:A183"/>
    <mergeCell ref="A185:A186"/>
    <mergeCell ref="A129:A131"/>
    <mergeCell ref="A133:A134"/>
    <mergeCell ref="A152:A154"/>
    <mergeCell ref="A156:A157"/>
    <mergeCell ref="A55:A60"/>
    <mergeCell ref="A66:A71"/>
    <mergeCell ref="A235:A236"/>
    <mergeCell ref="A306:A309"/>
    <mergeCell ref="A168:A170"/>
    <mergeCell ref="A172:A173"/>
    <mergeCell ref="A189:A196"/>
    <mergeCell ref="A198:A199"/>
    <mergeCell ref="A214:A215"/>
    <mergeCell ref="A217:A223"/>
    <mergeCell ref="A232:A233"/>
    <mergeCell ref="A80:A81"/>
    <mergeCell ref="A85:A89"/>
    <mergeCell ref="A97:A101"/>
    <mergeCell ref="A102:A103"/>
    <mergeCell ref="A108:A114"/>
    <mergeCell ref="A90:A91"/>
    <mergeCell ref="A202:A203"/>
    <mergeCell ref="A205:A211"/>
    <mergeCell ref="A227:A228"/>
    <mergeCell ref="A116:A117"/>
    <mergeCell ref="A295:A299"/>
    <mergeCell ref="A240:A244"/>
    <mergeCell ref="A245:A246"/>
    <mergeCell ref="A252:A259"/>
    <mergeCell ref="A261:A262"/>
  </mergeCells>
  <pageMargins left="0.7" right="0.7" top="0.75" bottom="0.75" header="0.3" footer="0.3"/>
  <pageSetup paperSize="9" scale="66" orientation="portrait" horizontalDpi="1200" verticalDpi="1200" r:id="rId1"/>
  <colBreaks count="1" manualBreakCount="1">
    <brk id="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3:G489"/>
  <sheetViews>
    <sheetView view="pageBreakPreview" topLeftCell="A427" zoomScaleNormal="100" zoomScaleSheetLayoutView="100" workbookViewId="0">
      <selection activeCell="B435" sqref="B435"/>
    </sheetView>
  </sheetViews>
  <sheetFormatPr baseColWidth="10" defaultColWidth="11.44140625" defaultRowHeight="13.2" x14ac:dyDescent="0.25"/>
  <cols>
    <col min="1" max="1" width="11.88671875" style="220" customWidth="1"/>
    <col min="2" max="2" width="49.109375" style="250" customWidth="1"/>
    <col min="3" max="3" width="7.5546875" style="251" bestFit="1" customWidth="1"/>
    <col min="4" max="4" width="12" style="251" bestFit="1" customWidth="1"/>
    <col min="5" max="5" width="13.5546875" style="251" customWidth="1"/>
    <col min="6" max="6" width="19.109375" style="251" customWidth="1"/>
    <col min="7" max="16384" width="11.44140625" style="251"/>
  </cols>
  <sheetData>
    <row r="3" spans="1:7" s="4" customFormat="1" ht="13.8" x14ac:dyDescent="0.25">
      <c r="D3" s="7"/>
      <c r="G3" s="24"/>
    </row>
    <row r="4" spans="1:7" s="4" customFormat="1" ht="13.8" x14ac:dyDescent="0.25">
      <c r="A4" s="350"/>
      <c r="B4" s="335" t="s">
        <v>293</v>
      </c>
      <c r="C4" s="335"/>
      <c r="D4" s="335"/>
      <c r="E4" s="25"/>
      <c r="G4" s="5"/>
    </row>
    <row r="5" spans="1:7" s="4" customFormat="1" ht="13.8" x14ac:dyDescent="0.25">
      <c r="A5" s="350"/>
      <c r="B5" s="335"/>
      <c r="C5" s="335"/>
      <c r="D5" s="335"/>
      <c r="E5" s="25"/>
      <c r="G5" s="5"/>
    </row>
    <row r="6" spans="1:7" s="4" customFormat="1" ht="13.8" x14ac:dyDescent="0.25">
      <c r="A6" s="350"/>
      <c r="B6" s="335"/>
      <c r="C6" s="335"/>
      <c r="D6" s="335"/>
      <c r="E6" s="25"/>
      <c r="G6" s="5"/>
    </row>
    <row r="7" spans="1:7" s="4" customFormat="1" ht="13.8" x14ac:dyDescent="0.25">
      <c r="A7" s="350"/>
      <c r="B7" s="335"/>
      <c r="C7" s="335"/>
      <c r="D7" s="335"/>
      <c r="E7" s="25"/>
      <c r="G7" s="5"/>
    </row>
    <row r="8" spans="1:7" s="4" customFormat="1" ht="13.8" x14ac:dyDescent="0.25">
      <c r="A8" s="350"/>
      <c r="B8" s="335"/>
      <c r="C8" s="335"/>
      <c r="D8" s="335"/>
      <c r="E8" s="25"/>
      <c r="G8" s="5"/>
    </row>
    <row r="9" spans="1:7" s="4" customFormat="1" ht="13.8" x14ac:dyDescent="0.25">
      <c r="A9" s="351" t="s">
        <v>229</v>
      </c>
      <c r="B9" s="351"/>
      <c r="C9" s="351"/>
      <c r="D9" s="351"/>
      <c r="E9" s="351"/>
      <c r="F9" s="351"/>
      <c r="G9" s="351"/>
    </row>
    <row r="11" spans="1:7" s="256" customFormat="1" ht="48" x14ac:dyDescent="0.25">
      <c r="A11" s="245">
        <v>12.01</v>
      </c>
      <c r="B11" s="246" t="s">
        <v>625</v>
      </c>
      <c r="C11" s="252" t="s">
        <v>313</v>
      </c>
      <c r="D11" s="253" t="s">
        <v>195</v>
      </c>
      <c r="E11" s="254"/>
      <c r="F11" s="255"/>
    </row>
    <row r="12" spans="1:7" x14ac:dyDescent="0.25">
      <c r="B12" s="211" t="s">
        <v>162</v>
      </c>
      <c r="C12" s="212" t="s">
        <v>314</v>
      </c>
      <c r="D12" s="213" t="s">
        <v>315</v>
      </c>
      <c r="E12" s="214" t="s">
        <v>316</v>
      </c>
      <c r="F12" s="214" t="s">
        <v>317</v>
      </c>
    </row>
    <row r="13" spans="1:7" ht="34.200000000000003" x14ac:dyDescent="0.25">
      <c r="B13" s="215" t="s">
        <v>318</v>
      </c>
      <c r="C13" s="212" t="s">
        <v>8</v>
      </c>
      <c r="D13" s="213">
        <v>12</v>
      </c>
      <c r="E13" s="214">
        <v>2677</v>
      </c>
      <c r="F13" s="216">
        <f>ROUND(E13*D13,0)</f>
        <v>32124</v>
      </c>
    </row>
    <row r="14" spans="1:7" x14ac:dyDescent="0.25">
      <c r="B14" s="215" t="s">
        <v>319</v>
      </c>
      <c r="C14" s="212" t="s">
        <v>8</v>
      </c>
      <c r="D14" s="213">
        <v>1.5</v>
      </c>
      <c r="E14" s="214">
        <f>6457*0.7*1.19</f>
        <v>5378.6809999999996</v>
      </c>
      <c r="F14" s="216">
        <f t="shared" ref="F14:F24" si="0">ROUND(E14*D14,0)</f>
        <v>8068</v>
      </c>
    </row>
    <row r="15" spans="1:7" x14ac:dyDescent="0.25">
      <c r="B15" s="215" t="s">
        <v>320</v>
      </c>
      <c r="C15" s="212" t="s">
        <v>15</v>
      </c>
      <c r="D15" s="213">
        <v>1</v>
      </c>
      <c r="E15" s="214">
        <v>2500</v>
      </c>
      <c r="F15" s="216">
        <f t="shared" si="0"/>
        <v>2500</v>
      </c>
    </row>
    <row r="16" spans="1:7" x14ac:dyDescent="0.25">
      <c r="B16" s="215" t="s">
        <v>321</v>
      </c>
      <c r="C16" s="212" t="s">
        <v>15</v>
      </c>
      <c r="D16" s="213">
        <v>1</v>
      </c>
      <c r="E16" s="214">
        <f>3250*1.19</f>
        <v>3867.5</v>
      </c>
      <c r="F16" s="216">
        <f t="shared" si="0"/>
        <v>3868</v>
      </c>
    </row>
    <row r="17" spans="1:6" x14ac:dyDescent="0.25">
      <c r="B17" s="215" t="s">
        <v>322</v>
      </c>
      <c r="C17" s="212" t="s">
        <v>15</v>
      </c>
      <c r="D17" s="217">
        <f>1*1.33333333333333</f>
        <v>1.3333333333333299</v>
      </c>
      <c r="E17" s="214">
        <v>16000</v>
      </c>
      <c r="F17" s="216">
        <f t="shared" si="0"/>
        <v>21333</v>
      </c>
    </row>
    <row r="18" spans="1:6" x14ac:dyDescent="0.25">
      <c r="B18" s="215" t="s">
        <v>323</v>
      </c>
      <c r="C18" s="212" t="s">
        <v>15</v>
      </c>
      <c r="D18" s="213">
        <v>2</v>
      </c>
      <c r="E18" s="214">
        <f>700*1.19</f>
        <v>833</v>
      </c>
      <c r="F18" s="216">
        <f t="shared" si="0"/>
        <v>1666</v>
      </c>
    </row>
    <row r="19" spans="1:6" x14ac:dyDescent="0.25">
      <c r="B19" s="215" t="s">
        <v>324</v>
      </c>
      <c r="C19" s="212" t="s">
        <v>15</v>
      </c>
      <c r="D19" s="213">
        <v>1</v>
      </c>
      <c r="E19" s="214">
        <f>9800*1.19</f>
        <v>11662</v>
      </c>
      <c r="F19" s="216">
        <f t="shared" si="0"/>
        <v>11662</v>
      </c>
    </row>
    <row r="20" spans="1:6" x14ac:dyDescent="0.25">
      <c r="B20" s="215" t="s">
        <v>325</v>
      </c>
      <c r="C20" s="212" t="s">
        <v>15</v>
      </c>
      <c r="D20" s="213">
        <v>3</v>
      </c>
      <c r="E20" s="214">
        <f>500*1.19</f>
        <v>595</v>
      </c>
      <c r="F20" s="216">
        <f t="shared" si="0"/>
        <v>1785</v>
      </c>
    </row>
    <row r="21" spans="1:6" x14ac:dyDescent="0.25">
      <c r="B21" s="211" t="s">
        <v>147</v>
      </c>
      <c r="C21" s="212"/>
      <c r="D21" s="218"/>
      <c r="E21" s="214"/>
      <c r="F21" s="216">
        <f t="shared" si="0"/>
        <v>0</v>
      </c>
    </row>
    <row r="22" spans="1:6" x14ac:dyDescent="0.25">
      <c r="B22" s="215" t="s">
        <v>107</v>
      </c>
      <c r="C22" s="212" t="s">
        <v>326</v>
      </c>
      <c r="D22" s="213">
        <v>0.25</v>
      </c>
      <c r="E22" s="214">
        <v>167525</v>
      </c>
      <c r="F22" s="216">
        <f t="shared" si="0"/>
        <v>41881</v>
      </c>
    </row>
    <row r="23" spans="1:6" x14ac:dyDescent="0.25">
      <c r="B23" s="211" t="s">
        <v>327</v>
      </c>
      <c r="C23" s="212"/>
      <c r="D23" s="213"/>
      <c r="E23" s="214"/>
      <c r="F23" s="216">
        <f t="shared" si="0"/>
        <v>0</v>
      </c>
    </row>
    <row r="24" spans="1:6" x14ac:dyDescent="0.25">
      <c r="B24" s="215" t="s">
        <v>328</v>
      </c>
      <c r="C24" s="212" t="s">
        <v>189</v>
      </c>
      <c r="D24" s="213">
        <v>0.05</v>
      </c>
      <c r="E24" s="214">
        <f>+F22</f>
        <v>41881</v>
      </c>
      <c r="F24" s="216">
        <f t="shared" si="0"/>
        <v>2094</v>
      </c>
    </row>
    <row r="25" spans="1:6" x14ac:dyDescent="0.25">
      <c r="B25" s="215" t="s">
        <v>329</v>
      </c>
      <c r="C25" s="212"/>
      <c r="D25" s="257"/>
      <c r="E25" s="214"/>
      <c r="F25" s="216">
        <f>ROUND(SUM(F13:F24),0)</f>
        <v>126981</v>
      </c>
    </row>
    <row r="28" spans="1:6" s="256" customFormat="1" ht="60" x14ac:dyDescent="0.25">
      <c r="A28" s="245">
        <v>12.02</v>
      </c>
      <c r="B28" s="246" t="s">
        <v>627</v>
      </c>
      <c r="C28" s="252" t="s">
        <v>313</v>
      </c>
      <c r="D28" s="253" t="s">
        <v>195</v>
      </c>
      <c r="E28" s="254"/>
      <c r="F28" s="255"/>
    </row>
    <row r="29" spans="1:6" x14ac:dyDescent="0.25">
      <c r="B29" s="211" t="s">
        <v>162</v>
      </c>
      <c r="C29" s="212" t="s">
        <v>314</v>
      </c>
      <c r="D29" s="213" t="s">
        <v>315</v>
      </c>
      <c r="E29" s="214" t="s">
        <v>316</v>
      </c>
      <c r="F29" s="214" t="s">
        <v>317</v>
      </c>
    </row>
    <row r="30" spans="1:6" ht="34.200000000000003" x14ac:dyDescent="0.25">
      <c r="B30" s="215" t="s">
        <v>318</v>
      </c>
      <c r="C30" s="212" t="s">
        <v>8</v>
      </c>
      <c r="D30" s="213">
        <v>15</v>
      </c>
      <c r="E30" s="214">
        <v>2677</v>
      </c>
      <c r="F30" s="216">
        <f>ROUND(E30*D30,0)</f>
        <v>40155</v>
      </c>
    </row>
    <row r="31" spans="1:6" x14ac:dyDescent="0.25">
      <c r="B31" s="215" t="s">
        <v>330</v>
      </c>
      <c r="C31" s="212" t="s">
        <v>15</v>
      </c>
      <c r="D31" s="213">
        <v>1</v>
      </c>
      <c r="E31" s="214">
        <f>1250*1.19</f>
        <v>1487.5</v>
      </c>
      <c r="F31" s="216">
        <f t="shared" ref="F31:F39" si="1">ROUND(E31*D31,0)</f>
        <v>1488</v>
      </c>
    </row>
    <row r="32" spans="1:6" x14ac:dyDescent="0.25">
      <c r="B32" s="215" t="s">
        <v>331</v>
      </c>
      <c r="C32" s="212" t="s">
        <v>15</v>
      </c>
      <c r="D32" s="217">
        <v>1.67</v>
      </c>
      <c r="E32" s="214">
        <v>6021</v>
      </c>
      <c r="F32" s="216">
        <f t="shared" si="1"/>
        <v>10055</v>
      </c>
    </row>
    <row r="33" spans="1:6" x14ac:dyDescent="0.25">
      <c r="B33" s="215" t="s">
        <v>332</v>
      </c>
      <c r="C33" s="212" t="s">
        <v>15</v>
      </c>
      <c r="D33" s="213">
        <v>2</v>
      </c>
      <c r="E33" s="214">
        <v>463</v>
      </c>
      <c r="F33" s="216">
        <f t="shared" si="1"/>
        <v>926</v>
      </c>
    </row>
    <row r="34" spans="1:6" x14ac:dyDescent="0.25">
      <c r="B34" s="215" t="s">
        <v>333</v>
      </c>
      <c r="C34" s="212" t="s">
        <v>15</v>
      </c>
      <c r="D34" s="213">
        <v>1</v>
      </c>
      <c r="E34" s="214">
        <f>9800*1.19</f>
        <v>11662</v>
      </c>
      <c r="F34" s="216">
        <f t="shared" si="1"/>
        <v>11662</v>
      </c>
    </row>
    <row r="35" spans="1:6" x14ac:dyDescent="0.25">
      <c r="B35" s="215" t="s">
        <v>325</v>
      </c>
      <c r="C35" s="212" t="s">
        <v>15</v>
      </c>
      <c r="D35" s="213">
        <v>3</v>
      </c>
      <c r="E35" s="214">
        <f>500*1.19</f>
        <v>595</v>
      </c>
      <c r="F35" s="216">
        <f t="shared" si="1"/>
        <v>1785</v>
      </c>
    </row>
    <row r="36" spans="1:6" x14ac:dyDescent="0.25">
      <c r="B36" s="211" t="s">
        <v>147</v>
      </c>
      <c r="C36" s="212"/>
      <c r="D36" s="218"/>
      <c r="E36" s="214"/>
      <c r="F36" s="216">
        <f t="shared" si="1"/>
        <v>0</v>
      </c>
    </row>
    <row r="37" spans="1:6" x14ac:dyDescent="0.25">
      <c r="B37" s="215" t="s">
        <v>107</v>
      </c>
      <c r="C37" s="212" t="s">
        <v>326</v>
      </c>
      <c r="D37" s="213">
        <v>0.25</v>
      </c>
      <c r="E37" s="214">
        <v>167525</v>
      </c>
      <c r="F37" s="216">
        <f t="shared" si="1"/>
        <v>41881</v>
      </c>
    </row>
    <row r="38" spans="1:6" x14ac:dyDescent="0.25">
      <c r="B38" s="211" t="s">
        <v>327</v>
      </c>
      <c r="C38" s="212"/>
      <c r="D38" s="213"/>
      <c r="E38" s="214"/>
      <c r="F38" s="216">
        <f t="shared" si="1"/>
        <v>0</v>
      </c>
    </row>
    <row r="39" spans="1:6" x14ac:dyDescent="0.25">
      <c r="B39" s="215" t="s">
        <v>328</v>
      </c>
      <c r="C39" s="212" t="s">
        <v>189</v>
      </c>
      <c r="D39" s="213">
        <v>0.05</v>
      </c>
      <c r="E39" s="214">
        <f>+F37</f>
        <v>41881</v>
      </c>
      <c r="F39" s="216">
        <f t="shared" si="1"/>
        <v>2094</v>
      </c>
    </row>
    <row r="40" spans="1:6" x14ac:dyDescent="0.25">
      <c r="B40" s="215" t="s">
        <v>329</v>
      </c>
      <c r="C40" s="212"/>
      <c r="D40" s="257"/>
      <c r="E40" s="214"/>
      <c r="F40" s="216">
        <f>ROUND(SUM(F29:F39),0)</f>
        <v>110046</v>
      </c>
    </row>
    <row r="43" spans="1:6" s="256" customFormat="1" ht="60" x14ac:dyDescent="0.25">
      <c r="A43" s="245">
        <v>12.03</v>
      </c>
      <c r="B43" s="246" t="s">
        <v>740</v>
      </c>
      <c r="C43" s="252" t="s">
        <v>313</v>
      </c>
      <c r="D43" s="253" t="s">
        <v>195</v>
      </c>
      <c r="E43" s="254"/>
      <c r="F43" s="255"/>
    </row>
    <row r="44" spans="1:6" x14ac:dyDescent="0.25">
      <c r="B44" s="211" t="s">
        <v>162</v>
      </c>
      <c r="C44" s="212" t="s">
        <v>314</v>
      </c>
      <c r="D44" s="213" t="s">
        <v>315</v>
      </c>
      <c r="E44" s="214" t="s">
        <v>316</v>
      </c>
      <c r="F44" s="214" t="s">
        <v>317</v>
      </c>
    </row>
    <row r="45" spans="1:6" ht="34.200000000000003" x14ac:dyDescent="0.25">
      <c r="B45" s="215" t="s">
        <v>318</v>
      </c>
      <c r="C45" s="212" t="s">
        <v>8</v>
      </c>
      <c r="D45" s="213">
        <v>15</v>
      </c>
      <c r="E45" s="214">
        <v>2677</v>
      </c>
      <c r="F45" s="216">
        <f>ROUND(E45*D45,0)</f>
        <v>40155</v>
      </c>
    </row>
    <row r="46" spans="1:6" x14ac:dyDescent="0.25">
      <c r="B46" s="215" t="s">
        <v>330</v>
      </c>
      <c r="C46" s="212" t="s">
        <v>15</v>
      </c>
      <c r="D46" s="213">
        <v>1</v>
      </c>
      <c r="E46" s="214">
        <f>1250*1.19</f>
        <v>1487.5</v>
      </c>
      <c r="F46" s="216">
        <f t="shared" ref="F46:F54" si="2">ROUND(E46*D46,0)</f>
        <v>1488</v>
      </c>
    </row>
    <row r="47" spans="1:6" x14ac:dyDescent="0.25">
      <c r="B47" s="215" t="s">
        <v>331</v>
      </c>
      <c r="C47" s="212" t="s">
        <v>15</v>
      </c>
      <c r="D47" s="217">
        <v>1.67</v>
      </c>
      <c r="E47" s="214">
        <v>6021</v>
      </c>
      <c r="F47" s="216">
        <f t="shared" si="2"/>
        <v>10055</v>
      </c>
    </row>
    <row r="48" spans="1:6" x14ac:dyDescent="0.25">
      <c r="B48" s="215" t="s">
        <v>332</v>
      </c>
      <c r="C48" s="212" t="s">
        <v>15</v>
      </c>
      <c r="D48" s="213">
        <v>2</v>
      </c>
      <c r="E48" s="214">
        <v>463</v>
      </c>
      <c r="F48" s="216">
        <f t="shared" si="2"/>
        <v>926</v>
      </c>
    </row>
    <row r="49" spans="1:6" x14ac:dyDescent="0.25">
      <c r="B49" s="215" t="s">
        <v>334</v>
      </c>
      <c r="C49" s="212" t="s">
        <v>15</v>
      </c>
      <c r="D49" s="213">
        <v>1</v>
      </c>
      <c r="E49" s="214">
        <f>39800*1.19</f>
        <v>47362</v>
      </c>
      <c r="F49" s="216">
        <f t="shared" si="2"/>
        <v>47362</v>
      </c>
    </row>
    <row r="50" spans="1:6" x14ac:dyDescent="0.25">
      <c r="B50" s="215" t="s">
        <v>325</v>
      </c>
      <c r="C50" s="212" t="s">
        <v>15</v>
      </c>
      <c r="D50" s="213">
        <v>3</v>
      </c>
      <c r="E50" s="214">
        <f>500*1.19</f>
        <v>595</v>
      </c>
      <c r="F50" s="216">
        <f t="shared" si="2"/>
        <v>1785</v>
      </c>
    </row>
    <row r="51" spans="1:6" x14ac:dyDescent="0.25">
      <c r="B51" s="211" t="s">
        <v>147</v>
      </c>
      <c r="C51" s="212"/>
      <c r="D51" s="218"/>
      <c r="E51" s="214"/>
      <c r="F51" s="216">
        <f t="shared" si="2"/>
        <v>0</v>
      </c>
    </row>
    <row r="52" spans="1:6" x14ac:dyDescent="0.25">
      <c r="B52" s="215" t="s">
        <v>107</v>
      </c>
      <c r="C52" s="212" t="s">
        <v>326</v>
      </c>
      <c r="D52" s="213">
        <v>0.25</v>
      </c>
      <c r="E52" s="214">
        <v>167525</v>
      </c>
      <c r="F52" s="216">
        <f t="shared" si="2"/>
        <v>41881</v>
      </c>
    </row>
    <row r="53" spans="1:6" x14ac:dyDescent="0.25">
      <c r="B53" s="211" t="s">
        <v>327</v>
      </c>
      <c r="C53" s="212"/>
      <c r="D53" s="213"/>
      <c r="E53" s="214"/>
      <c r="F53" s="216">
        <f t="shared" si="2"/>
        <v>0</v>
      </c>
    </row>
    <row r="54" spans="1:6" x14ac:dyDescent="0.25">
      <c r="B54" s="215" t="s">
        <v>328</v>
      </c>
      <c r="C54" s="212" t="s">
        <v>189</v>
      </c>
      <c r="D54" s="213">
        <v>0.05</v>
      </c>
      <c r="E54" s="214">
        <f>+F52</f>
        <v>41881</v>
      </c>
      <c r="F54" s="216">
        <f t="shared" si="2"/>
        <v>2094</v>
      </c>
    </row>
    <row r="55" spans="1:6" x14ac:dyDescent="0.25">
      <c r="B55" s="215" t="s">
        <v>329</v>
      </c>
      <c r="C55" s="212"/>
      <c r="D55" s="257"/>
      <c r="E55" s="214"/>
      <c r="F55" s="216">
        <f>ROUND(SUM(F44:F54),0)</f>
        <v>145746</v>
      </c>
    </row>
    <row r="58" spans="1:6" s="256" customFormat="1" ht="60" x14ac:dyDescent="0.25">
      <c r="A58" s="245">
        <v>12.04</v>
      </c>
      <c r="B58" s="246" t="s">
        <v>631</v>
      </c>
      <c r="C58" s="252" t="s">
        <v>313</v>
      </c>
      <c r="D58" s="253" t="s">
        <v>195</v>
      </c>
      <c r="E58" s="254"/>
      <c r="F58" s="255"/>
    </row>
    <row r="59" spans="1:6" x14ac:dyDescent="0.25">
      <c r="B59" s="211" t="s">
        <v>162</v>
      </c>
      <c r="C59" s="212" t="s">
        <v>314</v>
      </c>
      <c r="D59" s="213" t="s">
        <v>315</v>
      </c>
      <c r="E59" s="214" t="s">
        <v>316</v>
      </c>
      <c r="F59" s="214" t="s">
        <v>317</v>
      </c>
    </row>
    <row r="60" spans="1:6" ht="34.200000000000003" x14ac:dyDescent="0.25">
      <c r="B60" s="215" t="s">
        <v>318</v>
      </c>
      <c r="C60" s="212" t="s">
        <v>8</v>
      </c>
      <c r="D60" s="213">
        <v>15</v>
      </c>
      <c r="E60" s="214">
        <v>2677</v>
      </c>
      <c r="F60" s="216">
        <f>ROUND(E60*D60,0)</f>
        <v>40155</v>
      </c>
    </row>
    <row r="61" spans="1:6" x14ac:dyDescent="0.25">
      <c r="B61" s="215" t="s">
        <v>330</v>
      </c>
      <c r="C61" s="212" t="s">
        <v>15</v>
      </c>
      <c r="D61" s="213">
        <v>1</v>
      </c>
      <c r="E61" s="214">
        <f>1250*1.19</f>
        <v>1487.5</v>
      </c>
      <c r="F61" s="216">
        <f t="shared" ref="F61:F69" si="3">ROUND(E61*D61,0)</f>
        <v>1488</v>
      </c>
    </row>
    <row r="62" spans="1:6" x14ac:dyDescent="0.25">
      <c r="B62" s="215" t="s">
        <v>331</v>
      </c>
      <c r="C62" s="212" t="s">
        <v>15</v>
      </c>
      <c r="D62" s="217">
        <v>1.67</v>
      </c>
      <c r="E62" s="214">
        <v>6021</v>
      </c>
      <c r="F62" s="216">
        <f t="shared" si="3"/>
        <v>10055</v>
      </c>
    </row>
    <row r="63" spans="1:6" x14ac:dyDescent="0.25">
      <c r="B63" s="215" t="s">
        <v>332</v>
      </c>
      <c r="C63" s="212" t="s">
        <v>15</v>
      </c>
      <c r="D63" s="213">
        <v>2</v>
      </c>
      <c r="E63" s="214">
        <v>463</v>
      </c>
      <c r="F63" s="216">
        <f t="shared" si="3"/>
        <v>926</v>
      </c>
    </row>
    <row r="64" spans="1:6" x14ac:dyDescent="0.25">
      <c r="B64" s="215" t="s">
        <v>335</v>
      </c>
      <c r="C64" s="212" t="s">
        <v>15</v>
      </c>
      <c r="D64" s="213">
        <v>1</v>
      </c>
      <c r="E64" s="214">
        <f>12800*1.19</f>
        <v>15232</v>
      </c>
      <c r="F64" s="216">
        <f t="shared" si="3"/>
        <v>15232</v>
      </c>
    </row>
    <row r="65" spans="1:6" x14ac:dyDescent="0.25">
      <c r="B65" s="215" t="s">
        <v>325</v>
      </c>
      <c r="C65" s="212" t="s">
        <v>15</v>
      </c>
      <c r="D65" s="213">
        <v>3</v>
      </c>
      <c r="E65" s="214">
        <f>500*1.19</f>
        <v>595</v>
      </c>
      <c r="F65" s="216">
        <f t="shared" si="3"/>
        <v>1785</v>
      </c>
    </row>
    <row r="66" spans="1:6" x14ac:dyDescent="0.25">
      <c r="B66" s="211" t="s">
        <v>147</v>
      </c>
      <c r="C66" s="212"/>
      <c r="D66" s="218"/>
      <c r="E66" s="214"/>
      <c r="F66" s="216">
        <f t="shared" si="3"/>
        <v>0</v>
      </c>
    </row>
    <row r="67" spans="1:6" x14ac:dyDescent="0.25">
      <c r="B67" s="215" t="s">
        <v>107</v>
      </c>
      <c r="C67" s="212" t="s">
        <v>326</v>
      </c>
      <c r="D67" s="213">
        <v>0.25</v>
      </c>
      <c r="E67" s="214">
        <v>167525</v>
      </c>
      <c r="F67" s="216">
        <f t="shared" si="3"/>
        <v>41881</v>
      </c>
    </row>
    <row r="68" spans="1:6" x14ac:dyDescent="0.25">
      <c r="B68" s="211" t="s">
        <v>327</v>
      </c>
      <c r="C68" s="212"/>
      <c r="D68" s="213"/>
      <c r="E68" s="214"/>
      <c r="F68" s="216">
        <f t="shared" si="3"/>
        <v>0</v>
      </c>
    </row>
    <row r="69" spans="1:6" x14ac:dyDescent="0.25">
      <c r="B69" s="215" t="s">
        <v>328</v>
      </c>
      <c r="C69" s="212" t="s">
        <v>189</v>
      </c>
      <c r="D69" s="213">
        <v>0.05</v>
      </c>
      <c r="E69" s="214">
        <f>+F67</f>
        <v>41881</v>
      </c>
      <c r="F69" s="216">
        <f t="shared" si="3"/>
        <v>2094</v>
      </c>
    </row>
    <row r="70" spans="1:6" x14ac:dyDescent="0.25">
      <c r="B70" s="215" t="s">
        <v>329</v>
      </c>
      <c r="C70" s="212"/>
      <c r="D70" s="257"/>
      <c r="E70" s="214"/>
      <c r="F70" s="216">
        <f>ROUND(SUM(F59:F69),0)</f>
        <v>113616</v>
      </c>
    </row>
    <row r="73" spans="1:6" s="256" customFormat="1" ht="36" x14ac:dyDescent="0.25">
      <c r="A73" s="245">
        <v>12.05</v>
      </c>
      <c r="B73" s="246" t="s">
        <v>633</v>
      </c>
      <c r="C73" s="252" t="s">
        <v>313</v>
      </c>
      <c r="D73" s="253" t="s">
        <v>195</v>
      </c>
      <c r="E73" s="254"/>
      <c r="F73" s="255"/>
    </row>
    <row r="74" spans="1:6" x14ac:dyDescent="0.25">
      <c r="B74" s="211" t="s">
        <v>162</v>
      </c>
      <c r="C74" s="212" t="s">
        <v>314</v>
      </c>
      <c r="D74" s="213" t="s">
        <v>315</v>
      </c>
      <c r="E74" s="214" t="s">
        <v>316</v>
      </c>
      <c r="F74" s="214" t="s">
        <v>317</v>
      </c>
    </row>
    <row r="75" spans="1:6" x14ac:dyDescent="0.25">
      <c r="B75" s="215" t="s">
        <v>330</v>
      </c>
      <c r="C75" s="212" t="s">
        <v>15</v>
      </c>
      <c r="D75" s="213">
        <v>1</v>
      </c>
      <c r="E75" s="214">
        <f>1250*1.19</f>
        <v>1487.5</v>
      </c>
      <c r="F75" s="216">
        <f t="shared" ref="F75:F81" si="4">ROUND(E75*D75,0)</f>
        <v>1488</v>
      </c>
    </row>
    <row r="76" spans="1:6" x14ac:dyDescent="0.25">
      <c r="B76" s="215" t="s">
        <v>331</v>
      </c>
      <c r="C76" s="212" t="s">
        <v>15</v>
      </c>
      <c r="D76" s="217">
        <v>3</v>
      </c>
      <c r="E76" s="214">
        <v>6021</v>
      </c>
      <c r="F76" s="216">
        <f t="shared" si="4"/>
        <v>18063</v>
      </c>
    </row>
    <row r="77" spans="1:6" x14ac:dyDescent="0.25">
      <c r="B77" s="215" t="s">
        <v>332</v>
      </c>
      <c r="C77" s="212" t="s">
        <v>15</v>
      </c>
      <c r="D77" s="213">
        <v>2</v>
      </c>
      <c r="E77" s="214">
        <v>463</v>
      </c>
      <c r="F77" s="216">
        <f t="shared" si="4"/>
        <v>926</v>
      </c>
    </row>
    <row r="78" spans="1:6" x14ac:dyDescent="0.25">
      <c r="B78" s="211" t="s">
        <v>147</v>
      </c>
      <c r="C78" s="212"/>
      <c r="D78" s="218"/>
      <c r="E78" s="214"/>
      <c r="F78" s="216">
        <f t="shared" si="4"/>
        <v>0</v>
      </c>
    </row>
    <row r="79" spans="1:6" x14ac:dyDescent="0.25">
      <c r="B79" s="215" t="s">
        <v>107</v>
      </c>
      <c r="C79" s="212" t="s">
        <v>326</v>
      </c>
      <c r="D79" s="213">
        <v>0.12</v>
      </c>
      <c r="E79" s="214">
        <v>167525</v>
      </c>
      <c r="F79" s="216">
        <f t="shared" si="4"/>
        <v>20103</v>
      </c>
    </row>
    <row r="80" spans="1:6" x14ac:dyDescent="0.25">
      <c r="B80" s="211" t="s">
        <v>327</v>
      </c>
      <c r="C80" s="212"/>
      <c r="D80" s="213"/>
      <c r="E80" s="214"/>
      <c r="F80" s="216">
        <f t="shared" si="4"/>
        <v>0</v>
      </c>
    </row>
    <row r="81" spans="1:6" x14ac:dyDescent="0.25">
      <c r="B81" s="215" t="s">
        <v>328</v>
      </c>
      <c r="C81" s="212" t="s">
        <v>189</v>
      </c>
      <c r="D81" s="213">
        <v>0.05</v>
      </c>
      <c r="E81" s="214">
        <f>+F79</f>
        <v>20103</v>
      </c>
      <c r="F81" s="216">
        <f t="shared" si="4"/>
        <v>1005</v>
      </c>
    </row>
    <row r="82" spans="1:6" x14ac:dyDescent="0.25">
      <c r="B82" s="215" t="s">
        <v>329</v>
      </c>
      <c r="C82" s="212"/>
      <c r="D82" s="257"/>
      <c r="E82" s="214"/>
      <c r="F82" s="216">
        <f>ROUND(SUM(F74:F81),0)</f>
        <v>41585</v>
      </c>
    </row>
    <row r="85" spans="1:6" s="256" customFormat="1" ht="60" x14ac:dyDescent="0.25">
      <c r="A85" s="245">
        <v>12.06</v>
      </c>
      <c r="B85" s="246" t="s">
        <v>635</v>
      </c>
      <c r="C85" s="252" t="s">
        <v>313</v>
      </c>
      <c r="D85" s="253" t="s">
        <v>195</v>
      </c>
      <c r="E85" s="254"/>
      <c r="F85" s="255"/>
    </row>
    <row r="86" spans="1:6" x14ac:dyDescent="0.25">
      <c r="B86" s="211" t="s">
        <v>162</v>
      </c>
      <c r="C86" s="212" t="s">
        <v>314</v>
      </c>
      <c r="D86" s="213" t="s">
        <v>315</v>
      </c>
      <c r="E86" s="214" t="s">
        <v>316</v>
      </c>
      <c r="F86" s="214" t="s">
        <v>317</v>
      </c>
    </row>
    <row r="87" spans="1:6" ht="34.200000000000003" x14ac:dyDescent="0.25">
      <c r="B87" s="215" t="s">
        <v>318</v>
      </c>
      <c r="C87" s="212" t="s">
        <v>8</v>
      </c>
      <c r="D87" s="213">
        <v>12</v>
      </c>
      <c r="E87" s="214">
        <v>2677</v>
      </c>
      <c r="F87" s="216">
        <f>ROUND(E87*D87,0)</f>
        <v>32124</v>
      </c>
    </row>
    <row r="88" spans="1:6" x14ac:dyDescent="0.25">
      <c r="B88" s="215" t="s">
        <v>321</v>
      </c>
      <c r="C88" s="212" t="s">
        <v>15</v>
      </c>
      <c r="D88" s="213">
        <v>1</v>
      </c>
      <c r="E88" s="214">
        <f>3250*1.19</f>
        <v>3867.5</v>
      </c>
      <c r="F88" s="216">
        <f t="shared" ref="F88:F96" si="5">ROUND(E88*D88,0)</f>
        <v>3868</v>
      </c>
    </row>
    <row r="89" spans="1:6" x14ac:dyDescent="0.25">
      <c r="B89" s="215" t="s">
        <v>322</v>
      </c>
      <c r="C89" s="212" t="s">
        <v>15</v>
      </c>
      <c r="D89" s="217">
        <v>1.33</v>
      </c>
      <c r="E89" s="214">
        <v>16000</v>
      </c>
      <c r="F89" s="216">
        <f t="shared" si="5"/>
        <v>21280</v>
      </c>
    </row>
    <row r="90" spans="1:6" x14ac:dyDescent="0.25">
      <c r="B90" s="215" t="s">
        <v>323</v>
      </c>
      <c r="C90" s="212" t="s">
        <v>15</v>
      </c>
      <c r="D90" s="213">
        <v>2</v>
      </c>
      <c r="E90" s="214">
        <f>700*1.19</f>
        <v>833</v>
      </c>
      <c r="F90" s="216">
        <f t="shared" si="5"/>
        <v>1666</v>
      </c>
    </row>
    <row r="91" spans="1:6" x14ac:dyDescent="0.25">
      <c r="B91" s="215" t="s">
        <v>336</v>
      </c>
      <c r="C91" s="212" t="s">
        <v>15</v>
      </c>
      <c r="D91" s="213">
        <v>1</v>
      </c>
      <c r="E91" s="214">
        <f>12800*1.19</f>
        <v>15232</v>
      </c>
      <c r="F91" s="216">
        <f t="shared" si="5"/>
        <v>15232</v>
      </c>
    </row>
    <row r="92" spans="1:6" x14ac:dyDescent="0.25">
      <c r="B92" s="215" t="s">
        <v>325</v>
      </c>
      <c r="C92" s="212" t="s">
        <v>15</v>
      </c>
      <c r="D92" s="213">
        <v>3</v>
      </c>
      <c r="E92" s="214">
        <f>500*1.19</f>
        <v>595</v>
      </c>
      <c r="F92" s="216">
        <f t="shared" si="5"/>
        <v>1785</v>
      </c>
    </row>
    <row r="93" spans="1:6" x14ac:dyDescent="0.25">
      <c r="B93" s="211" t="s">
        <v>147</v>
      </c>
      <c r="C93" s="212"/>
      <c r="D93" s="218"/>
      <c r="E93" s="214"/>
      <c r="F93" s="216">
        <f t="shared" si="5"/>
        <v>0</v>
      </c>
    </row>
    <row r="94" spans="1:6" x14ac:dyDescent="0.25">
      <c r="B94" s="215" t="s">
        <v>107</v>
      </c>
      <c r="C94" s="212" t="s">
        <v>326</v>
      </c>
      <c r="D94" s="213">
        <v>0.25</v>
      </c>
      <c r="E94" s="214">
        <v>167525</v>
      </c>
      <c r="F94" s="216">
        <f t="shared" si="5"/>
        <v>41881</v>
      </c>
    </row>
    <row r="95" spans="1:6" x14ac:dyDescent="0.25">
      <c r="B95" s="211" t="s">
        <v>327</v>
      </c>
      <c r="C95" s="212"/>
      <c r="D95" s="213"/>
      <c r="E95" s="214"/>
      <c r="F95" s="216">
        <f t="shared" si="5"/>
        <v>0</v>
      </c>
    </row>
    <row r="96" spans="1:6" x14ac:dyDescent="0.25">
      <c r="B96" s="215" t="s">
        <v>328</v>
      </c>
      <c r="C96" s="212" t="s">
        <v>189</v>
      </c>
      <c r="D96" s="213">
        <v>0.05</v>
      </c>
      <c r="E96" s="214">
        <f>+F94</f>
        <v>41881</v>
      </c>
      <c r="F96" s="216">
        <f t="shared" si="5"/>
        <v>2094</v>
      </c>
    </row>
    <row r="97" spans="1:6" x14ac:dyDescent="0.25">
      <c r="B97" s="215" t="s">
        <v>329</v>
      </c>
      <c r="C97" s="212"/>
      <c r="D97" s="257"/>
      <c r="E97" s="214"/>
      <c r="F97" s="216">
        <f>ROUND(SUM(F86:F96),0)</f>
        <v>119930</v>
      </c>
    </row>
    <row r="100" spans="1:6" s="256" customFormat="1" ht="60" x14ac:dyDescent="0.25">
      <c r="A100" s="245">
        <v>12.07</v>
      </c>
      <c r="B100" s="246" t="s">
        <v>741</v>
      </c>
      <c r="C100" s="252" t="s">
        <v>313</v>
      </c>
      <c r="D100" s="253" t="s">
        <v>195</v>
      </c>
      <c r="E100" s="254"/>
      <c r="F100" s="255"/>
    </row>
    <row r="101" spans="1:6" x14ac:dyDescent="0.25">
      <c r="B101" s="211" t="s">
        <v>162</v>
      </c>
      <c r="C101" s="212" t="s">
        <v>314</v>
      </c>
      <c r="D101" s="213" t="s">
        <v>315</v>
      </c>
      <c r="E101" s="214" t="s">
        <v>316</v>
      </c>
      <c r="F101" s="214" t="s">
        <v>317</v>
      </c>
    </row>
    <row r="102" spans="1:6" ht="34.200000000000003" x14ac:dyDescent="0.25">
      <c r="B102" s="215" t="s">
        <v>318</v>
      </c>
      <c r="C102" s="212" t="s">
        <v>8</v>
      </c>
      <c r="D102" s="213">
        <v>16</v>
      </c>
      <c r="E102" s="214">
        <v>2677</v>
      </c>
      <c r="F102" s="216">
        <f>ROUND(E102*D102,0)</f>
        <v>42832</v>
      </c>
    </row>
    <row r="103" spans="1:6" x14ac:dyDescent="0.25">
      <c r="B103" s="215" t="s">
        <v>321</v>
      </c>
      <c r="C103" s="212" t="s">
        <v>15</v>
      </c>
      <c r="D103" s="213">
        <v>1</v>
      </c>
      <c r="E103" s="214">
        <f>3250*1.19</f>
        <v>3867.5</v>
      </c>
      <c r="F103" s="216">
        <f t="shared" ref="F103:F111" si="6">ROUND(E103*D103,0)</f>
        <v>3868</v>
      </c>
    </row>
    <row r="104" spans="1:6" x14ac:dyDescent="0.25">
      <c r="B104" s="215" t="s">
        <v>322</v>
      </c>
      <c r="C104" s="212" t="s">
        <v>15</v>
      </c>
      <c r="D104" s="217">
        <v>1.33</v>
      </c>
      <c r="E104" s="214">
        <v>16000</v>
      </c>
      <c r="F104" s="216">
        <f t="shared" si="6"/>
        <v>21280</v>
      </c>
    </row>
    <row r="105" spans="1:6" x14ac:dyDescent="0.25">
      <c r="B105" s="215" t="s">
        <v>323</v>
      </c>
      <c r="C105" s="212" t="s">
        <v>15</v>
      </c>
      <c r="D105" s="213">
        <v>2</v>
      </c>
      <c r="E105" s="214">
        <f>700*1.19</f>
        <v>833</v>
      </c>
      <c r="F105" s="216">
        <f t="shared" si="6"/>
        <v>1666</v>
      </c>
    </row>
    <row r="106" spans="1:6" x14ac:dyDescent="0.25">
      <c r="B106" s="215" t="s">
        <v>336</v>
      </c>
      <c r="C106" s="212" t="s">
        <v>15</v>
      </c>
      <c r="D106" s="213">
        <v>1</v>
      </c>
      <c r="E106" s="214">
        <f>12800*1.19</f>
        <v>15232</v>
      </c>
      <c r="F106" s="216">
        <f t="shared" si="6"/>
        <v>15232</v>
      </c>
    </row>
    <row r="107" spans="1:6" x14ac:dyDescent="0.25">
      <c r="B107" s="215" t="s">
        <v>325</v>
      </c>
      <c r="C107" s="212" t="s">
        <v>15</v>
      </c>
      <c r="D107" s="213">
        <v>3</v>
      </c>
      <c r="E107" s="214">
        <f>500*1.19</f>
        <v>595</v>
      </c>
      <c r="F107" s="216">
        <f t="shared" si="6"/>
        <v>1785</v>
      </c>
    </row>
    <row r="108" spans="1:6" x14ac:dyDescent="0.25">
      <c r="B108" s="211" t="s">
        <v>147</v>
      </c>
      <c r="C108" s="212"/>
      <c r="D108" s="218"/>
      <c r="E108" s="214"/>
      <c r="F108" s="216">
        <f t="shared" si="6"/>
        <v>0</v>
      </c>
    </row>
    <row r="109" spans="1:6" x14ac:dyDescent="0.25">
      <c r="B109" s="215" t="s">
        <v>107</v>
      </c>
      <c r="C109" s="212" t="s">
        <v>326</v>
      </c>
      <c r="D109" s="213">
        <v>0.25</v>
      </c>
      <c r="E109" s="214">
        <v>167525</v>
      </c>
      <c r="F109" s="216">
        <f t="shared" si="6"/>
        <v>41881</v>
      </c>
    </row>
    <row r="110" spans="1:6" x14ac:dyDescent="0.25">
      <c r="B110" s="211" t="s">
        <v>327</v>
      </c>
      <c r="C110" s="212"/>
      <c r="D110" s="213"/>
      <c r="E110" s="214"/>
      <c r="F110" s="216">
        <f t="shared" si="6"/>
        <v>0</v>
      </c>
    </row>
    <row r="111" spans="1:6" x14ac:dyDescent="0.25">
      <c r="B111" s="215" t="s">
        <v>328</v>
      </c>
      <c r="C111" s="212" t="s">
        <v>189</v>
      </c>
      <c r="D111" s="213">
        <v>0.05</v>
      </c>
      <c r="E111" s="214">
        <f>+F109</f>
        <v>41881</v>
      </c>
      <c r="F111" s="216">
        <f t="shared" si="6"/>
        <v>2094</v>
      </c>
    </row>
    <row r="112" spans="1:6" x14ac:dyDescent="0.25">
      <c r="B112" s="215" t="s">
        <v>329</v>
      </c>
      <c r="C112" s="212"/>
      <c r="D112" s="257"/>
      <c r="E112" s="214"/>
      <c r="F112" s="216">
        <f>ROUND(SUM(F101:F111),0)</f>
        <v>130638</v>
      </c>
    </row>
    <row r="115" spans="1:6" s="256" customFormat="1" ht="60" x14ac:dyDescent="0.25">
      <c r="A115" s="245">
        <v>12.08</v>
      </c>
      <c r="B115" s="246" t="s">
        <v>742</v>
      </c>
      <c r="C115" s="252" t="s">
        <v>313</v>
      </c>
      <c r="D115" s="253" t="s">
        <v>195</v>
      </c>
      <c r="E115" s="254"/>
      <c r="F115" s="255"/>
    </row>
    <row r="116" spans="1:6" x14ac:dyDescent="0.25">
      <c r="B116" s="211" t="s">
        <v>162</v>
      </c>
      <c r="C116" s="212" t="s">
        <v>314</v>
      </c>
      <c r="D116" s="213" t="s">
        <v>315</v>
      </c>
      <c r="E116" s="214" t="s">
        <v>316</v>
      </c>
      <c r="F116" s="214" t="s">
        <v>317</v>
      </c>
    </row>
    <row r="117" spans="1:6" ht="34.200000000000003" x14ac:dyDescent="0.25">
      <c r="B117" s="215" t="s">
        <v>318</v>
      </c>
      <c r="C117" s="212" t="s">
        <v>8</v>
      </c>
      <c r="D117" s="213">
        <v>24</v>
      </c>
      <c r="E117" s="214">
        <v>2677</v>
      </c>
      <c r="F117" s="216">
        <f>ROUND(E117*D117,0)</f>
        <v>64248</v>
      </c>
    </row>
    <row r="118" spans="1:6" x14ac:dyDescent="0.25">
      <c r="B118" s="215" t="s">
        <v>321</v>
      </c>
      <c r="C118" s="212" t="s">
        <v>15</v>
      </c>
      <c r="D118" s="213">
        <v>1</v>
      </c>
      <c r="E118" s="214">
        <f>3250*1.19</f>
        <v>3867.5</v>
      </c>
      <c r="F118" s="216">
        <f t="shared" ref="F118:F126" si="7">ROUND(E118*D118,0)</f>
        <v>3868</v>
      </c>
    </row>
    <row r="119" spans="1:6" x14ac:dyDescent="0.25">
      <c r="B119" s="215" t="s">
        <v>322</v>
      </c>
      <c r="C119" s="212" t="s">
        <v>15</v>
      </c>
      <c r="D119" s="217">
        <v>1.33</v>
      </c>
      <c r="E119" s="214">
        <v>16000</v>
      </c>
      <c r="F119" s="216">
        <f t="shared" si="7"/>
        <v>21280</v>
      </c>
    </row>
    <row r="120" spans="1:6" x14ac:dyDescent="0.25">
      <c r="B120" s="215" t="s">
        <v>323</v>
      </c>
      <c r="C120" s="212" t="s">
        <v>15</v>
      </c>
      <c r="D120" s="213">
        <v>2</v>
      </c>
      <c r="E120" s="214">
        <f>700*1.19</f>
        <v>833</v>
      </c>
      <c r="F120" s="216">
        <f t="shared" si="7"/>
        <v>1666</v>
      </c>
    </row>
    <row r="121" spans="1:6" x14ac:dyDescent="0.25">
      <c r="B121" s="215" t="s">
        <v>336</v>
      </c>
      <c r="C121" s="212" t="s">
        <v>15</v>
      </c>
      <c r="D121" s="213">
        <v>1</v>
      </c>
      <c r="E121" s="214">
        <f>12800*1.19</f>
        <v>15232</v>
      </c>
      <c r="F121" s="216">
        <f t="shared" si="7"/>
        <v>15232</v>
      </c>
    </row>
    <row r="122" spans="1:6" x14ac:dyDescent="0.25">
      <c r="B122" s="215" t="s">
        <v>325</v>
      </c>
      <c r="C122" s="212" t="s">
        <v>15</v>
      </c>
      <c r="D122" s="213">
        <v>3</v>
      </c>
      <c r="E122" s="214">
        <f>500*1.19</f>
        <v>595</v>
      </c>
      <c r="F122" s="216">
        <f t="shared" si="7"/>
        <v>1785</v>
      </c>
    </row>
    <row r="123" spans="1:6" x14ac:dyDescent="0.25">
      <c r="B123" s="211" t="s">
        <v>147</v>
      </c>
      <c r="C123" s="212"/>
      <c r="D123" s="218"/>
      <c r="E123" s="214"/>
      <c r="F123" s="216">
        <f t="shared" si="7"/>
        <v>0</v>
      </c>
    </row>
    <row r="124" spans="1:6" x14ac:dyDescent="0.25">
      <c r="B124" s="215" t="s">
        <v>107</v>
      </c>
      <c r="C124" s="212" t="s">
        <v>326</v>
      </c>
      <c r="D124" s="213">
        <v>0.25</v>
      </c>
      <c r="E124" s="214">
        <v>167525</v>
      </c>
      <c r="F124" s="216">
        <f t="shared" si="7"/>
        <v>41881</v>
      </c>
    </row>
    <row r="125" spans="1:6" x14ac:dyDescent="0.25">
      <c r="B125" s="211" t="s">
        <v>327</v>
      </c>
      <c r="C125" s="212"/>
      <c r="D125" s="213"/>
      <c r="E125" s="214"/>
      <c r="F125" s="216">
        <f t="shared" si="7"/>
        <v>0</v>
      </c>
    </row>
    <row r="126" spans="1:6" x14ac:dyDescent="0.25">
      <c r="B126" s="215" t="s">
        <v>328</v>
      </c>
      <c r="C126" s="212" t="s">
        <v>189</v>
      </c>
      <c r="D126" s="213">
        <v>0.05</v>
      </c>
      <c r="E126" s="214">
        <f>+F124</f>
        <v>41881</v>
      </c>
      <c r="F126" s="216">
        <f t="shared" si="7"/>
        <v>2094</v>
      </c>
    </row>
    <row r="127" spans="1:6" x14ac:dyDescent="0.25">
      <c r="B127" s="215" t="s">
        <v>329</v>
      </c>
      <c r="C127" s="212"/>
      <c r="D127" s="257"/>
      <c r="E127" s="214"/>
      <c r="F127" s="216">
        <f>ROUND(SUM(F116:F126),0)</f>
        <v>152054</v>
      </c>
    </row>
    <row r="130" spans="1:6" s="256" customFormat="1" ht="36" x14ac:dyDescent="0.25">
      <c r="A130" s="245">
        <v>12.09</v>
      </c>
      <c r="B130" s="246" t="s">
        <v>642</v>
      </c>
      <c r="C130" s="252" t="s">
        <v>313</v>
      </c>
      <c r="D130" s="253" t="s">
        <v>195</v>
      </c>
      <c r="E130" s="254"/>
      <c r="F130" s="255"/>
    </row>
    <row r="131" spans="1:6" x14ac:dyDescent="0.25">
      <c r="B131" s="211" t="s">
        <v>162</v>
      </c>
      <c r="C131" s="212" t="s">
        <v>314</v>
      </c>
      <c r="D131" s="213" t="s">
        <v>315</v>
      </c>
      <c r="E131" s="214" t="s">
        <v>316</v>
      </c>
      <c r="F131" s="214" t="s">
        <v>317</v>
      </c>
    </row>
    <row r="132" spans="1:6" x14ac:dyDescent="0.25">
      <c r="B132" s="215" t="s">
        <v>743</v>
      </c>
      <c r="C132" s="212" t="s">
        <v>8</v>
      </c>
      <c r="D132" s="213">
        <v>1.5</v>
      </c>
      <c r="E132" s="214">
        <f>4500*1.2</f>
        <v>5400</v>
      </c>
      <c r="F132" s="216">
        <f>ROUND(E132*D132,0)</f>
        <v>8100</v>
      </c>
    </row>
    <row r="133" spans="1:6" x14ac:dyDescent="0.25">
      <c r="B133" s="215" t="s">
        <v>744</v>
      </c>
      <c r="C133" s="212" t="s">
        <v>15</v>
      </c>
      <c r="D133" s="213">
        <v>1</v>
      </c>
      <c r="E133" s="214">
        <f>120000*1.2</f>
        <v>144000</v>
      </c>
      <c r="F133" s="216">
        <f>ROUND(E133*D133,0)</f>
        <v>144000</v>
      </c>
    </row>
    <row r="134" spans="1:6" x14ac:dyDescent="0.25">
      <c r="B134" s="211" t="s">
        <v>147</v>
      </c>
      <c r="C134" s="212"/>
      <c r="D134" s="218"/>
      <c r="E134" s="214"/>
      <c r="F134" s="216">
        <f t="shared" ref="F134:F136" si="8">ROUND(E134*D134,0)</f>
        <v>0</v>
      </c>
    </row>
    <row r="135" spans="1:6" x14ac:dyDescent="0.25">
      <c r="B135" s="215" t="s">
        <v>107</v>
      </c>
      <c r="C135" s="212" t="s">
        <v>326</v>
      </c>
      <c r="D135" s="213">
        <v>0.1</v>
      </c>
      <c r="E135" s="214">
        <v>167525</v>
      </c>
      <c r="F135" s="216">
        <f t="shared" si="8"/>
        <v>16753</v>
      </c>
    </row>
    <row r="136" spans="1:6" x14ac:dyDescent="0.25">
      <c r="B136" s="211" t="s">
        <v>327</v>
      </c>
      <c r="C136" s="212"/>
      <c r="D136" s="213"/>
      <c r="E136" s="214"/>
      <c r="F136" s="216">
        <f t="shared" si="8"/>
        <v>0</v>
      </c>
    </row>
    <row r="137" spans="1:6" x14ac:dyDescent="0.25">
      <c r="B137" s="215" t="s">
        <v>328</v>
      </c>
      <c r="C137" s="212" t="s">
        <v>189</v>
      </c>
      <c r="D137" s="213">
        <v>0.05</v>
      </c>
      <c r="E137" s="214">
        <f>+F135</f>
        <v>16753</v>
      </c>
      <c r="F137" s="216">
        <f>ROUND(E137*D137,0)</f>
        <v>838</v>
      </c>
    </row>
    <row r="138" spans="1:6" x14ac:dyDescent="0.25">
      <c r="B138" s="215" t="s">
        <v>329</v>
      </c>
      <c r="C138" s="212"/>
      <c r="D138" s="257"/>
      <c r="E138" s="214"/>
      <c r="F138" s="216">
        <f>ROUND(SUM(F131:F137),0)</f>
        <v>169691</v>
      </c>
    </row>
    <row r="141" spans="1:6" s="256" customFormat="1" ht="24" x14ac:dyDescent="0.25">
      <c r="A141" s="247">
        <v>12.1</v>
      </c>
      <c r="B141" s="246" t="s">
        <v>644</v>
      </c>
      <c r="C141" s="252" t="s">
        <v>313</v>
      </c>
      <c r="D141" s="253" t="s">
        <v>195</v>
      </c>
      <c r="E141" s="254"/>
      <c r="F141" s="255"/>
    </row>
    <row r="142" spans="1:6" x14ac:dyDescent="0.25">
      <c r="B142" s="211" t="s">
        <v>162</v>
      </c>
      <c r="C142" s="212" t="s">
        <v>314</v>
      </c>
      <c r="D142" s="213" t="s">
        <v>315</v>
      </c>
      <c r="E142" s="214" t="s">
        <v>316</v>
      </c>
      <c r="F142" s="214" t="s">
        <v>317</v>
      </c>
    </row>
    <row r="143" spans="1:6" x14ac:dyDescent="0.25">
      <c r="B143" s="215" t="s">
        <v>743</v>
      </c>
      <c r="C143" s="212" t="s">
        <v>8</v>
      </c>
      <c r="D143" s="213">
        <v>1.5</v>
      </c>
      <c r="E143" s="214">
        <f>4500*1.2</f>
        <v>5400</v>
      </c>
      <c r="F143" s="216">
        <f>ROUND(E143*D143,0)</f>
        <v>8100</v>
      </c>
    </row>
    <row r="144" spans="1:6" x14ac:dyDescent="0.25">
      <c r="B144" s="215" t="s">
        <v>745</v>
      </c>
      <c r="C144" s="212" t="s">
        <v>15</v>
      </c>
      <c r="D144" s="213">
        <v>1</v>
      </c>
      <c r="E144" s="214">
        <f>33000*1.2-291-105</f>
        <v>39204</v>
      </c>
      <c r="F144" s="216">
        <f>ROUND(E144*D144,0)</f>
        <v>39204</v>
      </c>
    </row>
    <row r="145" spans="1:6" x14ac:dyDescent="0.25">
      <c r="B145" s="211" t="s">
        <v>147</v>
      </c>
      <c r="C145" s="212"/>
      <c r="D145" s="218"/>
      <c r="E145" s="214"/>
      <c r="F145" s="216">
        <f t="shared" ref="F145:F147" si="9">ROUND(E145*D145,0)</f>
        <v>0</v>
      </c>
    </row>
    <row r="146" spans="1:6" x14ac:dyDescent="0.25">
      <c r="B146" s="215" t="s">
        <v>107</v>
      </c>
      <c r="C146" s="212" t="s">
        <v>326</v>
      </c>
      <c r="D146" s="213">
        <v>0.1</v>
      </c>
      <c r="E146" s="214">
        <v>167525</v>
      </c>
      <c r="F146" s="216">
        <f t="shared" si="9"/>
        <v>16753</v>
      </c>
    </row>
    <row r="147" spans="1:6" x14ac:dyDescent="0.25">
      <c r="B147" s="211" t="s">
        <v>327</v>
      </c>
      <c r="C147" s="212"/>
      <c r="D147" s="213"/>
      <c r="E147" s="214"/>
      <c r="F147" s="216">
        <f t="shared" si="9"/>
        <v>0</v>
      </c>
    </row>
    <row r="148" spans="1:6" x14ac:dyDescent="0.25">
      <c r="B148" s="215" t="s">
        <v>328</v>
      </c>
      <c r="C148" s="212" t="s">
        <v>189</v>
      </c>
      <c r="D148" s="213">
        <v>0.05</v>
      </c>
      <c r="E148" s="214">
        <f>+F146</f>
        <v>16753</v>
      </c>
      <c r="F148" s="216">
        <f>ROUND(E148*D148,0)</f>
        <v>838</v>
      </c>
    </row>
    <row r="149" spans="1:6" x14ac:dyDescent="0.25">
      <c r="B149" s="215" t="s">
        <v>329</v>
      </c>
      <c r="C149" s="212"/>
      <c r="D149" s="257"/>
      <c r="E149" s="214"/>
      <c r="F149" s="216">
        <f>ROUND(SUM(F142:F148),0)</f>
        <v>64895</v>
      </c>
    </row>
    <row r="152" spans="1:6" s="256" customFormat="1" ht="24" x14ac:dyDescent="0.25">
      <c r="A152" s="247">
        <v>12.11</v>
      </c>
      <c r="B152" s="246" t="s">
        <v>646</v>
      </c>
      <c r="C152" s="252" t="s">
        <v>313</v>
      </c>
      <c r="D152" s="253" t="s">
        <v>195</v>
      </c>
      <c r="E152" s="254"/>
      <c r="F152" s="255"/>
    </row>
    <row r="153" spans="1:6" x14ac:dyDescent="0.25">
      <c r="B153" s="211" t="s">
        <v>162</v>
      </c>
      <c r="C153" s="212" t="s">
        <v>314</v>
      </c>
      <c r="D153" s="213" t="s">
        <v>315</v>
      </c>
      <c r="E153" s="214" t="s">
        <v>316</v>
      </c>
      <c r="F153" s="214" t="s">
        <v>317</v>
      </c>
    </row>
    <row r="154" spans="1:6" x14ac:dyDescent="0.25">
      <c r="B154" s="215" t="s">
        <v>743</v>
      </c>
      <c r="C154" s="212" t="s">
        <v>8</v>
      </c>
      <c r="D154" s="213">
        <v>3</v>
      </c>
      <c r="E154" s="214">
        <f>4500*1.2</f>
        <v>5400</v>
      </c>
      <c r="F154" s="216">
        <f>ROUND(E154*D154,0)</f>
        <v>16200</v>
      </c>
    </row>
    <row r="155" spans="1:6" x14ac:dyDescent="0.25">
      <c r="B155" s="215" t="s">
        <v>746</v>
      </c>
      <c r="C155" s="212" t="s">
        <v>15</v>
      </c>
      <c r="D155" s="213">
        <v>1</v>
      </c>
      <c r="E155" s="214">
        <f>18000*1.2-391</f>
        <v>21209</v>
      </c>
      <c r="F155" s="216">
        <f>ROUND(E155*D155,0)</f>
        <v>21209</v>
      </c>
    </row>
    <row r="156" spans="1:6" x14ac:dyDescent="0.25">
      <c r="B156" s="211" t="s">
        <v>147</v>
      </c>
      <c r="C156" s="212"/>
      <c r="D156" s="218"/>
      <c r="E156" s="214"/>
      <c r="F156" s="216">
        <f t="shared" ref="F156:F158" si="10">ROUND(E156*D156,0)</f>
        <v>0</v>
      </c>
    </row>
    <row r="157" spans="1:6" x14ac:dyDescent="0.25">
      <c r="B157" s="215" t="s">
        <v>107</v>
      </c>
      <c r="C157" s="212" t="s">
        <v>326</v>
      </c>
      <c r="D157" s="213">
        <v>0.1</v>
      </c>
      <c r="E157" s="214">
        <v>167525</v>
      </c>
      <c r="F157" s="216">
        <f t="shared" si="10"/>
        <v>16753</v>
      </c>
    </row>
    <row r="158" spans="1:6" x14ac:dyDescent="0.25">
      <c r="B158" s="211" t="s">
        <v>327</v>
      </c>
      <c r="C158" s="212"/>
      <c r="D158" s="213"/>
      <c r="E158" s="214"/>
      <c r="F158" s="216">
        <f t="shared" si="10"/>
        <v>0</v>
      </c>
    </row>
    <row r="159" spans="1:6" x14ac:dyDescent="0.25">
      <c r="B159" s="215" t="s">
        <v>328</v>
      </c>
      <c r="C159" s="212" t="s">
        <v>189</v>
      </c>
      <c r="D159" s="213">
        <v>0.05</v>
      </c>
      <c r="E159" s="214">
        <f>+F157</f>
        <v>16753</v>
      </c>
      <c r="F159" s="216">
        <f>ROUND(E159*D159,0)</f>
        <v>838</v>
      </c>
    </row>
    <row r="160" spans="1:6" x14ac:dyDescent="0.25">
      <c r="B160" s="215" t="s">
        <v>329</v>
      </c>
      <c r="C160" s="212"/>
      <c r="D160" s="257"/>
      <c r="E160" s="214"/>
      <c r="F160" s="216">
        <f>ROUND(SUM(F153:F159),0)</f>
        <v>55000</v>
      </c>
    </row>
    <row r="163" spans="1:6" ht="24" x14ac:dyDescent="0.25">
      <c r="A163" s="247">
        <v>12.12</v>
      </c>
      <c r="B163" s="246" t="s">
        <v>648</v>
      </c>
      <c r="C163" s="252" t="s">
        <v>313</v>
      </c>
      <c r="D163" s="253" t="s">
        <v>195</v>
      </c>
      <c r="E163" s="254"/>
      <c r="F163" s="255"/>
    </row>
    <row r="164" spans="1:6" s="256" customFormat="1" x14ac:dyDescent="0.25">
      <c r="A164" s="220"/>
      <c r="B164" s="211" t="s">
        <v>162</v>
      </c>
      <c r="C164" s="212" t="s">
        <v>314</v>
      </c>
      <c r="D164" s="213" t="s">
        <v>315</v>
      </c>
      <c r="E164" s="214" t="s">
        <v>316</v>
      </c>
      <c r="F164" s="214" t="s">
        <v>317</v>
      </c>
    </row>
    <row r="165" spans="1:6" s="256" customFormat="1" x14ac:dyDescent="0.25">
      <c r="A165" s="220"/>
      <c r="B165" s="215" t="s">
        <v>743</v>
      </c>
      <c r="C165" s="212" t="s">
        <v>8</v>
      </c>
      <c r="D165" s="213">
        <v>3</v>
      </c>
      <c r="E165" s="214">
        <f>4500*1.2</f>
        <v>5400</v>
      </c>
      <c r="F165" s="216">
        <f>ROUND(E165*D165,0)</f>
        <v>16200</v>
      </c>
    </row>
    <row r="166" spans="1:6" x14ac:dyDescent="0.25">
      <c r="B166" s="215" t="s">
        <v>746</v>
      </c>
      <c r="C166" s="212" t="s">
        <v>15</v>
      </c>
      <c r="D166" s="213">
        <v>1</v>
      </c>
      <c r="E166" s="214">
        <f>368000*1.2</f>
        <v>441600</v>
      </c>
      <c r="F166" s="216">
        <f>ROUND(E166*D166,0)</f>
        <v>441600</v>
      </c>
    </row>
    <row r="167" spans="1:6" x14ac:dyDescent="0.25">
      <c r="B167" s="211" t="s">
        <v>147</v>
      </c>
      <c r="C167" s="212"/>
      <c r="D167" s="218"/>
      <c r="E167" s="214"/>
      <c r="F167" s="216">
        <f t="shared" ref="F167:F169" si="11">ROUND(E167*D167,0)</f>
        <v>0</v>
      </c>
    </row>
    <row r="168" spans="1:6" x14ac:dyDescent="0.25">
      <c r="B168" s="215" t="s">
        <v>107</v>
      </c>
      <c r="C168" s="212" t="s">
        <v>326</v>
      </c>
      <c r="D168" s="213">
        <v>0.2</v>
      </c>
      <c r="E168" s="214">
        <v>167525</v>
      </c>
      <c r="F168" s="216">
        <f t="shared" si="11"/>
        <v>33505</v>
      </c>
    </row>
    <row r="169" spans="1:6" x14ac:dyDescent="0.25">
      <c r="B169" s="211" t="s">
        <v>327</v>
      </c>
      <c r="C169" s="212"/>
      <c r="D169" s="213"/>
      <c r="E169" s="214"/>
      <c r="F169" s="216">
        <f t="shared" si="11"/>
        <v>0</v>
      </c>
    </row>
    <row r="170" spans="1:6" x14ac:dyDescent="0.25">
      <c r="B170" s="215" t="s">
        <v>328</v>
      </c>
      <c r="C170" s="212" t="s">
        <v>189</v>
      </c>
      <c r="D170" s="213">
        <v>0.05</v>
      </c>
      <c r="E170" s="214">
        <f>+F168</f>
        <v>33505</v>
      </c>
      <c r="F170" s="216">
        <f>ROUND(E170*D170,0)</f>
        <v>1675</v>
      </c>
    </row>
    <row r="171" spans="1:6" x14ac:dyDescent="0.25">
      <c r="B171" s="215" t="s">
        <v>329</v>
      </c>
      <c r="C171" s="212"/>
      <c r="D171" s="257"/>
      <c r="E171" s="214"/>
      <c r="F171" s="216">
        <f>ROUND(SUM(F164:F170),0)</f>
        <v>492980</v>
      </c>
    </row>
    <row r="174" spans="1:6" ht="24" x14ac:dyDescent="0.25">
      <c r="A174" s="245">
        <v>12.13</v>
      </c>
      <c r="B174" s="246" t="s">
        <v>650</v>
      </c>
      <c r="C174" s="252" t="s">
        <v>313</v>
      </c>
      <c r="D174" s="253" t="s">
        <v>195</v>
      </c>
      <c r="E174" s="254"/>
      <c r="F174" s="255"/>
    </row>
    <row r="175" spans="1:6" x14ac:dyDescent="0.25">
      <c r="B175" s="211" t="s">
        <v>162</v>
      </c>
      <c r="C175" s="212" t="s">
        <v>314</v>
      </c>
      <c r="D175" s="213" t="s">
        <v>315</v>
      </c>
      <c r="E175" s="214" t="s">
        <v>316</v>
      </c>
      <c r="F175" s="214" t="s">
        <v>317</v>
      </c>
    </row>
    <row r="176" spans="1:6" x14ac:dyDescent="0.25">
      <c r="B176" s="215" t="s">
        <v>743</v>
      </c>
      <c r="C176" s="212" t="s">
        <v>8</v>
      </c>
      <c r="D176" s="213">
        <v>3</v>
      </c>
      <c r="E176" s="214">
        <f>4500*1.2</f>
        <v>5400</v>
      </c>
      <c r="F176" s="216">
        <f>ROUND(E176*D176,0)</f>
        <v>16200</v>
      </c>
    </row>
    <row r="177" spans="1:6" s="256" customFormat="1" ht="22.8" x14ac:dyDescent="0.25">
      <c r="A177" s="220"/>
      <c r="B177" s="215" t="s">
        <v>747</v>
      </c>
      <c r="C177" s="212" t="s">
        <v>15</v>
      </c>
      <c r="D177" s="213">
        <v>1</v>
      </c>
      <c r="E177" s="214">
        <f>115000*1.2</f>
        <v>138000</v>
      </c>
      <c r="F177" s="216">
        <f>ROUND(E177*D177,0)</f>
        <v>138000</v>
      </c>
    </row>
    <row r="178" spans="1:6" x14ac:dyDescent="0.25">
      <c r="B178" s="211" t="s">
        <v>147</v>
      </c>
      <c r="C178" s="212"/>
      <c r="D178" s="218"/>
      <c r="E178" s="214"/>
      <c r="F178" s="216">
        <f t="shared" ref="F178:F180" si="12">ROUND(E178*D178,0)</f>
        <v>0</v>
      </c>
    </row>
    <row r="179" spans="1:6" x14ac:dyDescent="0.25">
      <c r="B179" s="215" t="s">
        <v>107</v>
      </c>
      <c r="C179" s="212" t="s">
        <v>326</v>
      </c>
      <c r="D179" s="213">
        <v>0.1</v>
      </c>
      <c r="E179" s="214">
        <v>167525</v>
      </c>
      <c r="F179" s="216">
        <f t="shared" si="12"/>
        <v>16753</v>
      </c>
    </row>
    <row r="180" spans="1:6" x14ac:dyDescent="0.25">
      <c r="B180" s="211" t="s">
        <v>327</v>
      </c>
      <c r="C180" s="212"/>
      <c r="D180" s="213"/>
      <c r="E180" s="214"/>
      <c r="F180" s="216">
        <f t="shared" si="12"/>
        <v>0</v>
      </c>
    </row>
    <row r="181" spans="1:6" x14ac:dyDescent="0.25">
      <c r="B181" s="215" t="s">
        <v>328</v>
      </c>
      <c r="C181" s="212" t="s">
        <v>189</v>
      </c>
      <c r="D181" s="213">
        <v>0.05</v>
      </c>
      <c r="E181" s="214">
        <f>+F179</f>
        <v>16753</v>
      </c>
      <c r="F181" s="216">
        <f>ROUND(E181*D181,0)</f>
        <v>838</v>
      </c>
    </row>
    <row r="182" spans="1:6" x14ac:dyDescent="0.25">
      <c r="B182" s="215" t="s">
        <v>329</v>
      </c>
      <c r="C182" s="212"/>
      <c r="D182" s="257"/>
      <c r="E182" s="214"/>
      <c r="F182" s="216">
        <f>ROUND(SUM(F175:F181),0)</f>
        <v>171791</v>
      </c>
    </row>
    <row r="185" spans="1:6" ht="24" x14ac:dyDescent="0.25">
      <c r="A185" s="245">
        <v>12.14</v>
      </c>
      <c r="B185" s="246" t="s">
        <v>652</v>
      </c>
      <c r="C185" s="252" t="s">
        <v>313</v>
      </c>
      <c r="D185" s="253" t="s">
        <v>195</v>
      </c>
      <c r="E185" s="254"/>
      <c r="F185" s="255"/>
    </row>
    <row r="186" spans="1:6" x14ac:dyDescent="0.25">
      <c r="B186" s="211" t="s">
        <v>162</v>
      </c>
      <c r="C186" s="212" t="s">
        <v>314</v>
      </c>
      <c r="D186" s="213" t="s">
        <v>315</v>
      </c>
      <c r="E186" s="214" t="s">
        <v>316</v>
      </c>
      <c r="F186" s="214" t="s">
        <v>317</v>
      </c>
    </row>
    <row r="187" spans="1:6" x14ac:dyDescent="0.25">
      <c r="B187" s="215" t="s">
        <v>743</v>
      </c>
      <c r="C187" s="212" t="s">
        <v>8</v>
      </c>
      <c r="D187" s="213">
        <v>3</v>
      </c>
      <c r="E187" s="214">
        <f>4500*1.2</f>
        <v>5400</v>
      </c>
      <c r="F187" s="216">
        <f>ROUND(E187*D187,0)</f>
        <v>16200</v>
      </c>
    </row>
    <row r="188" spans="1:6" s="256" customFormat="1" ht="22.8" x14ac:dyDescent="0.25">
      <c r="A188" s="220"/>
      <c r="B188" s="215" t="s">
        <v>748</v>
      </c>
      <c r="C188" s="212" t="s">
        <v>15</v>
      </c>
      <c r="D188" s="213">
        <v>1</v>
      </c>
      <c r="E188" s="214">
        <f>105000*1.2</f>
        <v>126000</v>
      </c>
      <c r="F188" s="216">
        <f>ROUND(E188*D188,0)</f>
        <v>126000</v>
      </c>
    </row>
    <row r="189" spans="1:6" x14ac:dyDescent="0.25">
      <c r="B189" s="211" t="s">
        <v>147</v>
      </c>
      <c r="C189" s="212"/>
      <c r="D189" s="218"/>
      <c r="E189" s="214"/>
      <c r="F189" s="216">
        <f t="shared" ref="F189:F191" si="13">ROUND(E189*D189,0)</f>
        <v>0</v>
      </c>
    </row>
    <row r="190" spans="1:6" x14ac:dyDescent="0.25">
      <c r="B190" s="215" t="s">
        <v>107</v>
      </c>
      <c r="C190" s="212" t="s">
        <v>326</v>
      </c>
      <c r="D190" s="213">
        <v>0.1</v>
      </c>
      <c r="E190" s="214">
        <v>167525</v>
      </c>
      <c r="F190" s="216">
        <f t="shared" si="13"/>
        <v>16753</v>
      </c>
    </row>
    <row r="191" spans="1:6" x14ac:dyDescent="0.25">
      <c r="B191" s="211" t="s">
        <v>327</v>
      </c>
      <c r="C191" s="212"/>
      <c r="D191" s="213"/>
      <c r="E191" s="214"/>
      <c r="F191" s="216">
        <f t="shared" si="13"/>
        <v>0</v>
      </c>
    </row>
    <row r="192" spans="1:6" x14ac:dyDescent="0.25">
      <c r="B192" s="215" t="s">
        <v>328</v>
      </c>
      <c r="C192" s="212" t="s">
        <v>189</v>
      </c>
      <c r="D192" s="213">
        <v>0.05</v>
      </c>
      <c r="E192" s="214">
        <f>+F190</f>
        <v>16753</v>
      </c>
      <c r="F192" s="216">
        <f>ROUND(E192*D192,0)</f>
        <v>838</v>
      </c>
    </row>
    <row r="193" spans="1:6" x14ac:dyDescent="0.25">
      <c r="B193" s="215" t="s">
        <v>329</v>
      </c>
      <c r="C193" s="212"/>
      <c r="D193" s="257"/>
      <c r="E193" s="214"/>
      <c r="F193" s="216">
        <f>ROUND(SUM(F186:F192),0)</f>
        <v>159791</v>
      </c>
    </row>
    <row r="196" spans="1:6" ht="24" x14ac:dyDescent="0.25">
      <c r="A196" s="245">
        <v>12.15</v>
      </c>
      <c r="B196" s="246" t="s">
        <v>655</v>
      </c>
      <c r="C196" s="252" t="s">
        <v>313</v>
      </c>
      <c r="D196" s="253" t="s">
        <v>8</v>
      </c>
      <c r="E196" s="254"/>
      <c r="F196" s="255"/>
    </row>
    <row r="197" spans="1:6" x14ac:dyDescent="0.25">
      <c r="B197" s="211" t="s">
        <v>162</v>
      </c>
      <c r="C197" s="212" t="s">
        <v>314</v>
      </c>
      <c r="D197" s="213" t="s">
        <v>315</v>
      </c>
      <c r="E197" s="214" t="s">
        <v>316</v>
      </c>
      <c r="F197" s="214" t="s">
        <v>317</v>
      </c>
    </row>
    <row r="198" spans="1:6" s="256" customFormat="1" x14ac:dyDescent="0.25">
      <c r="A198" s="220"/>
      <c r="B198" s="215" t="s">
        <v>337</v>
      </c>
      <c r="C198" s="212" t="s">
        <v>8</v>
      </c>
      <c r="D198" s="213">
        <v>1</v>
      </c>
      <c r="E198" s="214">
        <f>24500*1.19</f>
        <v>29155</v>
      </c>
      <c r="F198" s="216">
        <f>ROUND(E198*D198,0)</f>
        <v>29155</v>
      </c>
    </row>
    <row r="199" spans="1:6" x14ac:dyDescent="0.25">
      <c r="B199" s="211" t="s">
        <v>147</v>
      </c>
      <c r="C199" s="212"/>
      <c r="D199" s="218"/>
      <c r="E199" s="214"/>
      <c r="F199" s="216">
        <f t="shared" ref="F199:F201" si="14">ROUND(E199*D199,0)</f>
        <v>0</v>
      </c>
    </row>
    <row r="200" spans="1:6" x14ac:dyDescent="0.25">
      <c r="B200" s="215" t="s">
        <v>107</v>
      </c>
      <c r="C200" s="212" t="s">
        <v>326</v>
      </c>
      <c r="D200" s="213">
        <v>0.05</v>
      </c>
      <c r="E200" s="214">
        <v>167525</v>
      </c>
      <c r="F200" s="216">
        <f t="shared" si="14"/>
        <v>8376</v>
      </c>
    </row>
    <row r="201" spans="1:6" x14ac:dyDescent="0.25">
      <c r="B201" s="211" t="s">
        <v>327</v>
      </c>
      <c r="C201" s="212"/>
      <c r="D201" s="213"/>
      <c r="E201" s="214"/>
      <c r="F201" s="216">
        <f t="shared" si="14"/>
        <v>0</v>
      </c>
    </row>
    <row r="202" spans="1:6" x14ac:dyDescent="0.25">
      <c r="B202" s="215" t="s">
        <v>328</v>
      </c>
      <c r="C202" s="212" t="s">
        <v>189</v>
      </c>
      <c r="D202" s="213">
        <v>0.05</v>
      </c>
      <c r="E202" s="214">
        <f>+F200</f>
        <v>8376</v>
      </c>
      <c r="F202" s="216">
        <f>ROUND(E202*D202,0)</f>
        <v>419</v>
      </c>
    </row>
    <row r="203" spans="1:6" x14ac:dyDescent="0.25">
      <c r="B203" s="215" t="s">
        <v>329</v>
      </c>
      <c r="C203" s="212"/>
      <c r="D203" s="257"/>
      <c r="E203" s="214"/>
      <c r="F203" s="216">
        <f>ROUND(SUM(F197:F202),0)</f>
        <v>37950</v>
      </c>
    </row>
    <row r="206" spans="1:6" ht="48" x14ac:dyDescent="0.25">
      <c r="A206" s="247">
        <v>12.16</v>
      </c>
      <c r="B206" s="246" t="s">
        <v>657</v>
      </c>
      <c r="C206" s="252" t="s">
        <v>313</v>
      </c>
      <c r="D206" s="253" t="s">
        <v>8</v>
      </c>
      <c r="E206" s="254"/>
      <c r="F206" s="255"/>
    </row>
    <row r="207" spans="1:6" x14ac:dyDescent="0.25">
      <c r="B207" s="211" t="s">
        <v>162</v>
      </c>
      <c r="C207" s="212" t="s">
        <v>314</v>
      </c>
      <c r="D207" s="213" t="s">
        <v>315</v>
      </c>
      <c r="E207" s="214" t="s">
        <v>316</v>
      </c>
      <c r="F207" s="214" t="s">
        <v>317</v>
      </c>
    </row>
    <row r="208" spans="1:6" s="256" customFormat="1" ht="34.200000000000003" x14ac:dyDescent="0.25">
      <c r="A208" s="220"/>
      <c r="B208" s="215" t="s">
        <v>338</v>
      </c>
      <c r="C208" s="212" t="s">
        <v>8</v>
      </c>
      <c r="D208" s="213">
        <v>4</v>
      </c>
      <c r="E208" s="214">
        <v>34725</v>
      </c>
      <c r="F208" s="216">
        <f>ROUND(E208*D208,0)</f>
        <v>138900</v>
      </c>
    </row>
    <row r="209" spans="1:6" x14ac:dyDescent="0.25">
      <c r="B209" s="211" t="s">
        <v>147</v>
      </c>
      <c r="C209" s="212"/>
      <c r="D209" s="218"/>
      <c r="E209" s="214"/>
      <c r="F209" s="216">
        <f t="shared" ref="F209:F212" si="15">ROUND(E209*D209,0)</f>
        <v>0</v>
      </c>
    </row>
    <row r="210" spans="1:6" x14ac:dyDescent="0.25">
      <c r="B210" s="215" t="s">
        <v>107</v>
      </c>
      <c r="C210" s="212" t="s">
        <v>326</v>
      </c>
      <c r="D210" s="213">
        <v>0.08</v>
      </c>
      <c r="E210" s="214">
        <v>167525</v>
      </c>
      <c r="F210" s="216">
        <f t="shared" si="15"/>
        <v>13402</v>
      </c>
    </row>
    <row r="211" spans="1:6" x14ac:dyDescent="0.25">
      <c r="B211" s="211" t="s">
        <v>327</v>
      </c>
      <c r="C211" s="212"/>
      <c r="D211" s="213"/>
      <c r="E211" s="214"/>
      <c r="F211" s="216">
        <f t="shared" si="15"/>
        <v>0</v>
      </c>
    </row>
    <row r="212" spans="1:6" x14ac:dyDescent="0.25">
      <c r="B212" s="215" t="s">
        <v>328</v>
      </c>
      <c r="C212" s="212" t="s">
        <v>189</v>
      </c>
      <c r="D212" s="213">
        <v>0.05</v>
      </c>
      <c r="E212" s="214">
        <f>+F210</f>
        <v>13402</v>
      </c>
      <c r="F212" s="216">
        <f t="shared" si="15"/>
        <v>670</v>
      </c>
    </row>
    <row r="213" spans="1:6" x14ac:dyDescent="0.25">
      <c r="B213" s="215" t="s">
        <v>329</v>
      </c>
      <c r="C213" s="212"/>
      <c r="D213" s="257"/>
      <c r="E213" s="214"/>
      <c r="F213" s="216">
        <f>ROUND(SUM(F207:F212),0)</f>
        <v>152972</v>
      </c>
    </row>
    <row r="216" spans="1:6" ht="48" x14ac:dyDescent="0.25">
      <c r="A216" s="245">
        <v>12.17</v>
      </c>
      <c r="B216" s="246" t="s">
        <v>659</v>
      </c>
      <c r="C216" s="252" t="s">
        <v>313</v>
      </c>
      <c r="D216" s="253" t="s">
        <v>8</v>
      </c>
      <c r="E216" s="254"/>
      <c r="F216" s="255"/>
    </row>
    <row r="217" spans="1:6" x14ac:dyDescent="0.25">
      <c r="B217" s="211" t="s">
        <v>162</v>
      </c>
      <c r="C217" s="212" t="s">
        <v>314</v>
      </c>
      <c r="D217" s="213" t="s">
        <v>315</v>
      </c>
      <c r="E217" s="214" t="s">
        <v>316</v>
      </c>
      <c r="F217" s="214" t="s">
        <v>317</v>
      </c>
    </row>
    <row r="218" spans="1:6" ht="34.200000000000003" x14ac:dyDescent="0.25">
      <c r="B218" s="215" t="s">
        <v>339</v>
      </c>
      <c r="C218" s="212" t="s">
        <v>8</v>
      </c>
      <c r="D218" s="213">
        <v>4</v>
      </c>
      <c r="E218" s="214">
        <v>21252</v>
      </c>
      <c r="F218" s="216">
        <f>ROUND(E218*D218,0)</f>
        <v>85008</v>
      </c>
    </row>
    <row r="219" spans="1:6" s="256" customFormat="1" ht="34.200000000000003" x14ac:dyDescent="0.25">
      <c r="A219" s="220"/>
      <c r="B219" s="215" t="s">
        <v>340</v>
      </c>
      <c r="C219" s="212" t="s">
        <v>8</v>
      </c>
      <c r="D219" s="213">
        <v>1</v>
      </c>
      <c r="E219" s="214">
        <v>8881</v>
      </c>
      <c r="F219" s="216">
        <f>ROUND(E219*D219,0)</f>
        <v>8881</v>
      </c>
    </row>
    <row r="220" spans="1:6" x14ac:dyDescent="0.25">
      <c r="B220" s="211" t="s">
        <v>147</v>
      </c>
      <c r="C220" s="212"/>
      <c r="D220" s="218"/>
      <c r="E220" s="214"/>
      <c r="F220" s="216">
        <f t="shared" ref="F220:F223" si="16">ROUND(E220*D220,0)</f>
        <v>0</v>
      </c>
    </row>
    <row r="221" spans="1:6" x14ac:dyDescent="0.25">
      <c r="B221" s="215" t="s">
        <v>107</v>
      </c>
      <c r="C221" s="212" t="s">
        <v>326</v>
      </c>
      <c r="D221" s="213">
        <v>0.06</v>
      </c>
      <c r="E221" s="214">
        <v>167525</v>
      </c>
      <c r="F221" s="216">
        <f>ROUND(E221*D221,0)</f>
        <v>10052</v>
      </c>
    </row>
    <row r="222" spans="1:6" x14ac:dyDescent="0.25">
      <c r="B222" s="211" t="s">
        <v>327</v>
      </c>
      <c r="C222" s="212"/>
      <c r="D222" s="213"/>
      <c r="E222" s="214"/>
      <c r="F222" s="216">
        <f t="shared" si="16"/>
        <v>0</v>
      </c>
    </row>
    <row r="223" spans="1:6" x14ac:dyDescent="0.25">
      <c r="B223" s="215" t="s">
        <v>328</v>
      </c>
      <c r="C223" s="212" t="s">
        <v>189</v>
      </c>
      <c r="D223" s="213">
        <v>0.05</v>
      </c>
      <c r="E223" s="214">
        <f>+F221</f>
        <v>10052</v>
      </c>
      <c r="F223" s="216">
        <f t="shared" si="16"/>
        <v>503</v>
      </c>
    </row>
    <row r="224" spans="1:6" x14ac:dyDescent="0.25">
      <c r="B224" s="215" t="s">
        <v>329</v>
      </c>
      <c r="C224" s="212"/>
      <c r="D224" s="257"/>
      <c r="E224" s="214"/>
      <c r="F224" s="216">
        <f>ROUND(SUM(F217:F223),0)</f>
        <v>104444</v>
      </c>
    </row>
    <row r="227" spans="1:6" ht="48" x14ac:dyDescent="0.25">
      <c r="A227" s="245">
        <v>12.18</v>
      </c>
      <c r="B227" s="246" t="s">
        <v>661</v>
      </c>
      <c r="C227" s="252" t="s">
        <v>313</v>
      </c>
      <c r="D227" s="253" t="s">
        <v>8</v>
      </c>
      <c r="E227" s="254"/>
      <c r="F227" s="255"/>
    </row>
    <row r="228" spans="1:6" x14ac:dyDescent="0.25">
      <c r="B228" s="211" t="s">
        <v>162</v>
      </c>
      <c r="C228" s="212" t="s">
        <v>314</v>
      </c>
      <c r="D228" s="213" t="s">
        <v>315</v>
      </c>
      <c r="E228" s="214" t="s">
        <v>316</v>
      </c>
      <c r="F228" s="214" t="s">
        <v>317</v>
      </c>
    </row>
    <row r="229" spans="1:6" ht="34.200000000000003" x14ac:dyDescent="0.25">
      <c r="B229" s="215" t="s">
        <v>341</v>
      </c>
      <c r="C229" s="212" t="s">
        <v>8</v>
      </c>
      <c r="D229" s="213">
        <v>3</v>
      </c>
      <c r="E229" s="214">
        <v>5746</v>
      </c>
      <c r="F229" s="216">
        <f>ROUND(E229*D229,0)</f>
        <v>17238</v>
      </c>
    </row>
    <row r="230" spans="1:6" s="256" customFormat="1" ht="34.200000000000003" x14ac:dyDescent="0.25">
      <c r="A230" s="220"/>
      <c r="B230" s="215" t="s">
        <v>342</v>
      </c>
      <c r="C230" s="212" t="s">
        <v>8</v>
      </c>
      <c r="D230" s="213">
        <v>1</v>
      </c>
      <c r="E230" s="248">
        <v>3874</v>
      </c>
      <c r="F230" s="216">
        <f>ROUND(E230*D230,0)</f>
        <v>3874</v>
      </c>
    </row>
    <row r="231" spans="1:6" x14ac:dyDescent="0.25">
      <c r="B231" s="211" t="s">
        <v>147</v>
      </c>
      <c r="C231" s="212"/>
      <c r="D231" s="218"/>
      <c r="E231" s="214"/>
      <c r="F231" s="216">
        <f t="shared" ref="F231:F234" si="17">ROUND(E231*D231,0)</f>
        <v>0</v>
      </c>
    </row>
    <row r="232" spans="1:6" x14ac:dyDescent="0.25">
      <c r="B232" s="215" t="s">
        <v>107</v>
      </c>
      <c r="C232" s="212" t="s">
        <v>326</v>
      </c>
      <c r="D232" s="213">
        <v>0.04</v>
      </c>
      <c r="E232" s="214">
        <v>167525</v>
      </c>
      <c r="F232" s="216">
        <f t="shared" si="17"/>
        <v>6701</v>
      </c>
    </row>
    <row r="233" spans="1:6" x14ac:dyDescent="0.25">
      <c r="B233" s="211" t="s">
        <v>327</v>
      </c>
      <c r="C233" s="212"/>
      <c r="D233" s="213"/>
      <c r="E233" s="214"/>
      <c r="F233" s="216">
        <f t="shared" si="17"/>
        <v>0</v>
      </c>
    </row>
    <row r="234" spans="1:6" x14ac:dyDescent="0.25">
      <c r="B234" s="215" t="s">
        <v>328</v>
      </c>
      <c r="C234" s="212" t="s">
        <v>189</v>
      </c>
      <c r="D234" s="213">
        <v>0.05</v>
      </c>
      <c r="E234" s="214">
        <f>+F232</f>
        <v>6701</v>
      </c>
      <c r="F234" s="216">
        <f t="shared" si="17"/>
        <v>335</v>
      </c>
    </row>
    <row r="235" spans="1:6" x14ac:dyDescent="0.25">
      <c r="B235" s="215" t="s">
        <v>329</v>
      </c>
      <c r="C235" s="212"/>
      <c r="D235" s="257"/>
      <c r="E235" s="214"/>
      <c r="F235" s="216">
        <f>ROUND(SUM(F228:F234),0)</f>
        <v>28148</v>
      </c>
    </row>
    <row r="238" spans="1:6" ht="48" x14ac:dyDescent="0.25">
      <c r="A238" s="245">
        <v>12.19</v>
      </c>
      <c r="B238" s="246" t="s">
        <v>663</v>
      </c>
      <c r="C238" s="252" t="s">
        <v>313</v>
      </c>
      <c r="D238" s="253" t="s">
        <v>8</v>
      </c>
      <c r="E238" s="254"/>
      <c r="F238" s="255"/>
    </row>
    <row r="239" spans="1:6" x14ac:dyDescent="0.25">
      <c r="B239" s="211" t="s">
        <v>162</v>
      </c>
      <c r="C239" s="212" t="s">
        <v>314</v>
      </c>
      <c r="D239" s="213" t="s">
        <v>315</v>
      </c>
      <c r="E239" s="214" t="s">
        <v>316</v>
      </c>
      <c r="F239" s="214" t="s">
        <v>317</v>
      </c>
    </row>
    <row r="240" spans="1:6" ht="34.200000000000003" x14ac:dyDescent="0.25">
      <c r="B240" s="215" t="s">
        <v>318</v>
      </c>
      <c r="C240" s="212" t="s">
        <v>8</v>
      </c>
      <c r="D240" s="213">
        <v>3</v>
      </c>
      <c r="E240" s="214">
        <v>2677</v>
      </c>
      <c r="F240" s="216">
        <f>ROUND(E240*D240,0)</f>
        <v>8031</v>
      </c>
    </row>
    <row r="241" spans="1:6" s="256" customFormat="1" x14ac:dyDescent="0.25">
      <c r="A241" s="220"/>
      <c r="B241" s="211" t="s">
        <v>147</v>
      </c>
      <c r="C241" s="212"/>
      <c r="D241" s="218"/>
      <c r="E241" s="214"/>
      <c r="F241" s="216">
        <f t="shared" ref="F241:F243" si="18">ROUND(E241*D241,0)</f>
        <v>0</v>
      </c>
    </row>
    <row r="242" spans="1:6" x14ac:dyDescent="0.25">
      <c r="B242" s="215" t="s">
        <v>107</v>
      </c>
      <c r="C242" s="212" t="s">
        <v>326</v>
      </c>
      <c r="D242" s="213">
        <v>0.02</v>
      </c>
      <c r="E242" s="214">
        <v>167525</v>
      </c>
      <c r="F242" s="216">
        <f t="shared" si="18"/>
        <v>3351</v>
      </c>
    </row>
    <row r="243" spans="1:6" x14ac:dyDescent="0.25">
      <c r="B243" s="211" t="s">
        <v>327</v>
      </c>
      <c r="C243" s="212"/>
      <c r="D243" s="213"/>
      <c r="E243" s="214"/>
      <c r="F243" s="216">
        <f t="shared" si="18"/>
        <v>0</v>
      </c>
    </row>
    <row r="244" spans="1:6" x14ac:dyDescent="0.25">
      <c r="B244" s="215" t="s">
        <v>328</v>
      </c>
      <c r="C244" s="212" t="s">
        <v>189</v>
      </c>
      <c r="D244" s="213">
        <v>0.05</v>
      </c>
      <c r="E244" s="214">
        <f>+F242</f>
        <v>3351</v>
      </c>
      <c r="F244" s="216">
        <f>ROUND(E244*D244,0)</f>
        <v>168</v>
      </c>
    </row>
    <row r="245" spans="1:6" x14ac:dyDescent="0.25">
      <c r="B245" s="215" t="s">
        <v>329</v>
      </c>
      <c r="C245" s="212"/>
      <c r="D245" s="257"/>
      <c r="E245" s="214"/>
      <c r="F245" s="216">
        <f>ROUND(SUM(F239:F244),0)</f>
        <v>11550</v>
      </c>
    </row>
    <row r="248" spans="1:6" ht="24" x14ac:dyDescent="0.25">
      <c r="A248" s="247">
        <v>12.2</v>
      </c>
      <c r="B248" s="246" t="s">
        <v>749</v>
      </c>
      <c r="C248" s="252" t="s">
        <v>313</v>
      </c>
      <c r="D248" s="253" t="s">
        <v>8</v>
      </c>
      <c r="E248" s="254"/>
      <c r="F248" s="255"/>
    </row>
    <row r="249" spans="1:6" x14ac:dyDescent="0.25">
      <c r="B249" s="211" t="s">
        <v>162</v>
      </c>
      <c r="C249" s="212" t="s">
        <v>314</v>
      </c>
      <c r="D249" s="213" t="s">
        <v>315</v>
      </c>
      <c r="E249" s="214" t="s">
        <v>316</v>
      </c>
      <c r="F249" s="214" t="s">
        <v>317</v>
      </c>
    </row>
    <row r="250" spans="1:6" x14ac:dyDescent="0.25">
      <c r="B250" s="258" t="s">
        <v>343</v>
      </c>
      <c r="C250" s="212" t="s">
        <v>15</v>
      </c>
      <c r="D250" s="213">
        <f>0.333333333333333*2</f>
        <v>0.66666666666666596</v>
      </c>
      <c r="E250" s="219">
        <v>35298</v>
      </c>
      <c r="F250" s="216">
        <f>ROUND(E250*D250,0)</f>
        <v>23532</v>
      </c>
    </row>
    <row r="251" spans="1:6" x14ac:dyDescent="0.25">
      <c r="B251" s="211" t="s">
        <v>147</v>
      </c>
      <c r="C251" s="212"/>
      <c r="D251" s="218"/>
      <c r="E251" s="214"/>
      <c r="F251" s="216">
        <f t="shared" ref="F251:F253" si="19">ROUND(E251*D251,0)</f>
        <v>0</v>
      </c>
    </row>
    <row r="252" spans="1:6" x14ac:dyDescent="0.25">
      <c r="B252" s="215" t="s">
        <v>107</v>
      </c>
      <c r="C252" s="212" t="s">
        <v>326</v>
      </c>
      <c r="D252" s="213">
        <v>0.02</v>
      </c>
      <c r="E252" s="214">
        <v>167525</v>
      </c>
      <c r="F252" s="216">
        <f t="shared" si="19"/>
        <v>3351</v>
      </c>
    </row>
    <row r="253" spans="1:6" s="256" customFormat="1" x14ac:dyDescent="0.25">
      <c r="A253" s="220"/>
      <c r="B253" s="211" t="s">
        <v>327</v>
      </c>
      <c r="C253" s="212"/>
      <c r="D253" s="213"/>
      <c r="E253" s="214"/>
      <c r="F253" s="216">
        <f t="shared" si="19"/>
        <v>0</v>
      </c>
    </row>
    <row r="254" spans="1:6" x14ac:dyDescent="0.25">
      <c r="B254" s="215" t="s">
        <v>328</v>
      </c>
      <c r="C254" s="212" t="s">
        <v>189</v>
      </c>
      <c r="D254" s="213">
        <v>0.05</v>
      </c>
      <c r="E254" s="214">
        <f>+F252</f>
        <v>3351</v>
      </c>
      <c r="F254" s="216">
        <f>ROUND(E254*D254,0)</f>
        <v>168</v>
      </c>
    </row>
    <row r="255" spans="1:6" x14ac:dyDescent="0.25">
      <c r="B255" s="215" t="s">
        <v>329</v>
      </c>
      <c r="C255" s="212"/>
      <c r="D255" s="257"/>
      <c r="E255" s="214"/>
      <c r="F255" s="216">
        <f>ROUND(SUM(F249:F254),0)</f>
        <v>27051</v>
      </c>
    </row>
    <row r="258" spans="1:6" x14ac:dyDescent="0.25">
      <c r="A258" s="245">
        <v>12.21</v>
      </c>
      <c r="B258" s="249" t="s">
        <v>750</v>
      </c>
      <c r="C258" s="252" t="s">
        <v>313</v>
      </c>
      <c r="D258" s="253" t="s">
        <v>8</v>
      </c>
      <c r="E258" s="254"/>
      <c r="F258" s="255"/>
    </row>
    <row r="259" spans="1:6" x14ac:dyDescent="0.25">
      <c r="B259" s="211" t="s">
        <v>162</v>
      </c>
      <c r="C259" s="212" t="s">
        <v>314</v>
      </c>
      <c r="D259" s="213" t="s">
        <v>315</v>
      </c>
      <c r="E259" s="214" t="s">
        <v>316</v>
      </c>
      <c r="F259" s="214" t="s">
        <v>317</v>
      </c>
    </row>
    <row r="260" spans="1:6" x14ac:dyDescent="0.25">
      <c r="B260" s="258" t="s">
        <v>343</v>
      </c>
      <c r="C260" s="212" t="s">
        <v>15</v>
      </c>
      <c r="D260" s="213">
        <f>0.333333333333333</f>
        <v>0.33333333333333298</v>
      </c>
      <c r="E260" s="219">
        <v>29298</v>
      </c>
      <c r="F260" s="216">
        <f>ROUND(E260*D260,0)</f>
        <v>9766</v>
      </c>
    </row>
    <row r="261" spans="1:6" x14ac:dyDescent="0.25">
      <c r="B261" s="211" t="s">
        <v>147</v>
      </c>
      <c r="C261" s="212"/>
      <c r="D261" s="218"/>
      <c r="E261" s="214"/>
      <c r="F261" s="216">
        <f t="shared" ref="F261:F263" si="20">ROUND(E261*D261,0)</f>
        <v>0</v>
      </c>
    </row>
    <row r="262" spans="1:6" x14ac:dyDescent="0.25">
      <c r="B262" s="215" t="s">
        <v>107</v>
      </c>
      <c r="C262" s="212" t="s">
        <v>326</v>
      </c>
      <c r="D262" s="213">
        <v>0.02</v>
      </c>
      <c r="E262" s="214">
        <v>167525</v>
      </c>
      <c r="F262" s="216">
        <f t="shared" si="20"/>
        <v>3351</v>
      </c>
    </row>
    <row r="263" spans="1:6" x14ac:dyDescent="0.25">
      <c r="B263" s="211" t="s">
        <v>327</v>
      </c>
      <c r="C263" s="212"/>
      <c r="D263" s="213"/>
      <c r="E263" s="214"/>
      <c r="F263" s="216">
        <f t="shared" si="20"/>
        <v>0</v>
      </c>
    </row>
    <row r="264" spans="1:6" x14ac:dyDescent="0.25">
      <c r="B264" s="215" t="s">
        <v>328</v>
      </c>
      <c r="C264" s="212" t="s">
        <v>189</v>
      </c>
      <c r="D264" s="213">
        <v>0.05</v>
      </c>
      <c r="E264" s="214">
        <f>+F262</f>
        <v>3351</v>
      </c>
      <c r="F264" s="216">
        <f>ROUND(E264*D264,0)</f>
        <v>168</v>
      </c>
    </row>
    <row r="265" spans="1:6" s="256" customFormat="1" x14ac:dyDescent="0.25">
      <c r="A265" s="220"/>
      <c r="B265" s="215" t="s">
        <v>329</v>
      </c>
      <c r="C265" s="212"/>
      <c r="D265" s="257"/>
      <c r="E265" s="214"/>
      <c r="F265" s="216">
        <f>ROUND(SUM(F259:F264),0)</f>
        <v>13285</v>
      </c>
    </row>
    <row r="268" spans="1:6" x14ac:dyDescent="0.25">
      <c r="A268" s="245">
        <v>12.22</v>
      </c>
      <c r="B268" s="249" t="s">
        <v>751</v>
      </c>
      <c r="C268" s="252" t="s">
        <v>313</v>
      </c>
      <c r="D268" s="253" t="s">
        <v>8</v>
      </c>
      <c r="E268" s="254"/>
      <c r="F268" s="255"/>
    </row>
    <row r="269" spans="1:6" x14ac:dyDescent="0.25">
      <c r="B269" s="211" t="s">
        <v>162</v>
      </c>
      <c r="C269" s="212" t="s">
        <v>314</v>
      </c>
      <c r="D269" s="213" t="s">
        <v>315</v>
      </c>
      <c r="E269" s="214" t="s">
        <v>316</v>
      </c>
      <c r="F269" s="214" t="s">
        <v>317</v>
      </c>
    </row>
    <row r="270" spans="1:6" x14ac:dyDescent="0.25">
      <c r="B270" s="258" t="s">
        <v>344</v>
      </c>
      <c r="C270" s="212" t="s">
        <v>15</v>
      </c>
      <c r="D270" s="213">
        <f>0.333333333333333</f>
        <v>0.33333333333333298</v>
      </c>
      <c r="E270" s="219">
        <v>43700</v>
      </c>
      <c r="F270" s="216">
        <f>ROUND(E270*D270,0)</f>
        <v>14567</v>
      </c>
    </row>
    <row r="271" spans="1:6" x14ac:dyDescent="0.25">
      <c r="B271" s="258" t="s">
        <v>345</v>
      </c>
      <c r="C271" s="212" t="s">
        <v>15</v>
      </c>
      <c r="D271" s="213">
        <v>1</v>
      </c>
      <c r="E271" s="219">
        <v>1500</v>
      </c>
      <c r="F271" s="216">
        <f>ROUND(E271*D271,0)</f>
        <v>1500</v>
      </c>
    </row>
    <row r="272" spans="1:6" x14ac:dyDescent="0.25">
      <c r="B272" s="211" t="s">
        <v>147</v>
      </c>
      <c r="C272" s="212"/>
      <c r="D272" s="218"/>
      <c r="E272" s="214"/>
      <c r="F272" s="216">
        <f t="shared" ref="F272:F274" si="21">ROUND(E272*D272,0)</f>
        <v>0</v>
      </c>
    </row>
    <row r="273" spans="1:6" x14ac:dyDescent="0.25">
      <c r="B273" s="215" t="s">
        <v>107</v>
      </c>
      <c r="C273" s="212" t="s">
        <v>326</v>
      </c>
      <c r="D273" s="213">
        <v>0.04</v>
      </c>
      <c r="E273" s="214">
        <v>167525</v>
      </c>
      <c r="F273" s="216">
        <f t="shared" si="21"/>
        <v>6701</v>
      </c>
    </row>
    <row r="274" spans="1:6" x14ac:dyDescent="0.25">
      <c r="B274" s="211" t="s">
        <v>327</v>
      </c>
      <c r="C274" s="212"/>
      <c r="D274" s="213"/>
      <c r="E274" s="214"/>
      <c r="F274" s="216">
        <f t="shared" si="21"/>
        <v>0</v>
      </c>
    </row>
    <row r="275" spans="1:6" x14ac:dyDescent="0.25">
      <c r="B275" s="215" t="s">
        <v>328</v>
      </c>
      <c r="C275" s="212" t="s">
        <v>189</v>
      </c>
      <c r="D275" s="213">
        <v>0.05</v>
      </c>
      <c r="E275" s="214">
        <f>+F273</f>
        <v>6701</v>
      </c>
      <c r="F275" s="216">
        <f>ROUND(E275*D275,0)</f>
        <v>335</v>
      </c>
    </row>
    <row r="276" spans="1:6" x14ac:dyDescent="0.25">
      <c r="B276" s="215" t="s">
        <v>329</v>
      </c>
      <c r="C276" s="212"/>
      <c r="D276" s="257"/>
      <c r="E276" s="214"/>
      <c r="F276" s="216">
        <f>ROUND(SUM(F269:F275),0)</f>
        <v>23103</v>
      </c>
    </row>
    <row r="278" spans="1:6" s="256" customFormat="1" x14ac:dyDescent="0.25">
      <c r="A278" s="220"/>
      <c r="B278" s="250"/>
      <c r="C278" s="251"/>
      <c r="D278" s="251"/>
      <c r="E278" s="251"/>
      <c r="F278" s="251"/>
    </row>
    <row r="279" spans="1:6" x14ac:dyDescent="0.25">
      <c r="A279" s="245">
        <v>12.23</v>
      </c>
      <c r="B279" s="246" t="s">
        <v>752</v>
      </c>
      <c r="C279" s="252" t="s">
        <v>313</v>
      </c>
      <c r="D279" s="253" t="s">
        <v>8</v>
      </c>
      <c r="E279" s="254"/>
      <c r="F279" s="255"/>
    </row>
    <row r="280" spans="1:6" x14ac:dyDescent="0.25">
      <c r="B280" s="211" t="s">
        <v>162</v>
      </c>
      <c r="C280" s="212" t="s">
        <v>314</v>
      </c>
      <c r="D280" s="213" t="s">
        <v>315</v>
      </c>
      <c r="E280" s="214" t="s">
        <v>316</v>
      </c>
      <c r="F280" s="214" t="s">
        <v>317</v>
      </c>
    </row>
    <row r="281" spans="1:6" x14ac:dyDescent="0.25">
      <c r="B281" s="215" t="s">
        <v>331</v>
      </c>
      <c r="C281" s="212" t="s">
        <v>15</v>
      </c>
      <c r="D281" s="217">
        <v>0.33333333333333331</v>
      </c>
      <c r="E281" s="214">
        <v>6021</v>
      </c>
      <c r="F281" s="216">
        <f t="shared" ref="F281" si="22">ROUND(E281*D281,0)</f>
        <v>2007</v>
      </c>
    </row>
    <row r="282" spans="1:6" x14ac:dyDescent="0.25">
      <c r="B282" s="258" t="s">
        <v>346</v>
      </c>
      <c r="C282" s="212" t="s">
        <v>15</v>
      </c>
      <c r="D282" s="213">
        <v>1</v>
      </c>
      <c r="E282" s="219">
        <v>1100</v>
      </c>
      <c r="F282" s="216">
        <f>ROUND(E282*D282,0)</f>
        <v>1100</v>
      </c>
    </row>
    <row r="283" spans="1:6" x14ac:dyDescent="0.25">
      <c r="B283" s="211" t="s">
        <v>147</v>
      </c>
      <c r="C283" s="212"/>
      <c r="D283" s="218"/>
      <c r="E283" s="214"/>
      <c r="F283" s="216">
        <f t="shared" ref="F283:F285" si="23">ROUND(E283*D283,0)</f>
        <v>0</v>
      </c>
    </row>
    <row r="284" spans="1:6" x14ac:dyDescent="0.25">
      <c r="B284" s="215" t="s">
        <v>107</v>
      </c>
      <c r="C284" s="212" t="s">
        <v>326</v>
      </c>
      <c r="D284" s="213">
        <v>0.01</v>
      </c>
      <c r="E284" s="214">
        <v>167525</v>
      </c>
      <c r="F284" s="216">
        <f t="shared" si="23"/>
        <v>1675</v>
      </c>
    </row>
    <row r="285" spans="1:6" x14ac:dyDescent="0.25">
      <c r="B285" s="211" t="s">
        <v>327</v>
      </c>
      <c r="C285" s="212"/>
      <c r="D285" s="213"/>
      <c r="E285" s="214"/>
      <c r="F285" s="216">
        <f t="shared" si="23"/>
        <v>0</v>
      </c>
    </row>
    <row r="286" spans="1:6" x14ac:dyDescent="0.25">
      <c r="B286" s="215" t="s">
        <v>328</v>
      </c>
      <c r="C286" s="212" t="s">
        <v>189</v>
      </c>
      <c r="D286" s="213">
        <v>0.05</v>
      </c>
      <c r="E286" s="214">
        <f>+F284</f>
        <v>1675</v>
      </c>
      <c r="F286" s="216">
        <f>ROUND(E286*D286,0)</f>
        <v>84</v>
      </c>
    </row>
    <row r="287" spans="1:6" x14ac:dyDescent="0.25">
      <c r="B287" s="215" t="s">
        <v>329</v>
      </c>
      <c r="C287" s="212"/>
      <c r="D287" s="257"/>
      <c r="E287" s="214"/>
      <c r="F287" s="216">
        <f>ROUND(SUM(F280:F286),0)</f>
        <v>4866</v>
      </c>
    </row>
    <row r="288" spans="1:6" s="256" customFormat="1" x14ac:dyDescent="0.25">
      <c r="A288" s="220"/>
      <c r="B288" s="250"/>
      <c r="C288" s="251"/>
      <c r="D288" s="251"/>
      <c r="E288" s="251"/>
      <c r="F288" s="251"/>
    </row>
    <row r="290" spans="1:6" x14ac:dyDescent="0.25">
      <c r="A290" s="245">
        <v>12.24</v>
      </c>
      <c r="B290" s="246" t="s">
        <v>753</v>
      </c>
      <c r="C290" s="252" t="s">
        <v>313</v>
      </c>
      <c r="D290" s="253" t="s">
        <v>8</v>
      </c>
      <c r="E290" s="254"/>
      <c r="F290" s="255"/>
    </row>
    <row r="291" spans="1:6" x14ac:dyDescent="0.25">
      <c r="B291" s="211" t="s">
        <v>162</v>
      </c>
      <c r="C291" s="212" t="s">
        <v>314</v>
      </c>
      <c r="D291" s="213" t="s">
        <v>315</v>
      </c>
      <c r="E291" s="214" t="s">
        <v>316</v>
      </c>
      <c r="F291" s="214" t="s">
        <v>317</v>
      </c>
    </row>
    <row r="292" spans="1:6" x14ac:dyDescent="0.25">
      <c r="B292" s="258" t="s">
        <v>347</v>
      </c>
      <c r="C292" s="212" t="s">
        <v>15</v>
      </c>
      <c r="D292" s="213">
        <f>0.333333333333333</f>
        <v>0.33333333333333298</v>
      </c>
      <c r="E292" s="219">
        <v>15200</v>
      </c>
      <c r="F292" s="216">
        <f>ROUND(E292*D292,0)</f>
        <v>5067</v>
      </c>
    </row>
    <row r="293" spans="1:6" x14ac:dyDescent="0.25">
      <c r="B293" s="258" t="s">
        <v>346</v>
      </c>
      <c r="C293" s="212" t="s">
        <v>15</v>
      </c>
      <c r="D293" s="213">
        <v>1</v>
      </c>
      <c r="E293" s="219">
        <v>1100</v>
      </c>
      <c r="F293" s="216">
        <f>ROUND(E293*D293,0)</f>
        <v>1100</v>
      </c>
    </row>
    <row r="294" spans="1:6" x14ac:dyDescent="0.25">
      <c r="B294" s="211" t="s">
        <v>147</v>
      </c>
      <c r="C294" s="212"/>
      <c r="D294" s="218"/>
      <c r="E294" s="214"/>
      <c r="F294" s="216">
        <f t="shared" ref="F294:F296" si="24">ROUND(E294*D294,0)</f>
        <v>0</v>
      </c>
    </row>
    <row r="295" spans="1:6" x14ac:dyDescent="0.25">
      <c r="B295" s="215" t="s">
        <v>107</v>
      </c>
      <c r="C295" s="212" t="s">
        <v>326</v>
      </c>
      <c r="D295" s="213">
        <v>2.5000000000000001E-2</v>
      </c>
      <c r="E295" s="214">
        <v>167525</v>
      </c>
      <c r="F295" s="216">
        <f t="shared" si="24"/>
        <v>4188</v>
      </c>
    </row>
    <row r="296" spans="1:6" x14ac:dyDescent="0.25">
      <c r="B296" s="211" t="s">
        <v>327</v>
      </c>
      <c r="C296" s="212"/>
      <c r="D296" s="213"/>
      <c r="E296" s="214"/>
      <c r="F296" s="216">
        <f t="shared" si="24"/>
        <v>0</v>
      </c>
    </row>
    <row r="297" spans="1:6" x14ac:dyDescent="0.25">
      <c r="B297" s="215" t="s">
        <v>328</v>
      </c>
      <c r="C297" s="212" t="s">
        <v>189</v>
      </c>
      <c r="D297" s="213">
        <v>0.05</v>
      </c>
      <c r="E297" s="214">
        <f>+F295</f>
        <v>4188</v>
      </c>
      <c r="F297" s="216">
        <f>ROUND(E297*D297,0)</f>
        <v>209</v>
      </c>
    </row>
    <row r="298" spans="1:6" x14ac:dyDescent="0.25">
      <c r="B298" s="215" t="s">
        <v>329</v>
      </c>
      <c r="C298" s="212"/>
      <c r="D298" s="257"/>
      <c r="E298" s="214"/>
      <c r="F298" s="216">
        <f>ROUND(SUM(F291:F297),0)</f>
        <v>10564</v>
      </c>
    </row>
    <row r="301" spans="1:6" ht="24" x14ac:dyDescent="0.25">
      <c r="A301" s="245">
        <v>12.25</v>
      </c>
      <c r="B301" s="246" t="s">
        <v>676</v>
      </c>
      <c r="C301" s="252" t="s">
        <v>313</v>
      </c>
      <c r="D301" s="253" t="s">
        <v>8</v>
      </c>
      <c r="E301" s="254"/>
      <c r="F301" s="255"/>
    </row>
    <row r="302" spans="1:6" s="256" customFormat="1" x14ac:dyDescent="0.25">
      <c r="A302" s="220"/>
      <c r="B302" s="211" t="s">
        <v>162</v>
      </c>
      <c r="C302" s="212" t="s">
        <v>314</v>
      </c>
      <c r="D302" s="213" t="s">
        <v>315</v>
      </c>
      <c r="E302" s="214" t="s">
        <v>316</v>
      </c>
      <c r="F302" s="214" t="s">
        <v>317</v>
      </c>
    </row>
    <row r="303" spans="1:6" x14ac:dyDescent="0.25">
      <c r="B303" s="258" t="s">
        <v>348</v>
      </c>
      <c r="C303" s="212" t="s">
        <v>15</v>
      </c>
      <c r="D303" s="213">
        <v>1</v>
      </c>
      <c r="E303" s="219">
        <v>195000</v>
      </c>
      <c r="F303" s="216">
        <f>ROUND(E303*D303,0)</f>
        <v>195000</v>
      </c>
    </row>
    <row r="304" spans="1:6" x14ac:dyDescent="0.25">
      <c r="B304" s="258" t="s">
        <v>226</v>
      </c>
      <c r="C304" s="212" t="s">
        <v>8</v>
      </c>
      <c r="D304" s="213">
        <v>3</v>
      </c>
      <c r="E304" s="219">
        <v>3150</v>
      </c>
      <c r="F304" s="216">
        <f>ROUND(E304*D304,0)</f>
        <v>9450</v>
      </c>
    </row>
    <row r="305" spans="1:6" x14ac:dyDescent="0.25">
      <c r="B305" s="258" t="s">
        <v>349</v>
      </c>
      <c r="C305" s="212" t="s">
        <v>15</v>
      </c>
      <c r="D305" s="213">
        <v>3</v>
      </c>
      <c r="E305" s="219">
        <v>750</v>
      </c>
      <c r="F305" s="216">
        <f>ROUND(E305*D305,0)</f>
        <v>2250</v>
      </c>
    </row>
    <row r="306" spans="1:6" x14ac:dyDescent="0.25">
      <c r="B306" s="211" t="s">
        <v>147</v>
      </c>
      <c r="C306" s="212"/>
      <c r="D306" s="218"/>
      <c r="E306" s="214"/>
      <c r="F306" s="216">
        <f t="shared" ref="F306:F308" si="25">ROUND(E306*D306,0)</f>
        <v>0</v>
      </c>
    </row>
    <row r="307" spans="1:6" x14ac:dyDescent="0.25">
      <c r="B307" s="215" t="s">
        <v>107</v>
      </c>
      <c r="C307" s="212" t="s">
        <v>326</v>
      </c>
      <c r="D307" s="213">
        <v>0.8</v>
      </c>
      <c r="E307" s="214">
        <v>167525</v>
      </c>
      <c r="F307" s="216">
        <f t="shared" si="25"/>
        <v>134020</v>
      </c>
    </row>
    <row r="308" spans="1:6" x14ac:dyDescent="0.25">
      <c r="B308" s="211" t="s">
        <v>327</v>
      </c>
      <c r="C308" s="212"/>
      <c r="D308" s="213"/>
      <c r="E308" s="214"/>
      <c r="F308" s="216">
        <f t="shared" si="25"/>
        <v>0</v>
      </c>
    </row>
    <row r="309" spans="1:6" x14ac:dyDescent="0.25">
      <c r="B309" s="215" t="s">
        <v>328</v>
      </c>
      <c r="C309" s="212" t="s">
        <v>189</v>
      </c>
      <c r="D309" s="213">
        <v>0.05</v>
      </c>
      <c r="E309" s="214">
        <f>+F307</f>
        <v>134020</v>
      </c>
      <c r="F309" s="216">
        <f>ROUND(E309*D309,0)</f>
        <v>6701</v>
      </c>
    </row>
    <row r="310" spans="1:6" x14ac:dyDescent="0.25">
      <c r="B310" s="215" t="s">
        <v>329</v>
      </c>
      <c r="C310" s="212"/>
      <c r="D310" s="257"/>
      <c r="E310" s="214"/>
      <c r="F310" s="216">
        <f>ROUND(SUM(F302:F309),0)</f>
        <v>347421</v>
      </c>
    </row>
    <row r="313" spans="1:6" ht="24" x14ac:dyDescent="0.25">
      <c r="A313" s="245">
        <v>12.26</v>
      </c>
      <c r="B313" s="246" t="s">
        <v>678</v>
      </c>
      <c r="C313" s="252" t="s">
        <v>313</v>
      </c>
      <c r="D313" s="253" t="s">
        <v>8</v>
      </c>
      <c r="E313" s="254"/>
      <c r="F313" s="255"/>
    </row>
    <row r="314" spans="1:6" x14ac:dyDescent="0.25">
      <c r="B314" s="211" t="s">
        <v>162</v>
      </c>
      <c r="C314" s="212" t="s">
        <v>314</v>
      </c>
      <c r="D314" s="213" t="s">
        <v>315</v>
      </c>
      <c r="E314" s="214" t="s">
        <v>316</v>
      </c>
      <c r="F314" s="214" t="s">
        <v>317</v>
      </c>
    </row>
    <row r="315" spans="1:6" s="256" customFormat="1" x14ac:dyDescent="0.25">
      <c r="A315" s="220"/>
      <c r="B315" s="258" t="s">
        <v>350</v>
      </c>
      <c r="C315" s="212" t="s">
        <v>15</v>
      </c>
      <c r="D315" s="213">
        <v>1</v>
      </c>
      <c r="E315" s="219">
        <v>79100</v>
      </c>
      <c r="F315" s="216">
        <f>ROUND(E315*D315,0)</f>
        <v>79100</v>
      </c>
    </row>
    <row r="316" spans="1:6" x14ac:dyDescent="0.25">
      <c r="B316" s="258" t="s">
        <v>226</v>
      </c>
      <c r="C316" s="212" t="s">
        <v>8</v>
      </c>
      <c r="D316" s="213">
        <v>3</v>
      </c>
      <c r="E316" s="219">
        <v>3150</v>
      </c>
      <c r="F316" s="216">
        <f>ROUND(E316*D316,0)</f>
        <v>9450</v>
      </c>
    </row>
    <row r="317" spans="1:6" x14ac:dyDescent="0.25">
      <c r="B317" s="258" t="s">
        <v>349</v>
      </c>
      <c r="C317" s="212" t="s">
        <v>15</v>
      </c>
      <c r="D317" s="213">
        <v>3</v>
      </c>
      <c r="E317" s="219">
        <v>750</v>
      </c>
      <c r="F317" s="216">
        <f>ROUND(E317*D317,0)</f>
        <v>2250</v>
      </c>
    </row>
    <row r="318" spans="1:6" x14ac:dyDescent="0.25">
      <c r="B318" s="211" t="s">
        <v>147</v>
      </c>
      <c r="C318" s="212"/>
      <c r="D318" s="218"/>
      <c r="E318" s="214"/>
      <c r="F318" s="216">
        <f t="shared" ref="F318:F320" si="26">ROUND(E318*D318,0)</f>
        <v>0</v>
      </c>
    </row>
    <row r="319" spans="1:6" x14ac:dyDescent="0.25">
      <c r="B319" s="215" t="s">
        <v>107</v>
      </c>
      <c r="C319" s="212" t="s">
        <v>326</v>
      </c>
      <c r="D319" s="213">
        <v>0.5</v>
      </c>
      <c r="E319" s="214">
        <v>167525</v>
      </c>
      <c r="F319" s="216">
        <f t="shared" si="26"/>
        <v>83763</v>
      </c>
    </row>
    <row r="320" spans="1:6" x14ac:dyDescent="0.25">
      <c r="B320" s="211" t="s">
        <v>327</v>
      </c>
      <c r="C320" s="212"/>
      <c r="D320" s="213"/>
      <c r="E320" s="214"/>
      <c r="F320" s="216">
        <f t="shared" si="26"/>
        <v>0</v>
      </c>
    </row>
    <row r="321" spans="1:6" x14ac:dyDescent="0.25">
      <c r="B321" s="215" t="s">
        <v>328</v>
      </c>
      <c r="C321" s="212" t="s">
        <v>189</v>
      </c>
      <c r="D321" s="213">
        <v>0.05</v>
      </c>
      <c r="E321" s="214">
        <f>+F319</f>
        <v>83763</v>
      </c>
      <c r="F321" s="216">
        <f>ROUND(E321*D321,0)</f>
        <v>4188</v>
      </c>
    </row>
    <row r="322" spans="1:6" x14ac:dyDescent="0.25">
      <c r="B322" s="215" t="s">
        <v>329</v>
      </c>
      <c r="C322" s="212"/>
      <c r="D322" s="257"/>
      <c r="E322" s="214"/>
      <c r="F322" s="216">
        <f>ROUND(SUM(F314:F321),0)</f>
        <v>178751</v>
      </c>
    </row>
    <row r="325" spans="1:6" ht="60" x14ac:dyDescent="0.25">
      <c r="A325" s="245">
        <v>12.27</v>
      </c>
      <c r="B325" s="246" t="s">
        <v>680</v>
      </c>
      <c r="C325" s="252" t="s">
        <v>313</v>
      </c>
      <c r="D325" s="253" t="s">
        <v>195</v>
      </c>
      <c r="E325" s="254"/>
      <c r="F325" s="255"/>
    </row>
    <row r="326" spans="1:6" x14ac:dyDescent="0.25">
      <c r="B326" s="211" t="s">
        <v>162</v>
      </c>
      <c r="C326" s="212" t="s">
        <v>314</v>
      </c>
      <c r="D326" s="213" t="s">
        <v>315</v>
      </c>
      <c r="E326" s="214" t="s">
        <v>316</v>
      </c>
      <c r="F326" s="214" t="s">
        <v>317</v>
      </c>
    </row>
    <row r="327" spans="1:6" s="256" customFormat="1" ht="66" x14ac:dyDescent="0.25">
      <c r="A327" s="220"/>
      <c r="B327" s="258" t="s">
        <v>754</v>
      </c>
      <c r="C327" s="212" t="s">
        <v>15</v>
      </c>
      <c r="D327" s="213">
        <v>1</v>
      </c>
      <c r="E327" s="219">
        <f>80000000+5054592</f>
        <v>85054592</v>
      </c>
      <c r="F327" s="216">
        <f>ROUND(E327*D327,0)</f>
        <v>85054592</v>
      </c>
    </row>
    <row r="328" spans="1:6" x14ac:dyDescent="0.25">
      <c r="B328" s="258" t="s">
        <v>755</v>
      </c>
      <c r="C328" s="212" t="s">
        <v>8</v>
      </c>
      <c r="D328" s="213">
        <v>3</v>
      </c>
      <c r="E328" s="219">
        <v>365000</v>
      </c>
      <c r="F328" s="216">
        <f>ROUND(E328*D328,0)</f>
        <v>1095000</v>
      </c>
    </row>
    <row r="329" spans="1:6" x14ac:dyDescent="0.25">
      <c r="B329" s="211" t="s">
        <v>147</v>
      </c>
      <c r="C329" s="212"/>
      <c r="D329" s="218"/>
      <c r="E329" s="214"/>
      <c r="F329" s="216">
        <f t="shared" ref="F329:F331" si="27">ROUND(E329*D329,0)</f>
        <v>0</v>
      </c>
    </row>
    <row r="330" spans="1:6" x14ac:dyDescent="0.25">
      <c r="B330" s="215" t="s">
        <v>107</v>
      </c>
      <c r="C330" s="212" t="s">
        <v>326</v>
      </c>
      <c r="D330" s="213">
        <v>6</v>
      </c>
      <c r="E330" s="214">
        <v>167525</v>
      </c>
      <c r="F330" s="216">
        <f t="shared" si="27"/>
        <v>1005150</v>
      </c>
    </row>
    <row r="331" spans="1:6" x14ac:dyDescent="0.25">
      <c r="B331" s="211" t="s">
        <v>327</v>
      </c>
      <c r="C331" s="212"/>
      <c r="D331" s="213"/>
      <c r="E331" s="214"/>
      <c r="F331" s="216">
        <f t="shared" si="27"/>
        <v>0</v>
      </c>
    </row>
    <row r="332" spans="1:6" x14ac:dyDescent="0.25">
      <c r="B332" s="215" t="s">
        <v>328</v>
      </c>
      <c r="C332" s="212" t="s">
        <v>189</v>
      </c>
      <c r="D332" s="213">
        <v>0.05</v>
      </c>
      <c r="E332" s="214">
        <f>+F330</f>
        <v>1005150</v>
      </c>
      <c r="F332" s="216">
        <f>ROUND(E332*D332,0)</f>
        <v>50258</v>
      </c>
    </row>
    <row r="333" spans="1:6" x14ac:dyDescent="0.25">
      <c r="B333" s="215" t="s">
        <v>756</v>
      </c>
      <c r="C333" s="212" t="s">
        <v>757</v>
      </c>
      <c r="D333" s="213">
        <v>3</v>
      </c>
      <c r="E333" s="214">
        <v>265000</v>
      </c>
      <c r="F333" s="216">
        <f>ROUND(E333*D333,0)</f>
        <v>795000</v>
      </c>
    </row>
    <row r="334" spans="1:6" x14ac:dyDescent="0.25">
      <c r="B334" s="215" t="s">
        <v>329</v>
      </c>
      <c r="C334" s="212"/>
      <c r="D334" s="257"/>
      <c r="E334" s="214"/>
      <c r="F334" s="216">
        <f>ROUND(SUM(F326:F333),0)</f>
        <v>88000000</v>
      </c>
    </row>
    <row r="335" spans="1:6" x14ac:dyDescent="0.25">
      <c r="F335" s="259"/>
    </row>
    <row r="337" spans="1:6" ht="24" x14ac:dyDescent="0.25">
      <c r="A337" s="245">
        <v>12.28</v>
      </c>
      <c r="B337" s="246" t="s">
        <v>682</v>
      </c>
      <c r="C337" s="252" t="s">
        <v>313</v>
      </c>
      <c r="D337" s="253" t="s">
        <v>195</v>
      </c>
      <c r="E337" s="254"/>
      <c r="F337" s="255"/>
    </row>
    <row r="338" spans="1:6" x14ac:dyDescent="0.25">
      <c r="B338" s="211" t="s">
        <v>162</v>
      </c>
      <c r="C338" s="212" t="s">
        <v>314</v>
      </c>
      <c r="D338" s="213" t="s">
        <v>315</v>
      </c>
      <c r="E338" s="214" t="s">
        <v>316</v>
      </c>
      <c r="F338" s="214" t="s">
        <v>317</v>
      </c>
    </row>
    <row r="339" spans="1:6" ht="26.4" x14ac:dyDescent="0.25">
      <c r="B339" s="258" t="s">
        <v>758</v>
      </c>
      <c r="C339" s="212" t="s">
        <v>15</v>
      </c>
      <c r="D339" s="213">
        <v>1</v>
      </c>
      <c r="E339" s="219">
        <f>8000000-69503</f>
        <v>7930497</v>
      </c>
      <c r="F339" s="216">
        <f>ROUND(E339*D339,0)</f>
        <v>7930497</v>
      </c>
    </row>
    <row r="340" spans="1:6" x14ac:dyDescent="0.25">
      <c r="B340" s="258" t="s">
        <v>759</v>
      </c>
      <c r="C340" s="212" t="s">
        <v>8</v>
      </c>
      <c r="D340" s="213">
        <v>3</v>
      </c>
      <c r="E340" s="219">
        <f>5300*3</f>
        <v>15900</v>
      </c>
      <c r="F340" s="216">
        <f>ROUND(E340*D340,0)</f>
        <v>47700</v>
      </c>
    </row>
    <row r="341" spans="1:6" x14ac:dyDescent="0.25">
      <c r="B341" s="211" t="s">
        <v>147</v>
      </c>
      <c r="C341" s="212"/>
      <c r="D341" s="218"/>
      <c r="E341" s="214"/>
      <c r="F341" s="216">
        <f t="shared" ref="F341:F343" si="28">ROUND(E341*D341,0)</f>
        <v>0</v>
      </c>
    </row>
    <row r="342" spans="1:6" x14ac:dyDescent="0.25">
      <c r="B342" s="215" t="s">
        <v>107</v>
      </c>
      <c r="C342" s="212" t="s">
        <v>326</v>
      </c>
      <c r="D342" s="213">
        <v>2</v>
      </c>
      <c r="E342" s="214">
        <v>167525</v>
      </c>
      <c r="F342" s="216">
        <f t="shared" si="28"/>
        <v>335050</v>
      </c>
    </row>
    <row r="343" spans="1:6" x14ac:dyDescent="0.25">
      <c r="B343" s="211" t="s">
        <v>327</v>
      </c>
      <c r="C343" s="212"/>
      <c r="D343" s="213"/>
      <c r="E343" s="214"/>
      <c r="F343" s="216">
        <f t="shared" si="28"/>
        <v>0</v>
      </c>
    </row>
    <row r="344" spans="1:6" x14ac:dyDescent="0.25">
      <c r="B344" s="215" t="s">
        <v>328</v>
      </c>
      <c r="C344" s="212" t="s">
        <v>189</v>
      </c>
      <c r="D344" s="213">
        <v>0.05</v>
      </c>
      <c r="E344" s="214">
        <f>+F342</f>
        <v>335050</v>
      </c>
      <c r="F344" s="216">
        <f>ROUND(E344*D344,0)</f>
        <v>16753</v>
      </c>
    </row>
    <row r="345" spans="1:6" x14ac:dyDescent="0.25">
      <c r="B345" s="215" t="s">
        <v>329</v>
      </c>
      <c r="C345" s="212"/>
      <c r="D345" s="257"/>
      <c r="E345" s="214"/>
      <c r="F345" s="216">
        <f>ROUND(SUM(F338:F344),0)</f>
        <v>8330000</v>
      </c>
    </row>
    <row r="346" spans="1:6" x14ac:dyDescent="0.25">
      <c r="F346" s="259"/>
    </row>
    <row r="348" spans="1:6" ht="36" x14ac:dyDescent="0.25">
      <c r="A348" s="245">
        <v>12.29</v>
      </c>
      <c r="B348" s="246" t="s">
        <v>760</v>
      </c>
      <c r="C348" s="252" t="s">
        <v>313</v>
      </c>
      <c r="D348" s="253" t="s">
        <v>195</v>
      </c>
      <c r="E348" s="254"/>
      <c r="F348" s="255"/>
    </row>
    <row r="349" spans="1:6" x14ac:dyDescent="0.25">
      <c r="B349" s="211" t="s">
        <v>162</v>
      </c>
      <c r="C349" s="212" t="s">
        <v>314</v>
      </c>
      <c r="D349" s="213" t="s">
        <v>315</v>
      </c>
      <c r="E349" s="214" t="s">
        <v>316</v>
      </c>
      <c r="F349" s="214" t="s">
        <v>317</v>
      </c>
    </row>
    <row r="350" spans="1:6" ht="39.6" x14ac:dyDescent="0.25">
      <c r="B350" s="258" t="s">
        <v>761</v>
      </c>
      <c r="C350" s="212" t="s">
        <v>15</v>
      </c>
      <c r="D350" s="213">
        <v>1</v>
      </c>
      <c r="E350" s="219">
        <f>6000000-69503</f>
        <v>5930497</v>
      </c>
      <c r="F350" s="216">
        <f>ROUND(E350*D350,0)</f>
        <v>5930497</v>
      </c>
    </row>
    <row r="351" spans="1:6" x14ac:dyDescent="0.25">
      <c r="B351" s="258" t="s">
        <v>762</v>
      </c>
      <c r="C351" s="212" t="s">
        <v>15</v>
      </c>
      <c r="D351" s="213">
        <v>1</v>
      </c>
      <c r="E351" s="219">
        <f>15300*3</f>
        <v>45900</v>
      </c>
      <c r="F351" s="216">
        <f>ROUND(E351*D351,0)</f>
        <v>45900</v>
      </c>
    </row>
    <row r="352" spans="1:6" x14ac:dyDescent="0.25">
      <c r="B352" s="211" t="s">
        <v>147</v>
      </c>
      <c r="C352" s="212"/>
      <c r="D352" s="218"/>
      <c r="E352" s="214"/>
      <c r="F352" s="216">
        <f t="shared" ref="F352:F354" si="29">ROUND(E352*D352,0)</f>
        <v>0</v>
      </c>
    </row>
    <row r="353" spans="1:6" x14ac:dyDescent="0.25">
      <c r="B353" s="215" t="s">
        <v>107</v>
      </c>
      <c r="C353" s="212" t="s">
        <v>326</v>
      </c>
      <c r="D353" s="213">
        <v>2</v>
      </c>
      <c r="E353" s="214">
        <v>167525</v>
      </c>
      <c r="F353" s="216">
        <f t="shared" si="29"/>
        <v>335050</v>
      </c>
    </row>
    <row r="354" spans="1:6" x14ac:dyDescent="0.25">
      <c r="B354" s="211" t="s">
        <v>327</v>
      </c>
      <c r="C354" s="212"/>
      <c r="D354" s="213"/>
      <c r="E354" s="214"/>
      <c r="F354" s="216">
        <f t="shared" si="29"/>
        <v>0</v>
      </c>
    </row>
    <row r="355" spans="1:6" x14ac:dyDescent="0.25">
      <c r="B355" s="215" t="s">
        <v>328</v>
      </c>
      <c r="C355" s="212" t="s">
        <v>189</v>
      </c>
      <c r="D355" s="213">
        <v>0.05</v>
      </c>
      <c r="E355" s="214">
        <f>+F353</f>
        <v>335050</v>
      </c>
      <c r="F355" s="216">
        <f>ROUND(E355*D355,0)</f>
        <v>16753</v>
      </c>
    </row>
    <row r="356" spans="1:6" x14ac:dyDescent="0.25">
      <c r="B356" s="215" t="s">
        <v>329</v>
      </c>
      <c r="C356" s="212"/>
      <c r="D356" s="257"/>
      <c r="E356" s="214"/>
      <c r="F356" s="216">
        <f>ROUND(SUM(F349:F355),0)</f>
        <v>6328200</v>
      </c>
    </row>
    <row r="357" spans="1:6" x14ac:dyDescent="0.25">
      <c r="F357" s="259"/>
    </row>
    <row r="359" spans="1:6" ht="24" x14ac:dyDescent="0.25">
      <c r="A359" s="247">
        <v>12.3</v>
      </c>
      <c r="B359" s="246" t="s">
        <v>687</v>
      </c>
      <c r="C359" s="252" t="s">
        <v>313</v>
      </c>
      <c r="D359" s="253" t="s">
        <v>195</v>
      </c>
      <c r="E359" s="254"/>
      <c r="F359" s="255"/>
    </row>
    <row r="360" spans="1:6" x14ac:dyDescent="0.25">
      <c r="B360" s="211" t="s">
        <v>162</v>
      </c>
      <c r="C360" s="212" t="s">
        <v>314</v>
      </c>
      <c r="D360" s="213" t="s">
        <v>315</v>
      </c>
      <c r="E360" s="214" t="s">
        <v>316</v>
      </c>
      <c r="F360" s="214" t="s">
        <v>317</v>
      </c>
    </row>
    <row r="361" spans="1:6" ht="26.4" x14ac:dyDescent="0.25">
      <c r="B361" s="258" t="s">
        <v>763</v>
      </c>
      <c r="C361" s="212" t="s">
        <v>15</v>
      </c>
      <c r="D361" s="213">
        <v>1</v>
      </c>
      <c r="E361" s="219">
        <f>2000000*1.2</f>
        <v>2400000</v>
      </c>
      <c r="F361" s="216">
        <f>ROUND(E361*D361,0)</f>
        <v>2400000</v>
      </c>
    </row>
    <row r="362" spans="1:6" x14ac:dyDescent="0.25">
      <c r="B362" s="258" t="s">
        <v>764</v>
      </c>
      <c r="C362" s="212" t="s">
        <v>15</v>
      </c>
      <c r="D362" s="213">
        <v>1</v>
      </c>
      <c r="E362" s="219">
        <f>15300*3</f>
        <v>45900</v>
      </c>
      <c r="F362" s="216">
        <f>ROUND(E362*D362,0)</f>
        <v>45900</v>
      </c>
    </row>
    <row r="363" spans="1:6" x14ac:dyDescent="0.25">
      <c r="B363" s="211" t="s">
        <v>147</v>
      </c>
      <c r="C363" s="212"/>
      <c r="D363" s="218"/>
      <c r="E363" s="214"/>
      <c r="F363" s="216">
        <f t="shared" ref="F363:F365" si="30">ROUND(E363*D363,0)</f>
        <v>0</v>
      </c>
    </row>
    <row r="364" spans="1:6" x14ac:dyDescent="0.25">
      <c r="B364" s="215" t="s">
        <v>107</v>
      </c>
      <c r="C364" s="212" t="s">
        <v>326</v>
      </c>
      <c r="D364" s="213">
        <v>1.5</v>
      </c>
      <c r="E364" s="214">
        <v>167525</v>
      </c>
      <c r="F364" s="216">
        <f t="shared" si="30"/>
        <v>251288</v>
      </c>
    </row>
    <row r="365" spans="1:6" x14ac:dyDescent="0.25">
      <c r="B365" s="211" t="s">
        <v>327</v>
      </c>
      <c r="C365" s="212"/>
      <c r="D365" s="213"/>
      <c r="E365" s="214"/>
      <c r="F365" s="216">
        <f t="shared" si="30"/>
        <v>0</v>
      </c>
    </row>
    <row r="366" spans="1:6" x14ac:dyDescent="0.25">
      <c r="B366" s="215" t="s">
        <v>328</v>
      </c>
      <c r="C366" s="212" t="s">
        <v>189</v>
      </c>
      <c r="D366" s="213">
        <v>0.05</v>
      </c>
      <c r="E366" s="214">
        <f>+F364</f>
        <v>251288</v>
      </c>
      <c r="F366" s="216">
        <f>ROUND(E366*D366,0)</f>
        <v>12564</v>
      </c>
    </row>
    <row r="367" spans="1:6" x14ac:dyDescent="0.25">
      <c r="B367" s="215" t="s">
        <v>329</v>
      </c>
      <c r="C367" s="212"/>
      <c r="D367" s="257"/>
      <c r="E367" s="214"/>
      <c r="F367" s="216">
        <f>ROUND(SUM(F360:F366),0)</f>
        <v>2709752</v>
      </c>
    </row>
    <row r="368" spans="1:6" x14ac:dyDescent="0.25">
      <c r="F368" s="259"/>
    </row>
    <row r="370" spans="1:6" ht="36" x14ac:dyDescent="0.25">
      <c r="A370" s="247">
        <v>12.31</v>
      </c>
      <c r="B370" s="246" t="s">
        <v>765</v>
      </c>
      <c r="C370" s="252" t="s">
        <v>313</v>
      </c>
      <c r="D370" s="253" t="s">
        <v>195</v>
      </c>
      <c r="E370" s="254"/>
      <c r="F370" s="255"/>
    </row>
    <row r="371" spans="1:6" x14ac:dyDescent="0.25">
      <c r="B371" s="211" t="s">
        <v>162</v>
      </c>
      <c r="C371" s="212" t="s">
        <v>314</v>
      </c>
      <c r="D371" s="213" t="s">
        <v>315</v>
      </c>
      <c r="E371" s="214" t="s">
        <v>316</v>
      </c>
      <c r="F371" s="214" t="s">
        <v>317</v>
      </c>
    </row>
    <row r="372" spans="1:6" x14ac:dyDescent="0.25">
      <c r="B372" s="258" t="s">
        <v>766</v>
      </c>
      <c r="C372" s="212" t="s">
        <v>15</v>
      </c>
      <c r="D372" s="213">
        <v>1</v>
      </c>
      <c r="E372" s="219">
        <v>65000</v>
      </c>
      <c r="F372" s="216">
        <f>ROUND(E372*D372,0)</f>
        <v>65000</v>
      </c>
    </row>
    <row r="373" spans="1:6" x14ac:dyDescent="0.25">
      <c r="B373" s="258" t="s">
        <v>767</v>
      </c>
      <c r="C373" s="212" t="s">
        <v>15</v>
      </c>
      <c r="D373" s="213">
        <v>4</v>
      </c>
      <c r="E373" s="219">
        <v>15000</v>
      </c>
      <c r="F373" s="216">
        <f>ROUND(E373*D373,0)</f>
        <v>60000</v>
      </c>
    </row>
    <row r="374" spans="1:6" x14ac:dyDescent="0.25">
      <c r="B374" s="211" t="s">
        <v>147</v>
      </c>
      <c r="C374" s="212"/>
      <c r="D374" s="218"/>
      <c r="E374" s="214"/>
      <c r="F374" s="216">
        <f t="shared" ref="F374:F376" si="31">ROUND(E374*D374,0)</f>
        <v>0</v>
      </c>
    </row>
    <row r="375" spans="1:6" x14ac:dyDescent="0.25">
      <c r="B375" s="215" t="s">
        <v>107</v>
      </c>
      <c r="C375" s="212" t="s">
        <v>326</v>
      </c>
      <c r="D375" s="213">
        <v>0.5</v>
      </c>
      <c r="E375" s="214">
        <v>167525</v>
      </c>
      <c r="F375" s="216">
        <f t="shared" si="31"/>
        <v>83763</v>
      </c>
    </row>
    <row r="376" spans="1:6" x14ac:dyDescent="0.25">
      <c r="B376" s="211" t="s">
        <v>327</v>
      </c>
      <c r="C376" s="212"/>
      <c r="D376" s="213"/>
      <c r="E376" s="214"/>
      <c r="F376" s="216">
        <f t="shared" si="31"/>
        <v>0</v>
      </c>
    </row>
    <row r="377" spans="1:6" x14ac:dyDescent="0.25">
      <c r="B377" s="215" t="s">
        <v>328</v>
      </c>
      <c r="C377" s="212" t="s">
        <v>189</v>
      </c>
      <c r="D377" s="213">
        <v>0.05</v>
      </c>
      <c r="E377" s="214">
        <f>+F375</f>
        <v>83763</v>
      </c>
      <c r="F377" s="216">
        <f>ROUND(E377*D377,0)</f>
        <v>4188</v>
      </c>
    </row>
    <row r="378" spans="1:6" x14ac:dyDescent="0.25">
      <c r="B378" s="215" t="s">
        <v>329</v>
      </c>
      <c r="C378" s="212"/>
      <c r="D378" s="257"/>
      <c r="E378" s="214"/>
      <c r="F378" s="216">
        <f>ROUND(SUM(F371:F377),0)</f>
        <v>212951</v>
      </c>
    </row>
    <row r="379" spans="1:6" x14ac:dyDescent="0.25">
      <c r="F379" s="259"/>
    </row>
    <row r="381" spans="1:6" ht="24" x14ac:dyDescent="0.25">
      <c r="A381" s="247">
        <v>12.32</v>
      </c>
      <c r="B381" s="246" t="s">
        <v>768</v>
      </c>
      <c r="C381" s="252" t="s">
        <v>313</v>
      </c>
      <c r="D381" s="253" t="s">
        <v>195</v>
      </c>
      <c r="E381" s="254"/>
      <c r="F381" s="255"/>
    </row>
    <row r="382" spans="1:6" x14ac:dyDescent="0.25">
      <c r="B382" s="211" t="s">
        <v>162</v>
      </c>
      <c r="C382" s="212" t="s">
        <v>314</v>
      </c>
      <c r="D382" s="213" t="s">
        <v>315</v>
      </c>
      <c r="E382" s="214" t="s">
        <v>316</v>
      </c>
      <c r="F382" s="214" t="s">
        <v>317</v>
      </c>
    </row>
    <row r="383" spans="1:6" ht="26.4" x14ac:dyDescent="0.25">
      <c r="B383" s="258" t="s">
        <v>769</v>
      </c>
      <c r="C383" s="212" t="s">
        <v>15</v>
      </c>
      <c r="D383" s="213">
        <v>1</v>
      </c>
      <c r="E383" s="219">
        <f>9000000*1.2</f>
        <v>10800000</v>
      </c>
      <c r="F383" s="216">
        <f>ROUND(E383*D383,0)</f>
        <v>10800000</v>
      </c>
    </row>
    <row r="384" spans="1:6" x14ac:dyDescent="0.25">
      <c r="B384" s="258" t="s">
        <v>770</v>
      </c>
      <c r="C384" s="212" t="s">
        <v>15</v>
      </c>
      <c r="D384" s="213">
        <v>1</v>
      </c>
      <c r="E384" s="219">
        <v>150000</v>
      </c>
      <c r="F384" s="216">
        <f>ROUND(E384*D384,0)</f>
        <v>150000</v>
      </c>
    </row>
    <row r="385" spans="1:6" x14ac:dyDescent="0.25">
      <c r="B385" s="211" t="s">
        <v>147</v>
      </c>
      <c r="C385" s="212"/>
      <c r="D385" s="218"/>
      <c r="E385" s="214"/>
      <c r="F385" s="216">
        <f t="shared" ref="F385:F387" si="32">ROUND(E385*D385,0)</f>
        <v>0</v>
      </c>
    </row>
    <row r="386" spans="1:6" x14ac:dyDescent="0.25">
      <c r="B386" s="215" t="s">
        <v>107</v>
      </c>
      <c r="C386" s="212" t="s">
        <v>326</v>
      </c>
      <c r="D386" s="213">
        <v>2</v>
      </c>
      <c r="E386" s="214">
        <v>167525</v>
      </c>
      <c r="F386" s="216">
        <f t="shared" si="32"/>
        <v>335050</v>
      </c>
    </row>
    <row r="387" spans="1:6" x14ac:dyDescent="0.25">
      <c r="B387" s="211" t="s">
        <v>327</v>
      </c>
      <c r="C387" s="212"/>
      <c r="D387" s="213"/>
      <c r="E387" s="214"/>
      <c r="F387" s="216">
        <f t="shared" si="32"/>
        <v>0</v>
      </c>
    </row>
    <row r="388" spans="1:6" x14ac:dyDescent="0.25">
      <c r="B388" s="215" t="s">
        <v>328</v>
      </c>
      <c r="C388" s="212" t="s">
        <v>189</v>
      </c>
      <c r="D388" s="213">
        <v>0.05</v>
      </c>
      <c r="E388" s="214">
        <f>+F386</f>
        <v>335050</v>
      </c>
      <c r="F388" s="216">
        <f>ROUND(E388*D388,0)</f>
        <v>16753</v>
      </c>
    </row>
    <row r="389" spans="1:6" x14ac:dyDescent="0.25">
      <c r="B389" s="215" t="s">
        <v>329</v>
      </c>
      <c r="C389" s="212"/>
      <c r="D389" s="257"/>
      <c r="E389" s="214"/>
      <c r="F389" s="216">
        <f>ROUND(SUM(F382:F388),0)</f>
        <v>11301803</v>
      </c>
    </row>
    <row r="390" spans="1:6" x14ac:dyDescent="0.25">
      <c r="F390" s="259"/>
    </row>
    <row r="392" spans="1:6" ht="36" x14ac:dyDescent="0.25">
      <c r="A392" s="247">
        <v>12.33</v>
      </c>
      <c r="B392" s="246" t="s">
        <v>771</v>
      </c>
      <c r="C392" s="252" t="s">
        <v>313</v>
      </c>
      <c r="D392" s="253" t="s">
        <v>195</v>
      </c>
      <c r="E392" s="254"/>
      <c r="F392" s="255"/>
    </row>
    <row r="393" spans="1:6" x14ac:dyDescent="0.25">
      <c r="B393" s="211" t="s">
        <v>162</v>
      </c>
      <c r="C393" s="212" t="s">
        <v>314</v>
      </c>
      <c r="D393" s="213" t="s">
        <v>315</v>
      </c>
      <c r="E393" s="214" t="s">
        <v>316</v>
      </c>
      <c r="F393" s="214" t="s">
        <v>317</v>
      </c>
    </row>
    <row r="394" spans="1:6" ht="26.4" x14ac:dyDescent="0.25">
      <c r="B394" s="258" t="s">
        <v>772</v>
      </c>
      <c r="C394" s="212" t="s">
        <v>15</v>
      </c>
      <c r="D394" s="213">
        <v>1</v>
      </c>
      <c r="E394" s="219">
        <f>2500000*1.2</f>
        <v>3000000</v>
      </c>
      <c r="F394" s="216">
        <f>ROUND(E394*D394,0)</f>
        <v>3000000</v>
      </c>
    </row>
    <row r="395" spans="1:6" x14ac:dyDescent="0.25">
      <c r="B395" s="258" t="s">
        <v>773</v>
      </c>
      <c r="C395" s="212" t="s">
        <v>15</v>
      </c>
      <c r="D395" s="213">
        <v>1</v>
      </c>
      <c r="E395" s="219">
        <v>75000</v>
      </c>
      <c r="F395" s="216">
        <f>ROUND(E395*D395,0)</f>
        <v>75000</v>
      </c>
    </row>
    <row r="396" spans="1:6" x14ac:dyDescent="0.25">
      <c r="B396" s="211" t="s">
        <v>147</v>
      </c>
      <c r="C396" s="212"/>
      <c r="D396" s="218"/>
      <c r="E396" s="214"/>
      <c r="F396" s="216">
        <f t="shared" ref="F396:F398" si="33">ROUND(E396*D396,0)</f>
        <v>0</v>
      </c>
    </row>
    <row r="397" spans="1:6" x14ac:dyDescent="0.25">
      <c r="B397" s="215" t="s">
        <v>107</v>
      </c>
      <c r="C397" s="212" t="s">
        <v>326</v>
      </c>
      <c r="D397" s="213">
        <v>1.5</v>
      </c>
      <c r="E397" s="214">
        <v>167525</v>
      </c>
      <c r="F397" s="216">
        <f t="shared" si="33"/>
        <v>251288</v>
      </c>
    </row>
    <row r="398" spans="1:6" x14ac:dyDescent="0.25">
      <c r="B398" s="211" t="s">
        <v>327</v>
      </c>
      <c r="C398" s="212"/>
      <c r="D398" s="213"/>
      <c r="E398" s="214"/>
      <c r="F398" s="216">
        <f t="shared" si="33"/>
        <v>0</v>
      </c>
    </row>
    <row r="399" spans="1:6" x14ac:dyDescent="0.25">
      <c r="B399" s="215" t="s">
        <v>328</v>
      </c>
      <c r="C399" s="212" t="s">
        <v>189</v>
      </c>
      <c r="D399" s="213">
        <v>0.05</v>
      </c>
      <c r="E399" s="214">
        <f>+F397</f>
        <v>251288</v>
      </c>
      <c r="F399" s="216">
        <f>ROUND(E399*D399,0)</f>
        <v>12564</v>
      </c>
    </row>
    <row r="400" spans="1:6" x14ac:dyDescent="0.25">
      <c r="B400" s="215" t="s">
        <v>329</v>
      </c>
      <c r="C400" s="212"/>
      <c r="D400" s="257"/>
      <c r="E400" s="214"/>
      <c r="F400" s="216">
        <f>ROUND(SUM(F393:F399),0)</f>
        <v>3338852</v>
      </c>
    </row>
    <row r="401" spans="1:6" x14ac:dyDescent="0.25">
      <c r="F401" s="259"/>
    </row>
    <row r="403" spans="1:6" ht="36" x14ac:dyDescent="0.25">
      <c r="A403" s="247">
        <v>12.34</v>
      </c>
      <c r="B403" s="246" t="s">
        <v>774</v>
      </c>
      <c r="C403" s="252" t="s">
        <v>313</v>
      </c>
      <c r="D403" s="253" t="s">
        <v>195</v>
      </c>
      <c r="E403" s="254"/>
      <c r="F403" s="255"/>
    </row>
    <row r="404" spans="1:6" x14ac:dyDescent="0.25">
      <c r="B404" s="211" t="s">
        <v>162</v>
      </c>
      <c r="C404" s="212" t="s">
        <v>314</v>
      </c>
      <c r="D404" s="213" t="s">
        <v>315</v>
      </c>
      <c r="E404" s="214" t="s">
        <v>316</v>
      </c>
      <c r="F404" s="214" t="s">
        <v>317</v>
      </c>
    </row>
    <row r="405" spans="1:6" ht="39.6" x14ac:dyDescent="0.25">
      <c r="B405" s="258" t="s">
        <v>775</v>
      </c>
      <c r="C405" s="212" t="s">
        <v>15</v>
      </c>
      <c r="D405" s="213">
        <v>1</v>
      </c>
      <c r="E405" s="219">
        <f>5500000*1.2</f>
        <v>6600000</v>
      </c>
      <c r="F405" s="216">
        <f>ROUND(E405*D405,0)</f>
        <v>6600000</v>
      </c>
    </row>
    <row r="406" spans="1:6" x14ac:dyDescent="0.25">
      <c r="B406" s="258" t="s">
        <v>773</v>
      </c>
      <c r="C406" s="212" t="s">
        <v>15</v>
      </c>
      <c r="D406" s="213">
        <v>1</v>
      </c>
      <c r="E406" s="219">
        <v>75000</v>
      </c>
      <c r="F406" s="216">
        <f>ROUND(E406*D406,0)</f>
        <v>75000</v>
      </c>
    </row>
    <row r="407" spans="1:6" x14ac:dyDescent="0.25">
      <c r="B407" s="211" t="s">
        <v>147</v>
      </c>
      <c r="C407" s="212"/>
      <c r="D407" s="218"/>
      <c r="E407" s="214"/>
      <c r="F407" s="216">
        <f t="shared" ref="F407:F409" si="34">ROUND(E407*D407,0)</f>
        <v>0</v>
      </c>
    </row>
    <row r="408" spans="1:6" x14ac:dyDescent="0.25">
      <c r="B408" s="215" t="s">
        <v>107</v>
      </c>
      <c r="C408" s="212" t="s">
        <v>326</v>
      </c>
      <c r="D408" s="213">
        <v>3</v>
      </c>
      <c r="E408" s="214">
        <v>167525</v>
      </c>
      <c r="F408" s="216">
        <f t="shared" si="34"/>
        <v>502575</v>
      </c>
    </row>
    <row r="409" spans="1:6" x14ac:dyDescent="0.25">
      <c r="B409" s="211" t="s">
        <v>327</v>
      </c>
      <c r="C409" s="212"/>
      <c r="D409" s="213"/>
      <c r="E409" s="214"/>
      <c r="F409" s="216">
        <f t="shared" si="34"/>
        <v>0</v>
      </c>
    </row>
    <row r="410" spans="1:6" x14ac:dyDescent="0.25">
      <c r="B410" s="215" t="s">
        <v>328</v>
      </c>
      <c r="C410" s="212" t="s">
        <v>189</v>
      </c>
      <c r="D410" s="213">
        <v>0.05</v>
      </c>
      <c r="E410" s="214">
        <f>+F408</f>
        <v>502575</v>
      </c>
      <c r="F410" s="216">
        <f>ROUND(E410*D410,0)</f>
        <v>25129</v>
      </c>
    </row>
    <row r="411" spans="1:6" x14ac:dyDescent="0.25">
      <c r="B411" s="215" t="s">
        <v>329</v>
      </c>
      <c r="C411" s="212"/>
      <c r="D411" s="257"/>
      <c r="E411" s="214"/>
      <c r="F411" s="216">
        <f>ROUND(SUM(F404:F410),0)</f>
        <v>7202704</v>
      </c>
    </row>
    <row r="412" spans="1:6" x14ac:dyDescent="0.25">
      <c r="F412" s="259"/>
    </row>
    <row r="414" spans="1:6" ht="48" x14ac:dyDescent="0.25">
      <c r="A414" s="245">
        <v>12.35</v>
      </c>
      <c r="B414" s="246" t="s">
        <v>698</v>
      </c>
      <c r="C414" s="252" t="s">
        <v>313</v>
      </c>
      <c r="D414" s="253" t="s">
        <v>195</v>
      </c>
      <c r="E414" s="254"/>
      <c r="F414" s="255"/>
    </row>
    <row r="415" spans="1:6" x14ac:dyDescent="0.25">
      <c r="B415" s="211" t="s">
        <v>162</v>
      </c>
      <c r="C415" s="212" t="s">
        <v>314</v>
      </c>
      <c r="D415" s="213" t="s">
        <v>315</v>
      </c>
      <c r="E415" s="214" t="s">
        <v>316</v>
      </c>
      <c r="F415" s="214" t="s">
        <v>317</v>
      </c>
    </row>
    <row r="416" spans="1:6" x14ac:dyDescent="0.25">
      <c r="B416" s="258" t="s">
        <v>351</v>
      </c>
      <c r="C416" s="212" t="s">
        <v>15</v>
      </c>
      <c r="D416" s="213">
        <v>1</v>
      </c>
      <c r="E416" s="219">
        <v>850000</v>
      </c>
      <c r="F416" s="216">
        <f>ROUND(E416*D416,0)</f>
        <v>850000</v>
      </c>
    </row>
    <row r="417" spans="1:6" ht="26.4" x14ac:dyDescent="0.25">
      <c r="B417" s="258" t="s">
        <v>352</v>
      </c>
      <c r="C417" s="212" t="s">
        <v>8</v>
      </c>
      <c r="D417" s="213">
        <v>1</v>
      </c>
      <c r="E417" s="219">
        <f>290000*1.19+28000*1.19*24</f>
        <v>1144780</v>
      </c>
      <c r="F417" s="216">
        <f>ROUND(E417*D417,0)</f>
        <v>1144780</v>
      </c>
    </row>
    <row r="418" spans="1:6" x14ac:dyDescent="0.25">
      <c r="B418" s="258" t="s">
        <v>353</v>
      </c>
      <c r="C418" s="212" t="s">
        <v>15</v>
      </c>
      <c r="D418" s="213">
        <v>1</v>
      </c>
      <c r="E418" s="219">
        <f>4600000*1.19</f>
        <v>5474000</v>
      </c>
      <c r="F418" s="216">
        <f>ROUND(E418*D418,0)</f>
        <v>5474000</v>
      </c>
    </row>
    <row r="419" spans="1:6" x14ac:dyDescent="0.25">
      <c r="B419" s="258" t="s">
        <v>354</v>
      </c>
      <c r="C419" s="212" t="s">
        <v>15</v>
      </c>
      <c r="D419" s="213">
        <v>24</v>
      </c>
      <c r="E419" s="219">
        <f>32000*1.19</f>
        <v>38080</v>
      </c>
      <c r="F419" s="216">
        <f>ROUND(E419*D419,0)</f>
        <v>913920</v>
      </c>
    </row>
    <row r="420" spans="1:6" x14ac:dyDescent="0.25">
      <c r="B420" s="211" t="s">
        <v>147</v>
      </c>
      <c r="C420" s="212"/>
      <c r="D420" s="218"/>
      <c r="E420" s="214"/>
      <c r="F420" s="216">
        <f t="shared" ref="F420:F422" si="35">ROUND(E420*D420,0)</f>
        <v>0</v>
      </c>
    </row>
    <row r="421" spans="1:6" x14ac:dyDescent="0.25">
      <c r="B421" s="215" t="s">
        <v>107</v>
      </c>
      <c r="C421" s="212" t="s">
        <v>326</v>
      </c>
      <c r="D421" s="213">
        <v>2.5</v>
      </c>
      <c r="E421" s="214">
        <v>167525</v>
      </c>
      <c r="F421" s="216">
        <f t="shared" si="35"/>
        <v>418813</v>
      </c>
    </row>
    <row r="422" spans="1:6" x14ac:dyDescent="0.25">
      <c r="B422" s="211" t="s">
        <v>327</v>
      </c>
      <c r="C422" s="212"/>
      <c r="D422" s="213"/>
      <c r="E422" s="214"/>
      <c r="F422" s="216">
        <f t="shared" si="35"/>
        <v>0</v>
      </c>
    </row>
    <row r="423" spans="1:6" x14ac:dyDescent="0.25">
      <c r="B423" s="215" t="s">
        <v>328</v>
      </c>
      <c r="C423" s="212" t="s">
        <v>189</v>
      </c>
      <c r="D423" s="213">
        <v>0.05</v>
      </c>
      <c r="E423" s="214">
        <f>+F421</f>
        <v>418813</v>
      </c>
      <c r="F423" s="216">
        <f>ROUND(E423*D423,0)</f>
        <v>20941</v>
      </c>
    </row>
    <row r="424" spans="1:6" x14ac:dyDescent="0.25">
      <c r="B424" s="215" t="s">
        <v>329</v>
      </c>
      <c r="C424" s="212"/>
      <c r="D424" s="257"/>
      <c r="E424" s="214"/>
      <c r="F424" s="216">
        <f>ROUND(SUM(F415:F423),0)</f>
        <v>8822454</v>
      </c>
    </row>
    <row r="427" spans="1:6" x14ac:dyDescent="0.25">
      <c r="A427" s="245">
        <v>12.36</v>
      </c>
      <c r="B427" s="246" t="s">
        <v>700</v>
      </c>
      <c r="C427" s="252" t="s">
        <v>313</v>
      </c>
      <c r="D427" s="253" t="s">
        <v>8</v>
      </c>
      <c r="E427" s="254"/>
      <c r="F427" s="255"/>
    </row>
    <row r="428" spans="1:6" x14ac:dyDescent="0.25">
      <c r="B428" s="211" t="s">
        <v>162</v>
      </c>
      <c r="C428" s="212" t="s">
        <v>314</v>
      </c>
      <c r="D428" s="213" t="s">
        <v>315</v>
      </c>
      <c r="E428" s="214" t="s">
        <v>316</v>
      </c>
      <c r="F428" s="214" t="s">
        <v>317</v>
      </c>
    </row>
    <row r="429" spans="1:6" x14ac:dyDescent="0.25">
      <c r="B429" s="258" t="s">
        <v>355</v>
      </c>
      <c r="C429" s="212" t="s">
        <v>8</v>
      </c>
      <c r="D429" s="213">
        <v>1</v>
      </c>
      <c r="E429" s="219">
        <f>2900*1.19</f>
        <v>3451</v>
      </c>
      <c r="F429" s="216">
        <f>ROUND(E429*D429,0)</f>
        <v>3451</v>
      </c>
    </row>
    <row r="430" spans="1:6" x14ac:dyDescent="0.25">
      <c r="B430" s="211" t="s">
        <v>147</v>
      </c>
      <c r="C430" s="212"/>
      <c r="D430" s="218"/>
      <c r="E430" s="214"/>
      <c r="F430" s="216">
        <f t="shared" ref="F430:F432" si="36">ROUND(E430*D430,0)</f>
        <v>0</v>
      </c>
    </row>
    <row r="431" spans="1:6" x14ac:dyDescent="0.25">
      <c r="B431" s="215" t="s">
        <v>107</v>
      </c>
      <c r="C431" s="212" t="s">
        <v>326</v>
      </c>
      <c r="D431" s="213">
        <v>8.0000000000000002E-3</v>
      </c>
      <c r="E431" s="214">
        <v>167525</v>
      </c>
      <c r="F431" s="216">
        <f t="shared" si="36"/>
        <v>1340</v>
      </c>
    </row>
    <row r="432" spans="1:6" x14ac:dyDescent="0.25">
      <c r="B432" s="211" t="s">
        <v>327</v>
      </c>
      <c r="C432" s="212"/>
      <c r="D432" s="213"/>
      <c r="E432" s="214"/>
      <c r="F432" s="216">
        <f t="shared" si="36"/>
        <v>0</v>
      </c>
    </row>
    <row r="433" spans="1:6" x14ac:dyDescent="0.25">
      <c r="B433" s="215" t="s">
        <v>328</v>
      </c>
      <c r="C433" s="212" t="s">
        <v>189</v>
      </c>
      <c r="D433" s="213">
        <v>0.05</v>
      </c>
      <c r="E433" s="214">
        <f>+F431</f>
        <v>1340</v>
      </c>
      <c r="F433" s="216">
        <f>ROUND(E433*D433,0)</f>
        <v>67</v>
      </c>
    </row>
    <row r="434" spans="1:6" x14ac:dyDescent="0.25">
      <c r="B434" s="215" t="s">
        <v>329</v>
      </c>
      <c r="C434" s="212"/>
      <c r="D434" s="257"/>
      <c r="E434" s="214"/>
      <c r="F434" s="216">
        <f>ROUND(SUM(F428:F433),0)</f>
        <v>4858</v>
      </c>
    </row>
    <row r="437" spans="1:6" ht="24" x14ac:dyDescent="0.25">
      <c r="A437" s="245">
        <v>12.37</v>
      </c>
      <c r="B437" s="246" t="s">
        <v>702</v>
      </c>
      <c r="C437" s="252" t="s">
        <v>313</v>
      </c>
      <c r="D437" s="253" t="s">
        <v>195</v>
      </c>
      <c r="E437" s="254"/>
      <c r="F437" s="255"/>
    </row>
    <row r="438" spans="1:6" x14ac:dyDescent="0.25">
      <c r="B438" s="211" t="s">
        <v>162</v>
      </c>
      <c r="C438" s="212" t="s">
        <v>314</v>
      </c>
      <c r="D438" s="213" t="s">
        <v>315</v>
      </c>
      <c r="E438" s="214" t="s">
        <v>316</v>
      </c>
      <c r="F438" s="214" t="s">
        <v>317</v>
      </c>
    </row>
    <row r="439" spans="1:6" x14ac:dyDescent="0.25">
      <c r="B439" s="258" t="s">
        <v>356</v>
      </c>
      <c r="C439" s="212" t="s">
        <v>2</v>
      </c>
      <c r="D439" s="213">
        <v>1</v>
      </c>
      <c r="E439" s="219">
        <v>6800</v>
      </c>
      <c r="F439" s="216">
        <f>ROUND(E439*D439,0)</f>
        <v>6800</v>
      </c>
    </row>
    <row r="440" spans="1:6" x14ac:dyDescent="0.25">
      <c r="B440" s="258" t="s">
        <v>357</v>
      </c>
      <c r="C440" s="220" t="s">
        <v>2</v>
      </c>
      <c r="D440" s="220">
        <v>1</v>
      </c>
      <c r="E440" s="221">
        <v>33100</v>
      </c>
      <c r="F440" s="216">
        <f>ROUND(E440*D440,0)</f>
        <v>33100</v>
      </c>
    </row>
    <row r="441" spans="1:6" x14ac:dyDescent="0.25">
      <c r="B441" s="258" t="s">
        <v>358</v>
      </c>
      <c r="C441" s="212" t="s">
        <v>15</v>
      </c>
      <c r="D441" s="213">
        <v>1</v>
      </c>
      <c r="E441" s="219">
        <v>1500</v>
      </c>
      <c r="F441" s="216">
        <f>ROUND(E441*D441,0)</f>
        <v>1500</v>
      </c>
    </row>
    <row r="442" spans="1:6" x14ac:dyDescent="0.25">
      <c r="B442" s="215" t="s">
        <v>330</v>
      </c>
      <c r="C442" s="212" t="s">
        <v>15</v>
      </c>
      <c r="D442" s="213">
        <v>1</v>
      </c>
      <c r="E442" s="214">
        <f>1250*1.19</f>
        <v>1487.5</v>
      </c>
      <c r="F442" s="216">
        <f t="shared" ref="F442:F446" si="37">ROUND(E442*D442,0)</f>
        <v>1488</v>
      </c>
    </row>
    <row r="443" spans="1:6" x14ac:dyDescent="0.25">
      <c r="B443" s="215" t="s">
        <v>331</v>
      </c>
      <c r="C443" s="212" t="s">
        <v>15</v>
      </c>
      <c r="D443" s="217">
        <v>1.67</v>
      </c>
      <c r="E443" s="214">
        <v>6021</v>
      </c>
      <c r="F443" s="216">
        <f t="shared" si="37"/>
        <v>10055</v>
      </c>
    </row>
    <row r="444" spans="1:6" x14ac:dyDescent="0.25">
      <c r="B444" s="211" t="s">
        <v>147</v>
      </c>
      <c r="C444" s="212"/>
      <c r="D444" s="218"/>
      <c r="E444" s="214"/>
      <c r="F444" s="216">
        <f t="shared" si="37"/>
        <v>0</v>
      </c>
    </row>
    <row r="445" spans="1:6" x14ac:dyDescent="0.25">
      <c r="B445" s="215" t="s">
        <v>107</v>
      </c>
      <c r="C445" s="212" t="s">
        <v>326</v>
      </c>
      <c r="D445" s="213">
        <v>0.32</v>
      </c>
      <c r="E445" s="214">
        <v>167525</v>
      </c>
      <c r="F445" s="216">
        <f t="shared" si="37"/>
        <v>53608</v>
      </c>
    </row>
    <row r="446" spans="1:6" x14ac:dyDescent="0.25">
      <c r="B446" s="211" t="s">
        <v>327</v>
      </c>
      <c r="C446" s="212"/>
      <c r="D446" s="213"/>
      <c r="E446" s="214"/>
      <c r="F446" s="216">
        <f t="shared" si="37"/>
        <v>0</v>
      </c>
    </row>
    <row r="447" spans="1:6" x14ac:dyDescent="0.25">
      <c r="B447" s="215" t="s">
        <v>328</v>
      </c>
      <c r="C447" s="212" t="s">
        <v>189</v>
      </c>
      <c r="D447" s="213">
        <v>0.05</v>
      </c>
      <c r="E447" s="214">
        <f>+F445</f>
        <v>53608</v>
      </c>
      <c r="F447" s="216">
        <f>ROUND(E447*D447,0)</f>
        <v>2680</v>
      </c>
    </row>
    <row r="448" spans="1:6" x14ac:dyDescent="0.25">
      <c r="B448" s="215" t="s">
        <v>329</v>
      </c>
      <c r="C448" s="212"/>
      <c r="D448" s="257"/>
      <c r="E448" s="214"/>
      <c r="F448" s="216">
        <f>ROUND(SUM(F438:F447),0)</f>
        <v>109231</v>
      </c>
    </row>
    <row r="451" spans="1:6" ht="24" x14ac:dyDescent="0.25">
      <c r="A451" s="245">
        <v>12.38</v>
      </c>
      <c r="B451" s="246" t="s">
        <v>704</v>
      </c>
      <c r="C451" s="252" t="s">
        <v>313</v>
      </c>
      <c r="D451" s="253" t="s">
        <v>195</v>
      </c>
      <c r="E451" s="254"/>
      <c r="F451" s="255"/>
    </row>
    <row r="452" spans="1:6" x14ac:dyDescent="0.25">
      <c r="B452" s="211" t="s">
        <v>162</v>
      </c>
      <c r="C452" s="212" t="s">
        <v>314</v>
      </c>
      <c r="D452" s="213" t="s">
        <v>315</v>
      </c>
      <c r="E452" s="214" t="s">
        <v>316</v>
      </c>
      <c r="F452" s="214" t="s">
        <v>317</v>
      </c>
    </row>
    <row r="453" spans="1:6" x14ac:dyDescent="0.25">
      <c r="B453" s="258" t="s">
        <v>356</v>
      </c>
      <c r="C453" s="212" t="s">
        <v>2</v>
      </c>
      <c r="D453" s="213">
        <v>1</v>
      </c>
      <c r="E453" s="219">
        <v>6800</v>
      </c>
      <c r="F453" s="216">
        <f>ROUND(E453*D453,0)</f>
        <v>6800</v>
      </c>
    </row>
    <row r="454" spans="1:6" x14ac:dyDescent="0.25">
      <c r="B454" s="258" t="s">
        <v>357</v>
      </c>
      <c r="C454" s="220" t="s">
        <v>2</v>
      </c>
      <c r="D454" s="220">
        <v>2</v>
      </c>
      <c r="E454" s="221">
        <v>33100</v>
      </c>
      <c r="F454" s="216">
        <f>ROUND(E454*D454,0)</f>
        <v>66200</v>
      </c>
    </row>
    <row r="455" spans="1:6" x14ac:dyDescent="0.25">
      <c r="B455" s="215" t="s">
        <v>330</v>
      </c>
      <c r="C455" s="212" t="s">
        <v>15</v>
      </c>
      <c r="D455" s="213">
        <v>1</v>
      </c>
      <c r="E455" s="214">
        <f>1250*1.19</f>
        <v>1487.5</v>
      </c>
      <c r="F455" s="216">
        <f t="shared" ref="F455:F459" si="38">ROUND(E455*D455,0)</f>
        <v>1488</v>
      </c>
    </row>
    <row r="456" spans="1:6" x14ac:dyDescent="0.25">
      <c r="B456" s="215" t="s">
        <v>331</v>
      </c>
      <c r="C456" s="212" t="s">
        <v>15</v>
      </c>
      <c r="D456" s="217">
        <v>1.67</v>
      </c>
      <c r="E456" s="214">
        <v>6021</v>
      </c>
      <c r="F456" s="216">
        <f t="shared" si="38"/>
        <v>10055</v>
      </c>
    </row>
    <row r="457" spans="1:6" x14ac:dyDescent="0.25">
      <c r="B457" s="211" t="s">
        <v>147</v>
      </c>
      <c r="C457" s="212"/>
      <c r="D457" s="218"/>
      <c r="E457" s="214"/>
      <c r="F457" s="216">
        <f t="shared" si="38"/>
        <v>0</v>
      </c>
    </row>
    <row r="458" spans="1:6" x14ac:dyDescent="0.25">
      <c r="B458" s="215" t="s">
        <v>107</v>
      </c>
      <c r="C458" s="212" t="s">
        <v>326</v>
      </c>
      <c r="D458" s="213">
        <v>0.32</v>
      </c>
      <c r="E458" s="214">
        <v>167525</v>
      </c>
      <c r="F458" s="216">
        <f t="shared" si="38"/>
        <v>53608</v>
      </c>
    </row>
    <row r="459" spans="1:6" x14ac:dyDescent="0.25">
      <c r="B459" s="211" t="s">
        <v>327</v>
      </c>
      <c r="C459" s="212"/>
      <c r="D459" s="213"/>
      <c r="E459" s="214"/>
      <c r="F459" s="216">
        <f t="shared" si="38"/>
        <v>0</v>
      </c>
    </row>
    <row r="460" spans="1:6" x14ac:dyDescent="0.25">
      <c r="B460" s="215" t="s">
        <v>328</v>
      </c>
      <c r="C460" s="212" t="s">
        <v>189</v>
      </c>
      <c r="D460" s="213">
        <v>0.05</v>
      </c>
      <c r="E460" s="214">
        <f>+F458</f>
        <v>53608</v>
      </c>
      <c r="F460" s="216">
        <f>ROUND(E460*D460,0)</f>
        <v>2680</v>
      </c>
    </row>
    <row r="461" spans="1:6" x14ac:dyDescent="0.25">
      <c r="B461" s="215" t="s">
        <v>329</v>
      </c>
      <c r="C461" s="212"/>
      <c r="D461" s="257"/>
      <c r="E461" s="214"/>
      <c r="F461" s="216">
        <f>ROUND(SUM(F452:F460),0)</f>
        <v>140831</v>
      </c>
    </row>
    <row r="464" spans="1:6" ht="36" x14ac:dyDescent="0.25">
      <c r="A464" s="247">
        <v>12.4</v>
      </c>
      <c r="B464" s="246" t="s">
        <v>709</v>
      </c>
      <c r="C464" s="252" t="s">
        <v>313</v>
      </c>
      <c r="D464" s="253" t="s">
        <v>195</v>
      </c>
      <c r="E464" s="254"/>
      <c r="F464" s="255"/>
    </row>
    <row r="465" spans="1:6" x14ac:dyDescent="0.25">
      <c r="B465" s="211" t="s">
        <v>162</v>
      </c>
      <c r="C465" s="212" t="s">
        <v>314</v>
      </c>
      <c r="D465" s="213" t="s">
        <v>315</v>
      </c>
      <c r="E465" s="214" t="s">
        <v>316</v>
      </c>
      <c r="F465" s="214" t="s">
        <v>317</v>
      </c>
    </row>
    <row r="466" spans="1:6" x14ac:dyDescent="0.25">
      <c r="B466" s="258" t="s">
        <v>225</v>
      </c>
      <c r="C466" s="212" t="s">
        <v>2</v>
      </c>
      <c r="D466" s="213">
        <v>4</v>
      </c>
      <c r="E466" s="219">
        <v>137900</v>
      </c>
      <c r="F466" s="216">
        <f>ROUND(E466*D466,0)</f>
        <v>551600</v>
      </c>
    </row>
    <row r="467" spans="1:6" x14ac:dyDescent="0.25">
      <c r="B467" s="258" t="s">
        <v>359</v>
      </c>
      <c r="C467" s="212" t="s">
        <v>15</v>
      </c>
      <c r="D467" s="213">
        <v>4</v>
      </c>
      <c r="E467" s="219">
        <f>28000*1.19</f>
        <v>33320</v>
      </c>
      <c r="F467" s="216">
        <f>ROUND(E467*D467,0)</f>
        <v>133280</v>
      </c>
    </row>
    <row r="468" spans="1:6" x14ac:dyDescent="0.25">
      <c r="B468" s="215" t="s">
        <v>360</v>
      </c>
      <c r="C468" s="212" t="s">
        <v>233</v>
      </c>
      <c r="D468" s="213">
        <v>30</v>
      </c>
      <c r="E468" s="214">
        <v>26300</v>
      </c>
      <c r="F468" s="216">
        <f t="shared" ref="F468:F471" si="39">ROUND(E468*D468,0)</f>
        <v>789000</v>
      </c>
    </row>
    <row r="469" spans="1:6" x14ac:dyDescent="0.25">
      <c r="B469" s="211" t="s">
        <v>147</v>
      </c>
      <c r="C469" s="212"/>
      <c r="D469" s="218"/>
      <c r="E469" s="214"/>
      <c r="F469" s="216">
        <f t="shared" si="39"/>
        <v>0</v>
      </c>
    </row>
    <row r="470" spans="1:6" x14ac:dyDescent="0.25">
      <c r="B470" s="215" t="s">
        <v>107</v>
      </c>
      <c r="C470" s="212" t="s">
        <v>326</v>
      </c>
      <c r="D470" s="213">
        <v>2.5</v>
      </c>
      <c r="E470" s="214">
        <v>167525</v>
      </c>
      <c r="F470" s="216">
        <f t="shared" si="39"/>
        <v>418813</v>
      </c>
    </row>
    <row r="471" spans="1:6" x14ac:dyDescent="0.25">
      <c r="B471" s="211" t="s">
        <v>327</v>
      </c>
      <c r="C471" s="212"/>
      <c r="D471" s="213"/>
      <c r="E471" s="214"/>
      <c r="F471" s="216">
        <f t="shared" si="39"/>
        <v>0</v>
      </c>
    </row>
    <row r="472" spans="1:6" x14ac:dyDescent="0.25">
      <c r="B472" s="215" t="s">
        <v>328</v>
      </c>
      <c r="C472" s="212" t="s">
        <v>189</v>
      </c>
      <c r="D472" s="213">
        <v>0.05</v>
      </c>
      <c r="E472" s="214">
        <f>+F470</f>
        <v>418813</v>
      </c>
      <c r="F472" s="216">
        <f>ROUND(E472*D472,0)</f>
        <v>20941</v>
      </c>
    </row>
    <row r="473" spans="1:6" x14ac:dyDescent="0.25">
      <c r="B473" s="215" t="s">
        <v>329</v>
      </c>
      <c r="C473" s="212"/>
      <c r="D473" s="257"/>
      <c r="E473" s="214"/>
      <c r="F473" s="216">
        <f>ROUND(SUM(F465:F472),0)</f>
        <v>1913634</v>
      </c>
    </row>
    <row r="476" spans="1:6" ht="72" x14ac:dyDescent="0.25">
      <c r="A476" s="245">
        <v>12.41</v>
      </c>
      <c r="B476" s="246" t="s">
        <v>776</v>
      </c>
      <c r="C476" s="252" t="s">
        <v>313</v>
      </c>
      <c r="D476" s="253" t="s">
        <v>195</v>
      </c>
      <c r="E476" s="254"/>
      <c r="F476" s="255"/>
    </row>
    <row r="477" spans="1:6" x14ac:dyDescent="0.25">
      <c r="B477" s="211" t="s">
        <v>162</v>
      </c>
      <c r="C477" s="212" t="s">
        <v>314</v>
      </c>
      <c r="D477" s="213" t="s">
        <v>315</v>
      </c>
      <c r="E477" s="214" t="s">
        <v>316</v>
      </c>
      <c r="F477" s="214" t="s">
        <v>317</v>
      </c>
    </row>
    <row r="478" spans="1:6" x14ac:dyDescent="0.25">
      <c r="B478" s="258" t="s">
        <v>361</v>
      </c>
      <c r="C478" s="212" t="s">
        <v>50</v>
      </c>
      <c r="D478" s="213">
        <v>160</v>
      </c>
      <c r="E478" s="219">
        <v>3500</v>
      </c>
      <c r="F478" s="216">
        <f>ROUND(E478*D478,0)</f>
        <v>560000</v>
      </c>
    </row>
    <row r="479" spans="1:6" ht="26.4" x14ac:dyDescent="0.25">
      <c r="B479" s="258" t="s">
        <v>362</v>
      </c>
      <c r="C479" s="212" t="s">
        <v>2</v>
      </c>
      <c r="D479" s="213">
        <v>8</v>
      </c>
      <c r="E479" s="219">
        <v>41900</v>
      </c>
      <c r="F479" s="216">
        <f>ROUND(E479*D479,0)</f>
        <v>335200</v>
      </c>
    </row>
    <row r="480" spans="1:6" x14ac:dyDescent="0.25">
      <c r="B480" s="215" t="s">
        <v>363</v>
      </c>
      <c r="C480" s="212" t="s">
        <v>233</v>
      </c>
      <c r="D480" s="213">
        <v>60</v>
      </c>
      <c r="E480" s="214">
        <v>19320</v>
      </c>
      <c r="F480" s="216">
        <f t="shared" ref="F480:F487" si="40">ROUND(E480*D480,0)</f>
        <v>1159200</v>
      </c>
    </row>
    <row r="481" spans="2:6" ht="26.4" x14ac:dyDescent="0.25">
      <c r="B481" s="258" t="s">
        <v>364</v>
      </c>
      <c r="C481" s="212" t="s">
        <v>2</v>
      </c>
      <c r="D481" s="213">
        <v>20</v>
      </c>
      <c r="E481" s="219">
        <f>18000*1.19</f>
        <v>21420</v>
      </c>
      <c r="F481" s="216">
        <f>ROUND(E481*D481,0)</f>
        <v>428400</v>
      </c>
    </row>
    <row r="482" spans="2:6" x14ac:dyDescent="0.25">
      <c r="B482" s="258" t="s">
        <v>225</v>
      </c>
      <c r="C482" s="212" t="s">
        <v>2</v>
      </c>
      <c r="D482" s="213">
        <v>4</v>
      </c>
      <c r="E482" s="219">
        <v>137900</v>
      </c>
      <c r="F482" s="216">
        <f>ROUND(E482*D482,0)</f>
        <v>551600</v>
      </c>
    </row>
    <row r="483" spans="2:6" x14ac:dyDescent="0.25">
      <c r="B483" s="258" t="s">
        <v>365</v>
      </c>
      <c r="C483" s="212" t="s">
        <v>2</v>
      </c>
      <c r="D483" s="213">
        <v>160</v>
      </c>
      <c r="E483" s="219">
        <f>6500*1.19</f>
        <v>7735</v>
      </c>
      <c r="F483" s="216">
        <f>ROUND(E483*D483,0)</f>
        <v>1237600</v>
      </c>
    </row>
    <row r="484" spans="2:6" x14ac:dyDescent="0.25">
      <c r="B484" s="258" t="s">
        <v>366</v>
      </c>
      <c r="C484" s="212" t="s">
        <v>2</v>
      </c>
      <c r="D484" s="213">
        <v>8</v>
      </c>
      <c r="E484" s="213">
        <f>87000*1.19</f>
        <v>103530</v>
      </c>
      <c r="F484" s="216">
        <f>ROUND(E484*D484,0)</f>
        <v>828240</v>
      </c>
    </row>
    <row r="485" spans="2:6" x14ac:dyDescent="0.25">
      <c r="B485" s="211" t="s">
        <v>147</v>
      </c>
      <c r="C485" s="212"/>
      <c r="D485" s="218"/>
      <c r="E485" s="214"/>
      <c r="F485" s="216">
        <f t="shared" si="40"/>
        <v>0</v>
      </c>
    </row>
    <row r="486" spans="2:6" x14ac:dyDescent="0.25">
      <c r="B486" s="215" t="s">
        <v>107</v>
      </c>
      <c r="C486" s="212" t="s">
        <v>326</v>
      </c>
      <c r="D486" s="213">
        <v>10</v>
      </c>
      <c r="E486" s="214">
        <v>167525</v>
      </c>
      <c r="F486" s="216">
        <f t="shared" si="40"/>
        <v>1675250</v>
      </c>
    </row>
    <row r="487" spans="2:6" x14ac:dyDescent="0.25">
      <c r="B487" s="211" t="s">
        <v>327</v>
      </c>
      <c r="C487" s="212"/>
      <c r="D487" s="213"/>
      <c r="E487" s="214"/>
      <c r="F487" s="216">
        <f t="shared" si="40"/>
        <v>0</v>
      </c>
    </row>
    <row r="488" spans="2:6" x14ac:dyDescent="0.25">
      <c r="B488" s="215" t="s">
        <v>328</v>
      </c>
      <c r="C488" s="212" t="s">
        <v>189</v>
      </c>
      <c r="D488" s="213">
        <v>0.05</v>
      </c>
      <c r="E488" s="214">
        <f>+F486</f>
        <v>1675250</v>
      </c>
      <c r="F488" s="216">
        <f>ROUND(E488*D488,0)</f>
        <v>83763</v>
      </c>
    </row>
    <row r="489" spans="2:6" x14ac:dyDescent="0.25">
      <c r="B489" s="215" t="s">
        <v>329</v>
      </c>
      <c r="C489" s="212"/>
      <c r="D489" s="257"/>
      <c r="E489" s="214"/>
      <c r="F489" s="216">
        <f>ROUND(SUM(F477:F488),0)</f>
        <v>6859253</v>
      </c>
    </row>
  </sheetData>
  <mergeCells count="3">
    <mergeCell ref="A4:A8"/>
    <mergeCell ref="B4:D8"/>
    <mergeCell ref="A9:G9"/>
  </mergeCells>
  <pageMargins left="0.7" right="0.7" top="0.75" bottom="0.75" header="0.3" footer="0.3"/>
  <pageSetup paperSize="9" scale="74" orientation="portrait" r:id="rId1"/>
  <colBreaks count="1" manualBreakCount="1">
    <brk id="6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101"/>
  <sheetViews>
    <sheetView view="pageBreakPreview" topLeftCell="A49" zoomScaleNormal="100" zoomScaleSheetLayoutView="100" workbookViewId="0">
      <selection activeCell="B30" sqref="B30"/>
    </sheetView>
  </sheetViews>
  <sheetFormatPr baseColWidth="10" defaultColWidth="11.44140625" defaultRowHeight="12.6" x14ac:dyDescent="0.25"/>
  <cols>
    <col min="1" max="1" width="11.44140625" style="234"/>
    <col min="2" max="2" width="53.6640625" style="234" customWidth="1"/>
    <col min="3" max="5" width="11.44140625" style="234"/>
    <col min="6" max="6" width="9" style="234" customWidth="1"/>
    <col min="7" max="7" width="9.5546875" style="234" customWidth="1"/>
    <col min="8" max="16384" width="11.44140625" style="234"/>
  </cols>
  <sheetData>
    <row r="1" spans="1:7" s="4" customFormat="1" ht="13.8" x14ac:dyDescent="0.25">
      <c r="D1" s="7"/>
      <c r="G1" s="24"/>
    </row>
    <row r="2" spans="1:7" s="4" customFormat="1" ht="14.25" customHeight="1" x14ac:dyDescent="0.25">
      <c r="A2" s="350"/>
      <c r="B2" s="335" t="s">
        <v>293</v>
      </c>
      <c r="C2" s="335"/>
      <c r="D2" s="335"/>
      <c r="E2" s="25"/>
      <c r="G2" s="5"/>
    </row>
    <row r="3" spans="1:7" s="4" customFormat="1" ht="13.8" x14ac:dyDescent="0.25">
      <c r="A3" s="350"/>
      <c r="B3" s="335"/>
      <c r="C3" s="335"/>
      <c r="D3" s="335"/>
      <c r="E3" s="25"/>
      <c r="G3" s="5"/>
    </row>
    <row r="4" spans="1:7" s="4" customFormat="1" ht="13.8" x14ac:dyDescent="0.25">
      <c r="A4" s="350"/>
      <c r="B4" s="335"/>
      <c r="C4" s="335"/>
      <c r="D4" s="335"/>
      <c r="E4" s="25"/>
      <c r="G4" s="5"/>
    </row>
    <row r="5" spans="1:7" s="4" customFormat="1" ht="13.8" x14ac:dyDescent="0.25">
      <c r="A5" s="350"/>
      <c r="B5" s="335"/>
      <c r="C5" s="335"/>
      <c r="D5" s="335"/>
      <c r="E5" s="25"/>
      <c r="G5" s="5"/>
    </row>
    <row r="6" spans="1:7" s="4" customFormat="1" ht="13.8" x14ac:dyDescent="0.25">
      <c r="A6" s="350"/>
      <c r="B6" s="335"/>
      <c r="C6" s="335"/>
      <c r="D6" s="335"/>
      <c r="E6" s="25"/>
      <c r="G6" s="5"/>
    </row>
    <row r="7" spans="1:7" s="4" customFormat="1" ht="13.8" x14ac:dyDescent="0.25">
      <c r="A7" s="351" t="s">
        <v>229</v>
      </c>
      <c r="B7" s="351"/>
      <c r="C7" s="351"/>
      <c r="D7" s="351"/>
      <c r="E7" s="351"/>
      <c r="F7" s="351"/>
      <c r="G7" s="351"/>
    </row>
    <row r="8" spans="1:7" s="228" customFormat="1" ht="13.8" x14ac:dyDescent="0.25">
      <c r="A8" s="353"/>
      <c r="B8" s="353"/>
      <c r="C8" s="353"/>
      <c r="D8" s="353"/>
      <c r="E8" s="353"/>
      <c r="F8" s="353"/>
      <c r="G8" s="353"/>
    </row>
    <row r="9" spans="1:7" ht="15.6" x14ac:dyDescent="0.25">
      <c r="A9" s="229" t="s">
        <v>115</v>
      </c>
      <c r="B9" s="230" t="s">
        <v>116</v>
      </c>
      <c r="C9" s="229" t="s">
        <v>123</v>
      </c>
      <c r="D9" s="231"/>
      <c r="E9" s="232">
        <f>ROUND(SUM(G9:G16),0)</f>
        <v>240391</v>
      </c>
      <c r="F9" s="88"/>
      <c r="G9" s="233"/>
    </row>
    <row r="10" spans="1:7" ht="26.4" x14ac:dyDescent="0.25">
      <c r="A10" s="352" t="s">
        <v>112</v>
      </c>
      <c r="B10" s="82" t="s">
        <v>124</v>
      </c>
      <c r="C10" s="83" t="s">
        <v>125</v>
      </c>
      <c r="D10" s="84">
        <v>3.5</v>
      </c>
      <c r="E10" s="85">
        <v>28500</v>
      </c>
      <c r="F10" s="83">
        <v>1.03</v>
      </c>
      <c r="G10" s="85">
        <f>ROUND((D10*E10*F10),0)</f>
        <v>102743</v>
      </c>
    </row>
    <row r="11" spans="1:7" ht="15.6" x14ac:dyDescent="0.25">
      <c r="A11" s="352"/>
      <c r="B11" s="82" t="s">
        <v>126</v>
      </c>
      <c r="C11" s="83" t="s">
        <v>127</v>
      </c>
      <c r="D11" s="84">
        <v>0.56000000000000005</v>
      </c>
      <c r="E11" s="85">
        <v>41000</v>
      </c>
      <c r="F11" s="83">
        <v>1.03</v>
      </c>
      <c r="G11" s="85">
        <f>ROUND((D11*E11*F11),0)</f>
        <v>23649</v>
      </c>
    </row>
    <row r="12" spans="1:7" ht="15.6" x14ac:dyDescent="0.25">
      <c r="A12" s="352"/>
      <c r="B12" s="82" t="s">
        <v>128</v>
      </c>
      <c r="C12" s="83" t="s">
        <v>127</v>
      </c>
      <c r="D12" s="84">
        <v>0.97</v>
      </c>
      <c r="E12" s="85">
        <v>45000</v>
      </c>
      <c r="F12" s="83">
        <v>1.03</v>
      </c>
      <c r="G12" s="85">
        <f>ROUND((D12*E12*F12),0)</f>
        <v>44960</v>
      </c>
    </row>
    <row r="13" spans="1:7" ht="13.2" x14ac:dyDescent="0.25">
      <c r="A13" s="352"/>
      <c r="B13" s="82" t="s">
        <v>129</v>
      </c>
      <c r="C13" s="83" t="s">
        <v>130</v>
      </c>
      <c r="D13" s="84">
        <v>100</v>
      </c>
      <c r="E13" s="85">
        <v>10</v>
      </c>
      <c r="F13" s="83">
        <v>1.03</v>
      </c>
      <c r="G13" s="85">
        <f>ROUND((D13*E13*F13),0)</f>
        <v>1030</v>
      </c>
    </row>
    <row r="14" spans="1:7" ht="13.2" x14ac:dyDescent="0.25">
      <c r="A14" s="235" t="s">
        <v>118</v>
      </c>
      <c r="B14" s="82" t="s">
        <v>103</v>
      </c>
      <c r="C14" s="83" t="s">
        <v>119</v>
      </c>
      <c r="D14" s="84">
        <v>1</v>
      </c>
      <c r="E14" s="85">
        <f>' MANO DE OBRA'!F51</f>
        <v>465519</v>
      </c>
      <c r="F14" s="83">
        <f>1/8</f>
        <v>0.125</v>
      </c>
      <c r="G14" s="85">
        <f>ROUND((D14*E14*F14),0)</f>
        <v>58190</v>
      </c>
    </row>
    <row r="15" spans="1:7" ht="13.2" x14ac:dyDescent="0.25">
      <c r="A15" s="352" t="s">
        <v>120</v>
      </c>
      <c r="B15" s="82" t="s">
        <v>121</v>
      </c>
      <c r="C15" s="83" t="s">
        <v>122</v>
      </c>
      <c r="D15" s="84">
        <v>0.1</v>
      </c>
      <c r="E15" s="85">
        <f>G14</f>
        <v>58190</v>
      </c>
      <c r="F15" s="83">
        <v>0</v>
      </c>
      <c r="G15" s="85">
        <f>ROUND((D15*E15),0)</f>
        <v>5819</v>
      </c>
    </row>
    <row r="16" spans="1:7" ht="13.2" x14ac:dyDescent="0.25">
      <c r="A16" s="352"/>
      <c r="B16" s="82" t="s">
        <v>131</v>
      </c>
      <c r="C16" s="83" t="s">
        <v>119</v>
      </c>
      <c r="D16" s="84">
        <v>1</v>
      </c>
      <c r="E16" s="85">
        <v>40000</v>
      </c>
      <c r="F16" s="83">
        <f>1/10</f>
        <v>0.1</v>
      </c>
      <c r="G16" s="85">
        <f>ROUND((D16*E16*F16),0)</f>
        <v>4000</v>
      </c>
    </row>
    <row r="17" spans="1:7" ht="13.2" x14ac:dyDescent="0.25">
      <c r="A17" s="44"/>
      <c r="B17" s="43"/>
      <c r="C17" s="42"/>
      <c r="D17" s="40"/>
      <c r="E17" s="41"/>
      <c r="F17" s="42"/>
      <c r="G17" s="41"/>
    </row>
    <row r="18" spans="1:7" ht="13.2" x14ac:dyDescent="0.25">
      <c r="A18" s="44"/>
      <c r="B18" s="43"/>
      <c r="C18" s="42"/>
      <c r="D18" s="40"/>
      <c r="E18" s="41"/>
      <c r="F18" s="42"/>
      <c r="G18" s="41"/>
    </row>
    <row r="19" spans="1:7" ht="15.6" x14ac:dyDescent="0.25">
      <c r="A19" s="229" t="s">
        <v>145</v>
      </c>
      <c r="B19" s="230" t="s">
        <v>146</v>
      </c>
      <c r="C19" s="229" t="s">
        <v>123</v>
      </c>
      <c r="D19" s="231"/>
      <c r="E19" s="232">
        <f>ROUND(SUM(G19:G26),0)</f>
        <v>310296</v>
      </c>
      <c r="F19" s="88"/>
      <c r="G19" s="233"/>
    </row>
    <row r="20" spans="1:7" ht="26.4" x14ac:dyDescent="0.25">
      <c r="A20" s="352" t="s">
        <v>112</v>
      </c>
      <c r="B20" s="82" t="s">
        <v>124</v>
      </c>
      <c r="C20" s="83" t="s">
        <v>125</v>
      </c>
      <c r="D20" s="84">
        <v>6</v>
      </c>
      <c r="E20" s="85">
        <v>28500</v>
      </c>
      <c r="F20" s="83">
        <v>1.03</v>
      </c>
      <c r="G20" s="85">
        <f>ROUND((D20*E20*F20),0)</f>
        <v>176130</v>
      </c>
    </row>
    <row r="21" spans="1:7" ht="15.6" x14ac:dyDescent="0.25">
      <c r="A21" s="352"/>
      <c r="B21" s="82" t="s">
        <v>126</v>
      </c>
      <c r="C21" s="83" t="s">
        <v>127</v>
      </c>
      <c r="D21" s="84">
        <v>0.48</v>
      </c>
      <c r="E21" s="85">
        <v>41000</v>
      </c>
      <c r="F21" s="83">
        <v>1.03</v>
      </c>
      <c r="G21" s="85">
        <f>ROUND((D21*E21*F21),0)</f>
        <v>20270</v>
      </c>
    </row>
    <row r="22" spans="1:7" ht="15.6" x14ac:dyDescent="0.25">
      <c r="A22" s="352"/>
      <c r="B22" s="82" t="s">
        <v>128</v>
      </c>
      <c r="C22" s="83" t="s">
        <v>127</v>
      </c>
      <c r="D22" s="84">
        <v>0.95</v>
      </c>
      <c r="E22" s="85">
        <v>45000</v>
      </c>
      <c r="F22" s="83">
        <v>1.03</v>
      </c>
      <c r="G22" s="85">
        <f>ROUND((D22*E22*F22),0)</f>
        <v>44033</v>
      </c>
    </row>
    <row r="23" spans="1:7" ht="13.2" x14ac:dyDescent="0.25">
      <c r="A23" s="352"/>
      <c r="B23" s="82" t="s">
        <v>129</v>
      </c>
      <c r="C23" s="83" t="s">
        <v>130</v>
      </c>
      <c r="D23" s="84">
        <v>180</v>
      </c>
      <c r="E23" s="85">
        <v>10</v>
      </c>
      <c r="F23" s="83">
        <v>1.03</v>
      </c>
      <c r="G23" s="85">
        <f>ROUND((D23*E23*F23),0)</f>
        <v>1854</v>
      </c>
    </row>
    <row r="24" spans="1:7" ht="13.2" x14ac:dyDescent="0.25">
      <c r="A24" s="235" t="s">
        <v>118</v>
      </c>
      <c r="B24" s="82" t="s">
        <v>103</v>
      </c>
      <c r="C24" s="83" t="s">
        <v>119</v>
      </c>
      <c r="D24" s="84">
        <v>1</v>
      </c>
      <c r="E24" s="85">
        <f>' MANO DE OBRA'!F51</f>
        <v>465519</v>
      </c>
      <c r="F24" s="83">
        <f>1/8</f>
        <v>0.125</v>
      </c>
      <c r="G24" s="85">
        <f>ROUND((D24*E24*F24),0)</f>
        <v>58190</v>
      </c>
    </row>
    <row r="25" spans="1:7" ht="13.2" x14ac:dyDescent="0.25">
      <c r="A25" s="352" t="s">
        <v>120</v>
      </c>
      <c r="B25" s="82" t="s">
        <v>121</v>
      </c>
      <c r="C25" s="83" t="s">
        <v>122</v>
      </c>
      <c r="D25" s="84">
        <v>0.1</v>
      </c>
      <c r="E25" s="85">
        <f>G24</f>
        <v>58190</v>
      </c>
      <c r="F25" s="83">
        <v>0</v>
      </c>
      <c r="G25" s="85">
        <f>ROUND((D25*E25),0)</f>
        <v>5819</v>
      </c>
    </row>
    <row r="26" spans="1:7" ht="13.2" x14ac:dyDescent="0.25">
      <c r="A26" s="352"/>
      <c r="B26" s="82" t="s">
        <v>131</v>
      </c>
      <c r="C26" s="83" t="s">
        <v>119</v>
      </c>
      <c r="D26" s="84">
        <v>1</v>
      </c>
      <c r="E26" s="85">
        <v>40000</v>
      </c>
      <c r="F26" s="83">
        <f>1/10</f>
        <v>0.1</v>
      </c>
      <c r="G26" s="85">
        <f>ROUND((D26*E26*F26),0)</f>
        <v>4000</v>
      </c>
    </row>
    <row r="27" spans="1:7" ht="13.2" x14ac:dyDescent="0.25">
      <c r="A27" s="44"/>
      <c r="B27" s="43"/>
      <c r="C27" s="42"/>
      <c r="D27" s="40"/>
      <c r="E27" s="41"/>
      <c r="F27" s="42"/>
      <c r="G27" s="41"/>
    </row>
    <row r="29" spans="1:7" ht="15.6" x14ac:dyDescent="0.25">
      <c r="A29" s="229" t="s">
        <v>132</v>
      </c>
      <c r="B29" s="230" t="s">
        <v>133</v>
      </c>
      <c r="C29" s="229" t="s">
        <v>123</v>
      </c>
      <c r="D29" s="231"/>
      <c r="E29" s="232">
        <f>ROUND(SUM(G29:G36),0)</f>
        <v>328407</v>
      </c>
      <c r="F29" s="88"/>
      <c r="G29" s="233"/>
    </row>
    <row r="30" spans="1:7" ht="26.4" x14ac:dyDescent="0.25">
      <c r="A30" s="352" t="s">
        <v>112</v>
      </c>
      <c r="B30" s="82" t="s">
        <v>124</v>
      </c>
      <c r="C30" s="83" t="s">
        <v>125</v>
      </c>
      <c r="D30" s="84">
        <v>7</v>
      </c>
      <c r="E30" s="85">
        <v>28500</v>
      </c>
      <c r="F30" s="83">
        <v>1.03</v>
      </c>
      <c r="G30" s="85">
        <f>ROUND((D30*E30*F30),0)</f>
        <v>205485</v>
      </c>
    </row>
    <row r="31" spans="1:7" ht="15.6" x14ac:dyDescent="0.25">
      <c r="A31" s="352"/>
      <c r="B31" s="82" t="s">
        <v>126</v>
      </c>
      <c r="C31" s="83" t="s">
        <v>127</v>
      </c>
      <c r="D31" s="84">
        <v>0.55000000000000004</v>
      </c>
      <c r="E31" s="85">
        <v>41000</v>
      </c>
      <c r="F31" s="83">
        <v>1.03</v>
      </c>
      <c r="G31" s="85">
        <f>ROUND((D31*E31*F31),0)</f>
        <v>23227</v>
      </c>
    </row>
    <row r="32" spans="1:7" ht="15.6" x14ac:dyDescent="0.25">
      <c r="A32" s="352"/>
      <c r="B32" s="82" t="s">
        <v>128</v>
      </c>
      <c r="C32" s="83" t="s">
        <v>127</v>
      </c>
      <c r="D32" s="84">
        <v>0.84</v>
      </c>
      <c r="E32" s="85">
        <v>45000</v>
      </c>
      <c r="F32" s="83">
        <v>1.03</v>
      </c>
      <c r="G32" s="85">
        <f>ROUND((D32*E32*F32),0)</f>
        <v>38934</v>
      </c>
    </row>
    <row r="33" spans="1:7" ht="13.2" x14ac:dyDescent="0.25">
      <c r="A33" s="352"/>
      <c r="B33" s="82" t="s">
        <v>129</v>
      </c>
      <c r="C33" s="83" t="s">
        <v>130</v>
      </c>
      <c r="D33" s="84">
        <v>180</v>
      </c>
      <c r="E33" s="85">
        <v>10</v>
      </c>
      <c r="F33" s="83">
        <v>1.03</v>
      </c>
      <c r="G33" s="85">
        <f>ROUND((D33*E33*F33),0)</f>
        <v>1854</v>
      </c>
    </row>
    <row r="34" spans="1:7" ht="13.2" x14ac:dyDescent="0.25">
      <c r="A34" s="235" t="s">
        <v>118</v>
      </c>
      <c r="B34" s="82" t="s">
        <v>103</v>
      </c>
      <c r="C34" s="83" t="s">
        <v>119</v>
      </c>
      <c r="D34" s="84">
        <v>1</v>
      </c>
      <c r="E34" s="85">
        <v>399318</v>
      </c>
      <c r="F34" s="83">
        <f>1/8</f>
        <v>0.125</v>
      </c>
      <c r="G34" s="85">
        <f>ROUND((D34*E34*F34),0)</f>
        <v>49915</v>
      </c>
    </row>
    <row r="35" spans="1:7" ht="13.2" x14ac:dyDescent="0.25">
      <c r="A35" s="352" t="s">
        <v>120</v>
      </c>
      <c r="B35" s="82" t="s">
        <v>121</v>
      </c>
      <c r="C35" s="83" t="s">
        <v>122</v>
      </c>
      <c r="D35" s="84">
        <v>0.1</v>
      </c>
      <c r="E35" s="85">
        <f>G34</f>
        <v>49915</v>
      </c>
      <c r="F35" s="83">
        <v>0</v>
      </c>
      <c r="G35" s="85">
        <f>ROUND((D35*E35),0)</f>
        <v>4992</v>
      </c>
    </row>
    <row r="36" spans="1:7" ht="13.2" x14ac:dyDescent="0.25">
      <c r="A36" s="352"/>
      <c r="B36" s="82" t="s">
        <v>131</v>
      </c>
      <c r="C36" s="83" t="s">
        <v>119</v>
      </c>
      <c r="D36" s="84">
        <v>1</v>
      </c>
      <c r="E36" s="85">
        <v>40000</v>
      </c>
      <c r="F36" s="83">
        <f>1/10</f>
        <v>0.1</v>
      </c>
      <c r="G36" s="85">
        <f>ROUND((D36*E36*F36),0)</f>
        <v>4000</v>
      </c>
    </row>
    <row r="39" spans="1:7" ht="15.6" x14ac:dyDescent="0.25">
      <c r="A39" s="229" t="s">
        <v>134</v>
      </c>
      <c r="B39" s="230" t="s">
        <v>135</v>
      </c>
      <c r="C39" s="229" t="s">
        <v>123</v>
      </c>
      <c r="D39" s="231"/>
      <c r="E39" s="232">
        <f>ROUND(SUM(G39:G46),0)</f>
        <v>393613</v>
      </c>
      <c r="F39" s="88"/>
      <c r="G39" s="233"/>
    </row>
    <row r="40" spans="1:7" ht="26.4" x14ac:dyDescent="0.25">
      <c r="A40" s="352" t="s">
        <v>112</v>
      </c>
      <c r="B40" s="82" t="s">
        <v>124</v>
      </c>
      <c r="C40" s="83" t="s">
        <v>125</v>
      </c>
      <c r="D40" s="84">
        <v>9</v>
      </c>
      <c r="E40" s="85">
        <v>28500</v>
      </c>
      <c r="F40" s="83">
        <v>1.03</v>
      </c>
      <c r="G40" s="85">
        <f>ROUND((D40*E40*F40),0)</f>
        <v>264195</v>
      </c>
    </row>
    <row r="41" spans="1:7" ht="15.6" x14ac:dyDescent="0.25">
      <c r="A41" s="352"/>
      <c r="B41" s="82" t="s">
        <v>126</v>
      </c>
      <c r="C41" s="83" t="s">
        <v>127</v>
      </c>
      <c r="D41" s="84">
        <v>0.67</v>
      </c>
      <c r="E41" s="85">
        <v>41000</v>
      </c>
      <c r="F41" s="83">
        <v>1.03</v>
      </c>
      <c r="G41" s="85">
        <f>ROUND((D41*E41*F41),0)</f>
        <v>28294</v>
      </c>
    </row>
    <row r="42" spans="1:7" ht="15.6" x14ac:dyDescent="0.25">
      <c r="A42" s="352"/>
      <c r="B42" s="82" t="s">
        <v>128</v>
      </c>
      <c r="C42" s="83" t="s">
        <v>127</v>
      </c>
      <c r="D42" s="84">
        <v>0.67</v>
      </c>
      <c r="E42" s="85">
        <v>45000</v>
      </c>
      <c r="F42" s="83">
        <v>1.03</v>
      </c>
      <c r="G42" s="85">
        <f>ROUND((D42*E42*F42),0)</f>
        <v>31055</v>
      </c>
    </row>
    <row r="43" spans="1:7" ht="13.2" x14ac:dyDescent="0.25">
      <c r="A43" s="352"/>
      <c r="B43" s="82" t="s">
        <v>136</v>
      </c>
      <c r="C43" s="83" t="s">
        <v>130</v>
      </c>
      <c r="D43" s="84">
        <v>200</v>
      </c>
      <c r="E43" s="85">
        <v>10</v>
      </c>
      <c r="F43" s="83">
        <v>1.03</v>
      </c>
      <c r="G43" s="85">
        <f>ROUND((D43*E43*F43),0)</f>
        <v>2060</v>
      </c>
    </row>
    <row r="44" spans="1:7" ht="13.2" x14ac:dyDescent="0.25">
      <c r="A44" s="235" t="s">
        <v>118</v>
      </c>
      <c r="B44" s="82" t="s">
        <v>103</v>
      </c>
      <c r="C44" s="83" t="s">
        <v>119</v>
      </c>
      <c r="D44" s="84">
        <v>1</v>
      </c>
      <c r="E44" s="85">
        <f>' MANO DE OBRA'!F51</f>
        <v>465519</v>
      </c>
      <c r="F44" s="83">
        <f>1/8</f>
        <v>0.125</v>
      </c>
      <c r="G44" s="85">
        <f>ROUND((D44*E44*F44),0)</f>
        <v>58190</v>
      </c>
    </row>
    <row r="45" spans="1:7" ht="13.2" x14ac:dyDescent="0.25">
      <c r="A45" s="352" t="s">
        <v>120</v>
      </c>
      <c r="B45" s="82" t="s">
        <v>121</v>
      </c>
      <c r="C45" s="83" t="s">
        <v>122</v>
      </c>
      <c r="D45" s="84">
        <v>0.1</v>
      </c>
      <c r="E45" s="85">
        <f>G44</f>
        <v>58190</v>
      </c>
      <c r="F45" s="83">
        <v>0</v>
      </c>
      <c r="G45" s="85">
        <f>ROUND((D45*E45),0)</f>
        <v>5819</v>
      </c>
    </row>
    <row r="46" spans="1:7" ht="13.2" x14ac:dyDescent="0.25">
      <c r="A46" s="352"/>
      <c r="B46" s="82" t="s">
        <v>131</v>
      </c>
      <c r="C46" s="83" t="s">
        <v>119</v>
      </c>
      <c r="D46" s="84">
        <v>1</v>
      </c>
      <c r="E46" s="85">
        <v>40000</v>
      </c>
      <c r="F46" s="83">
        <f>1/10</f>
        <v>0.1</v>
      </c>
      <c r="G46" s="85">
        <f>ROUND((D46*E46*F46),0)</f>
        <v>4000</v>
      </c>
    </row>
    <row r="49" spans="1:7" ht="15.6" x14ac:dyDescent="0.25">
      <c r="A49" s="229" t="s">
        <v>137</v>
      </c>
      <c r="B49" s="230" t="s">
        <v>138</v>
      </c>
      <c r="C49" s="229" t="s">
        <v>123</v>
      </c>
      <c r="D49" s="231"/>
      <c r="E49" s="232">
        <f>ROUND(SUM(G49:G54),0)</f>
        <v>346242</v>
      </c>
      <c r="F49" s="88"/>
      <c r="G49" s="233"/>
    </row>
    <row r="50" spans="1:7" ht="26.4" x14ac:dyDescent="0.25">
      <c r="A50" s="352" t="s">
        <v>112</v>
      </c>
      <c r="B50" s="82" t="s">
        <v>124</v>
      </c>
      <c r="C50" s="83" t="s">
        <v>125</v>
      </c>
      <c r="D50" s="84">
        <v>9</v>
      </c>
      <c r="E50" s="85">
        <v>28500</v>
      </c>
      <c r="F50" s="83">
        <v>1.03</v>
      </c>
      <c r="G50" s="85">
        <f>ROUND((D50*E50*F50),0)</f>
        <v>264195</v>
      </c>
    </row>
    <row r="51" spans="1:7" ht="15.6" x14ac:dyDescent="0.25">
      <c r="A51" s="352"/>
      <c r="B51" s="82" t="s">
        <v>126</v>
      </c>
      <c r="C51" s="83" t="s">
        <v>127</v>
      </c>
      <c r="D51" s="84">
        <v>1.0900000000000001</v>
      </c>
      <c r="E51" s="85">
        <v>41000</v>
      </c>
      <c r="F51" s="83">
        <v>1.03</v>
      </c>
      <c r="G51" s="85">
        <f>ROUND((D51*E51*F51),0)</f>
        <v>46031</v>
      </c>
    </row>
    <row r="52" spans="1:7" ht="13.2" x14ac:dyDescent="0.25">
      <c r="A52" s="352"/>
      <c r="B52" s="82" t="s">
        <v>136</v>
      </c>
      <c r="C52" s="83" t="s">
        <v>130</v>
      </c>
      <c r="D52" s="84">
        <v>220</v>
      </c>
      <c r="E52" s="85">
        <v>10</v>
      </c>
      <c r="F52" s="83">
        <v>1.03</v>
      </c>
      <c r="G52" s="85">
        <f>ROUND((D52*E52*F52),0)</f>
        <v>2266</v>
      </c>
    </row>
    <row r="53" spans="1:7" ht="13.2" x14ac:dyDescent="0.25">
      <c r="A53" s="235" t="s">
        <v>118</v>
      </c>
      <c r="B53" s="86" t="s">
        <v>100</v>
      </c>
      <c r="C53" s="83" t="s">
        <v>119</v>
      </c>
      <c r="D53" s="84">
        <v>1</v>
      </c>
      <c r="E53" s="85">
        <f>' MANO DE OBRA'!F48</f>
        <v>306819</v>
      </c>
      <c r="F53" s="83">
        <f>1/10</f>
        <v>0.1</v>
      </c>
      <c r="G53" s="85">
        <f>ROUND((D53*E53*F53),0)</f>
        <v>30682</v>
      </c>
    </row>
    <row r="54" spans="1:7" ht="13.2" x14ac:dyDescent="0.25">
      <c r="A54" s="236" t="s">
        <v>120</v>
      </c>
      <c r="B54" s="82" t="s">
        <v>121</v>
      </c>
      <c r="C54" s="83" t="s">
        <v>122</v>
      </c>
      <c r="D54" s="84">
        <v>0.1</v>
      </c>
      <c r="E54" s="85">
        <f>G53</f>
        <v>30682</v>
      </c>
      <c r="F54" s="83">
        <v>0</v>
      </c>
      <c r="G54" s="85">
        <f>ROUND((D54*E54),0)</f>
        <v>3068</v>
      </c>
    </row>
    <row r="57" spans="1:7" ht="26.4" x14ac:dyDescent="0.25">
      <c r="A57" s="237" t="s">
        <v>148</v>
      </c>
      <c r="B57" s="238" t="s">
        <v>149</v>
      </c>
      <c r="C57" s="237" t="s">
        <v>150</v>
      </c>
      <c r="D57" s="239"/>
      <c r="E57" s="232">
        <f>ROUND(SUM(G57:G58),0)</f>
        <v>1000</v>
      </c>
      <c r="F57" s="88"/>
      <c r="G57" s="240"/>
    </row>
    <row r="58" spans="1:7" ht="15.6" x14ac:dyDescent="0.25">
      <c r="A58" s="236" t="s">
        <v>120</v>
      </c>
      <c r="B58" s="82" t="s">
        <v>151</v>
      </c>
      <c r="C58" s="83" t="s">
        <v>152</v>
      </c>
      <c r="D58" s="84">
        <v>1</v>
      </c>
      <c r="E58" s="85">
        <v>50000</v>
      </c>
      <c r="F58" s="87">
        <v>0.02</v>
      </c>
      <c r="G58" s="85">
        <f>ROUND((D58*E58*F58),0)</f>
        <v>1000</v>
      </c>
    </row>
    <row r="61" spans="1:7" ht="13.2" x14ac:dyDescent="0.25">
      <c r="A61" s="237" t="s">
        <v>155</v>
      </c>
      <c r="B61" s="238" t="s">
        <v>156</v>
      </c>
      <c r="C61" s="237" t="s">
        <v>2</v>
      </c>
      <c r="D61" s="239"/>
      <c r="E61" s="232">
        <f>ROUND(SUM(G62:G69),0)</f>
        <v>109944</v>
      </c>
      <c r="F61" s="88"/>
      <c r="G61" s="240"/>
    </row>
    <row r="62" spans="1:7" ht="13.2" x14ac:dyDescent="0.25">
      <c r="A62" s="352" t="s">
        <v>112</v>
      </c>
      <c r="B62" s="82" t="s">
        <v>157</v>
      </c>
      <c r="C62" s="83" t="s">
        <v>50</v>
      </c>
      <c r="D62" s="89">
        <v>0.5</v>
      </c>
      <c r="E62" s="85">
        <v>415</v>
      </c>
      <c r="F62" s="90">
        <v>0</v>
      </c>
      <c r="G62" s="85">
        <f>ROUND((D62*E62),0)</f>
        <v>208</v>
      </c>
    </row>
    <row r="63" spans="1:7" ht="13.2" x14ac:dyDescent="0.25">
      <c r="A63" s="352"/>
      <c r="B63" s="82" t="s">
        <v>158</v>
      </c>
      <c r="C63" s="83" t="s">
        <v>2</v>
      </c>
      <c r="D63" s="89">
        <v>1</v>
      </c>
      <c r="E63" s="85">
        <v>23900</v>
      </c>
      <c r="F63" s="90">
        <v>0</v>
      </c>
      <c r="G63" s="85">
        <f>ROUND((D63*E63),0)</f>
        <v>23900</v>
      </c>
    </row>
    <row r="64" spans="1:7" ht="13.2" x14ac:dyDescent="0.25">
      <c r="A64" s="352"/>
      <c r="B64" s="82" t="s">
        <v>159</v>
      </c>
      <c r="C64" s="83" t="s">
        <v>2</v>
      </c>
      <c r="D64" s="89">
        <v>4</v>
      </c>
      <c r="E64" s="85">
        <v>8900</v>
      </c>
      <c r="F64" s="90">
        <v>0</v>
      </c>
      <c r="G64" s="85">
        <f>ROUND((D64*E64),0)</f>
        <v>35600</v>
      </c>
    </row>
    <row r="65" spans="1:7" ht="13.2" x14ac:dyDescent="0.25">
      <c r="A65" s="352"/>
      <c r="B65" s="82" t="s">
        <v>153</v>
      </c>
      <c r="C65" s="83" t="s">
        <v>50</v>
      </c>
      <c r="D65" s="89">
        <v>2</v>
      </c>
      <c r="E65" s="85">
        <v>2545</v>
      </c>
      <c r="F65" s="90">
        <v>1.03</v>
      </c>
      <c r="G65" s="85">
        <f>ROUND((D65*E65*F65),0)</f>
        <v>5243</v>
      </c>
    </row>
    <row r="66" spans="1:7" ht="13.2" x14ac:dyDescent="0.25">
      <c r="A66" s="352"/>
      <c r="B66" s="82" t="s">
        <v>160</v>
      </c>
      <c r="C66" s="83" t="s">
        <v>50</v>
      </c>
      <c r="D66" s="89">
        <v>2</v>
      </c>
      <c r="E66" s="85">
        <v>1598</v>
      </c>
      <c r="F66" s="90">
        <v>1.03</v>
      </c>
      <c r="G66" s="85">
        <f>ROUND((D66*E66*F66),0)</f>
        <v>3292</v>
      </c>
    </row>
    <row r="67" spans="1:7" ht="15.6" x14ac:dyDescent="0.25">
      <c r="A67" s="241" t="s">
        <v>114</v>
      </c>
      <c r="B67" s="82" t="s">
        <v>138</v>
      </c>
      <c r="C67" s="83" t="s">
        <v>127</v>
      </c>
      <c r="D67" s="91">
        <v>8.0000000000000002E-3</v>
      </c>
      <c r="E67" s="85">
        <f>E49</f>
        <v>346242</v>
      </c>
      <c r="F67" s="90">
        <v>1.05</v>
      </c>
      <c r="G67" s="85">
        <f>ROUND((D67*E67*F67),0)</f>
        <v>2908</v>
      </c>
    </row>
    <row r="68" spans="1:7" ht="13.2" x14ac:dyDescent="0.25">
      <c r="A68" s="235" t="s">
        <v>118</v>
      </c>
      <c r="B68" s="82" t="s">
        <v>154</v>
      </c>
      <c r="C68" s="83" t="s">
        <v>119</v>
      </c>
      <c r="D68" s="84">
        <v>1</v>
      </c>
      <c r="E68" s="85">
        <f>' MANO DE OBRA'!F39</f>
        <v>105799</v>
      </c>
      <c r="F68" s="90">
        <f>1/3</f>
        <v>0.33333333333333331</v>
      </c>
      <c r="G68" s="85">
        <f>ROUND((D68*E68*F68),0)</f>
        <v>35266</v>
      </c>
    </row>
    <row r="69" spans="1:7" ht="13.2" x14ac:dyDescent="0.25">
      <c r="A69" s="236" t="s">
        <v>120</v>
      </c>
      <c r="B69" s="82" t="s">
        <v>121</v>
      </c>
      <c r="C69" s="83" t="s">
        <v>122</v>
      </c>
      <c r="D69" s="84">
        <v>0.1</v>
      </c>
      <c r="E69" s="85">
        <f>G68</f>
        <v>35266</v>
      </c>
      <c r="F69" s="87">
        <v>0</v>
      </c>
      <c r="G69" s="85">
        <f>ROUND((D69*E69),0)</f>
        <v>3527</v>
      </c>
    </row>
    <row r="72" spans="1:7" ht="13.2" x14ac:dyDescent="0.25">
      <c r="A72" s="237" t="s">
        <v>168</v>
      </c>
      <c r="B72" s="238" t="s">
        <v>171</v>
      </c>
      <c r="C72" s="237" t="s">
        <v>43</v>
      </c>
      <c r="D72" s="239"/>
      <c r="E72" s="232">
        <f>ROUND(SUM(G72:G76),0)</f>
        <v>6671</v>
      </c>
      <c r="F72" s="88"/>
      <c r="G72" s="240"/>
    </row>
    <row r="73" spans="1:7" ht="13.2" x14ac:dyDescent="0.25">
      <c r="A73" s="352" t="s">
        <v>112</v>
      </c>
      <c r="B73" s="92" t="s">
        <v>172</v>
      </c>
      <c r="C73" s="83" t="s">
        <v>43</v>
      </c>
      <c r="D73" s="84">
        <v>1</v>
      </c>
      <c r="E73" s="85">
        <v>4800</v>
      </c>
      <c r="F73" s="83">
        <v>1.03</v>
      </c>
      <c r="G73" s="85">
        <f>ROUND((D73*E73*F73),0)</f>
        <v>4944</v>
      </c>
    </row>
    <row r="74" spans="1:7" ht="13.2" x14ac:dyDescent="0.25">
      <c r="A74" s="352"/>
      <c r="B74" s="82" t="s">
        <v>173</v>
      </c>
      <c r="C74" s="83" t="s">
        <v>43</v>
      </c>
      <c r="D74" s="93">
        <v>0.03</v>
      </c>
      <c r="E74" s="85">
        <v>8359</v>
      </c>
      <c r="F74" s="83">
        <v>1</v>
      </c>
      <c r="G74" s="85">
        <f>ROUND((D74*E74*F74),0)</f>
        <v>251</v>
      </c>
    </row>
    <row r="75" spans="1:7" ht="13.2" x14ac:dyDescent="0.25">
      <c r="A75" s="235" t="s">
        <v>118</v>
      </c>
      <c r="B75" s="82" t="s">
        <v>98</v>
      </c>
      <c r="C75" s="83" t="s">
        <v>119</v>
      </c>
      <c r="D75" s="84">
        <v>1</v>
      </c>
      <c r="E75" s="85">
        <f>' MANO DE OBRA'!F46</f>
        <v>148119</v>
      </c>
      <c r="F75" s="87">
        <v>6.3E-3</v>
      </c>
      <c r="G75" s="85">
        <f>ROUND((D75*E75*F75),0)</f>
        <v>933</v>
      </c>
    </row>
    <row r="76" spans="1:7" ht="13.2" x14ac:dyDescent="0.25">
      <c r="A76" s="236" t="s">
        <v>120</v>
      </c>
      <c r="B76" s="82" t="s">
        <v>121</v>
      </c>
      <c r="C76" s="83" t="s">
        <v>122</v>
      </c>
      <c r="D76" s="84">
        <v>0.59333388810651644</v>
      </c>
      <c r="E76" s="85">
        <v>915.21</v>
      </c>
      <c r="F76" s="87">
        <v>0</v>
      </c>
      <c r="G76" s="85">
        <f>ROUND((D76*E76),0)</f>
        <v>543</v>
      </c>
    </row>
    <row r="79" spans="1:7" ht="15.6" x14ac:dyDescent="0.25">
      <c r="A79" s="237" t="s">
        <v>177</v>
      </c>
      <c r="B79" s="238" t="s">
        <v>178</v>
      </c>
      <c r="C79" s="237" t="s">
        <v>163</v>
      </c>
      <c r="D79" s="239"/>
      <c r="E79" s="232">
        <f>ROUND(SUM(G79:G87),0)</f>
        <v>28891</v>
      </c>
      <c r="F79" s="88"/>
      <c r="G79" s="240"/>
    </row>
    <row r="80" spans="1:7" ht="13.2" x14ac:dyDescent="0.25">
      <c r="A80" s="354" t="s">
        <v>162</v>
      </c>
      <c r="B80" s="82" t="s">
        <v>140</v>
      </c>
      <c r="C80" s="83" t="s">
        <v>50</v>
      </c>
      <c r="D80" s="84">
        <v>1</v>
      </c>
      <c r="E80" s="85">
        <v>3250</v>
      </c>
      <c r="F80" s="83">
        <v>1.03</v>
      </c>
      <c r="G80" s="85">
        <f>ROUND((D80*E80*F80),0)</f>
        <v>3348</v>
      </c>
    </row>
    <row r="81" spans="1:7" ht="13.2" x14ac:dyDescent="0.25">
      <c r="A81" s="354"/>
      <c r="B81" s="82" t="s">
        <v>144</v>
      </c>
      <c r="C81" s="83" t="s">
        <v>139</v>
      </c>
      <c r="D81" s="84">
        <v>0.25</v>
      </c>
      <c r="E81" s="85">
        <v>2500</v>
      </c>
      <c r="F81" s="83">
        <v>0</v>
      </c>
      <c r="G81" s="85">
        <f>ROUND((D81*E81),0)</f>
        <v>625</v>
      </c>
    </row>
    <row r="82" spans="1:7" ht="13.2" x14ac:dyDescent="0.25">
      <c r="A82" s="354"/>
      <c r="B82" s="82" t="s">
        <v>174</v>
      </c>
      <c r="C82" s="83" t="s">
        <v>142</v>
      </c>
      <c r="D82" s="84">
        <v>0.1</v>
      </c>
      <c r="E82" s="85">
        <v>7500</v>
      </c>
      <c r="F82" s="83">
        <v>0</v>
      </c>
      <c r="G82" s="85">
        <f>ROUND((D82*E82),0)</f>
        <v>750</v>
      </c>
    </row>
    <row r="83" spans="1:7" ht="13.2" x14ac:dyDescent="0.25">
      <c r="A83" s="354"/>
      <c r="B83" s="82" t="s">
        <v>166</v>
      </c>
      <c r="C83" s="83" t="s">
        <v>50</v>
      </c>
      <c r="D83" s="84">
        <v>1</v>
      </c>
      <c r="E83" s="85">
        <v>2100</v>
      </c>
      <c r="F83" s="83">
        <v>1.03</v>
      </c>
      <c r="G83" s="85">
        <f>ROUND((D83*E83*F83),0)</f>
        <v>2163</v>
      </c>
    </row>
    <row r="84" spans="1:7" ht="13.2" x14ac:dyDescent="0.25">
      <c r="A84" s="235" t="s">
        <v>118</v>
      </c>
      <c r="B84" s="82" t="s">
        <v>104</v>
      </c>
      <c r="C84" s="83" t="s">
        <v>119</v>
      </c>
      <c r="D84" s="84">
        <v>1</v>
      </c>
      <c r="E84" s="85">
        <f>' MANO DE OBRA'!F52</f>
        <v>402038</v>
      </c>
      <c r="F84" s="83">
        <f>1/50</f>
        <v>0.02</v>
      </c>
      <c r="G84" s="85">
        <f>ROUND((D84*E84*F84),0)</f>
        <v>8041</v>
      </c>
    </row>
    <row r="85" spans="1:7" ht="13.2" x14ac:dyDescent="0.25">
      <c r="A85" s="352" t="s">
        <v>120</v>
      </c>
      <c r="B85" s="82" t="s">
        <v>121</v>
      </c>
      <c r="C85" s="83" t="s">
        <v>122</v>
      </c>
      <c r="D85" s="84">
        <v>0.1</v>
      </c>
      <c r="E85" s="85">
        <f>G84</f>
        <v>8041</v>
      </c>
      <c r="F85" s="83">
        <v>0</v>
      </c>
      <c r="G85" s="85">
        <f>ROUND((D85*E85),0)</f>
        <v>804</v>
      </c>
    </row>
    <row r="86" spans="1:7" ht="13.2" x14ac:dyDescent="0.25">
      <c r="A86" s="352"/>
      <c r="B86" s="86" t="s">
        <v>180</v>
      </c>
      <c r="C86" s="83" t="s">
        <v>119</v>
      </c>
      <c r="D86" s="84">
        <v>28</v>
      </c>
      <c r="E86" s="85">
        <v>300</v>
      </c>
      <c r="F86" s="83">
        <v>1</v>
      </c>
      <c r="G86" s="85">
        <f>ROUND((D86*E86*F86),0)</f>
        <v>8400</v>
      </c>
    </row>
    <row r="87" spans="1:7" ht="13.2" x14ac:dyDescent="0.25">
      <c r="A87" s="352"/>
      <c r="B87" s="82" t="s">
        <v>176</v>
      </c>
      <c r="C87" s="83" t="s">
        <v>119</v>
      </c>
      <c r="D87" s="84">
        <v>28</v>
      </c>
      <c r="E87" s="85">
        <v>170</v>
      </c>
      <c r="F87" s="83">
        <v>1</v>
      </c>
      <c r="G87" s="85">
        <f>ROUND((D87*E87*F87),0)</f>
        <v>4760</v>
      </c>
    </row>
    <row r="90" spans="1:7" ht="26.4" x14ac:dyDescent="0.25">
      <c r="A90" s="237" t="s">
        <v>181</v>
      </c>
      <c r="B90" s="238" t="s">
        <v>182</v>
      </c>
      <c r="C90" s="237" t="s">
        <v>123</v>
      </c>
      <c r="D90" s="239"/>
      <c r="E90" s="232">
        <f>ROUND(SUM(G90:G92),0)</f>
        <v>415277</v>
      </c>
      <c r="F90" s="88"/>
      <c r="G90" s="240"/>
    </row>
    <row r="91" spans="1:7" ht="13.2" x14ac:dyDescent="0.25">
      <c r="A91" s="241" t="s">
        <v>112</v>
      </c>
      <c r="B91" s="82" t="s">
        <v>183</v>
      </c>
      <c r="C91" s="83" t="s">
        <v>43</v>
      </c>
      <c r="D91" s="84">
        <v>1.75</v>
      </c>
      <c r="E91" s="85">
        <v>12019</v>
      </c>
      <c r="F91" s="83">
        <v>1.03</v>
      </c>
      <c r="G91" s="85">
        <f>ROUND((D91*E91*F91),0)</f>
        <v>21664</v>
      </c>
    </row>
    <row r="92" spans="1:7" ht="15.6" x14ac:dyDescent="0.25">
      <c r="A92" s="241" t="s">
        <v>114</v>
      </c>
      <c r="B92" s="82" t="s">
        <v>167</v>
      </c>
      <c r="C92" s="83" t="s">
        <v>127</v>
      </c>
      <c r="D92" s="84">
        <v>1</v>
      </c>
      <c r="E92" s="85">
        <f>E39</f>
        <v>393613</v>
      </c>
      <c r="F92" s="83">
        <v>0</v>
      </c>
      <c r="G92" s="85">
        <f>ROUND((D92*E92),0)</f>
        <v>393613</v>
      </c>
    </row>
    <row r="95" spans="1:7" ht="26.4" x14ac:dyDescent="0.25">
      <c r="A95" s="237" t="s">
        <v>209</v>
      </c>
      <c r="B95" s="238" t="s">
        <v>212</v>
      </c>
      <c r="C95" s="237" t="s">
        <v>163</v>
      </c>
      <c r="D95" s="239"/>
      <c r="E95" s="232">
        <f>ROUND(SUM(G95:G101),0)</f>
        <v>46758</v>
      </c>
      <c r="F95" s="88"/>
      <c r="G95" s="240"/>
    </row>
    <row r="96" spans="1:7" ht="26.4" x14ac:dyDescent="0.25">
      <c r="A96" s="352" t="s">
        <v>112</v>
      </c>
      <c r="B96" s="82" t="s">
        <v>124</v>
      </c>
      <c r="C96" s="83" t="s">
        <v>125</v>
      </c>
      <c r="D96" s="84">
        <v>0.2</v>
      </c>
      <c r="E96" s="85">
        <v>28500</v>
      </c>
      <c r="F96" s="83">
        <v>1.05</v>
      </c>
      <c r="G96" s="85">
        <f>ROUND((D96*E96*F96),0)</f>
        <v>5985</v>
      </c>
    </row>
    <row r="97" spans="1:7" ht="13.2" x14ac:dyDescent="0.25">
      <c r="A97" s="352"/>
      <c r="B97" s="82" t="s">
        <v>213</v>
      </c>
      <c r="C97" s="83" t="s">
        <v>125</v>
      </c>
      <c r="D97" s="84">
        <v>1</v>
      </c>
      <c r="E97" s="85">
        <v>9737</v>
      </c>
      <c r="F97" s="83">
        <v>1.03</v>
      </c>
      <c r="G97" s="85">
        <f>ROUND((D97*E97*F97),0)</f>
        <v>10029</v>
      </c>
    </row>
    <row r="98" spans="1:7" ht="13.2" x14ac:dyDescent="0.25">
      <c r="A98" s="352"/>
      <c r="B98" s="82" t="s">
        <v>204</v>
      </c>
      <c r="C98" s="83" t="s">
        <v>50</v>
      </c>
      <c r="D98" s="84">
        <v>1.75</v>
      </c>
      <c r="E98" s="85">
        <v>1850</v>
      </c>
      <c r="F98" s="83">
        <v>0</v>
      </c>
      <c r="G98" s="85">
        <f>ROUND((D98*E98),0)</f>
        <v>3238</v>
      </c>
    </row>
    <row r="99" spans="1:7" ht="13.2" x14ac:dyDescent="0.25">
      <c r="A99" s="352"/>
      <c r="B99" s="82" t="s">
        <v>136</v>
      </c>
      <c r="C99" s="83" t="s">
        <v>130</v>
      </c>
      <c r="D99" s="84">
        <v>35</v>
      </c>
      <c r="E99" s="85">
        <v>10</v>
      </c>
      <c r="F99" s="83">
        <v>0</v>
      </c>
      <c r="G99" s="85">
        <f>ROUND((D99*E99),0)</f>
        <v>350</v>
      </c>
    </row>
    <row r="100" spans="1:7" ht="13.2" x14ac:dyDescent="0.25">
      <c r="A100" s="235" t="s">
        <v>118</v>
      </c>
      <c r="B100" s="82" t="s">
        <v>98</v>
      </c>
      <c r="C100" s="83" t="s">
        <v>119</v>
      </c>
      <c r="D100" s="84">
        <v>1</v>
      </c>
      <c r="E100" s="85">
        <f>' MANO DE OBRA'!F46</f>
        <v>148119</v>
      </c>
      <c r="F100" s="83">
        <f>1/6</f>
        <v>0.16666666666666666</v>
      </c>
      <c r="G100" s="85">
        <f>ROUND((D100*E100*F100),0)</f>
        <v>24687</v>
      </c>
    </row>
    <row r="101" spans="1:7" ht="13.2" x14ac:dyDescent="0.25">
      <c r="A101" s="236" t="s">
        <v>120</v>
      </c>
      <c r="B101" s="82" t="s">
        <v>121</v>
      </c>
      <c r="C101" s="83" t="s">
        <v>122</v>
      </c>
      <c r="D101" s="84">
        <v>0.1</v>
      </c>
      <c r="E101" s="85">
        <f>G100</f>
        <v>24687</v>
      </c>
      <c r="F101" s="87">
        <v>0</v>
      </c>
      <c r="G101" s="85">
        <f>ROUND((D101*E101),0)</f>
        <v>2469</v>
      </c>
    </row>
  </sheetData>
  <mergeCells count="18">
    <mergeCell ref="A45:A46"/>
    <mergeCell ref="A50:A52"/>
    <mergeCell ref="A20:A23"/>
    <mergeCell ref="A25:A26"/>
    <mergeCell ref="A10:A13"/>
    <mergeCell ref="A15:A16"/>
    <mergeCell ref="A30:A33"/>
    <mergeCell ref="A96:A99"/>
    <mergeCell ref="A73:A74"/>
    <mergeCell ref="A80:A83"/>
    <mergeCell ref="A85:A87"/>
    <mergeCell ref="A62:A66"/>
    <mergeCell ref="A35:A36"/>
    <mergeCell ref="A40:A43"/>
    <mergeCell ref="A2:A6"/>
    <mergeCell ref="B2:D6"/>
    <mergeCell ref="A7:G7"/>
    <mergeCell ref="A8:G8"/>
  </mergeCells>
  <pageMargins left="0.7" right="0.7" top="0.75" bottom="0.75" header="0.3" footer="0.3"/>
  <pageSetup scale="67" orientation="portrait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autoPageBreaks="0"/>
  </sheetPr>
  <dimension ref="B1:H710"/>
  <sheetViews>
    <sheetView showGridLines="0" view="pageBreakPreview" topLeftCell="A25" zoomScale="60" zoomScaleNormal="90" zoomScalePageLayoutView="125" workbookViewId="0">
      <selection activeCell="E4" sqref="E4"/>
    </sheetView>
  </sheetViews>
  <sheetFormatPr baseColWidth="10" defaultColWidth="9.109375" defaultRowHeight="19.5" customHeight="1" x14ac:dyDescent="0.25"/>
  <cols>
    <col min="1" max="1" width="2.109375" style="29" customWidth="1"/>
    <col min="2" max="2" width="52.6640625" style="29" customWidth="1"/>
    <col min="3" max="3" width="23.88671875" style="29" customWidth="1"/>
    <col min="4" max="4" width="30.33203125" style="29" customWidth="1"/>
    <col min="5" max="5" width="20.109375" style="29" customWidth="1"/>
    <col min="6" max="6" width="12.109375" style="29" customWidth="1"/>
    <col min="7" max="7" width="12.33203125" style="29" customWidth="1"/>
    <col min="8" max="16384" width="9.109375" style="29"/>
  </cols>
  <sheetData>
    <row r="1" spans="2:6" s="26" customFormat="1" ht="96.9" customHeight="1" x14ac:dyDescent="0.25">
      <c r="B1" s="355" t="s">
        <v>311</v>
      </c>
      <c r="C1" s="355"/>
      <c r="D1" s="355"/>
      <c r="E1" s="356"/>
      <c r="F1" s="356"/>
    </row>
    <row r="2" spans="2:6" s="26" customFormat="1" ht="12" customHeight="1" x14ac:dyDescent="0.25"/>
    <row r="3" spans="2:6" s="26" customFormat="1" ht="21" customHeight="1" x14ac:dyDescent="0.25">
      <c r="B3" s="27" t="s">
        <v>53</v>
      </c>
      <c r="C3" s="28"/>
      <c r="D3" s="28"/>
      <c r="E3" s="28"/>
    </row>
    <row r="4" spans="2:6" ht="19.5" customHeight="1" x14ac:dyDescent="0.3">
      <c r="B4" s="30" t="s">
        <v>274</v>
      </c>
      <c r="C4" s="208">
        <v>908526</v>
      </c>
      <c r="D4" s="31"/>
      <c r="E4" s="32"/>
    </row>
    <row r="5" spans="2:6" ht="19.5" customHeight="1" x14ac:dyDescent="0.3">
      <c r="B5" s="30" t="s">
        <v>54</v>
      </c>
      <c r="C5" s="208">
        <v>106454</v>
      </c>
      <c r="D5" s="31"/>
      <c r="E5" s="32"/>
    </row>
    <row r="6" spans="2:6" ht="19.5" customHeight="1" x14ac:dyDescent="0.25">
      <c r="B6" s="32"/>
      <c r="C6" s="32"/>
      <c r="D6" s="31"/>
      <c r="E6" s="32"/>
    </row>
    <row r="7" spans="2:6" ht="19.5" customHeight="1" x14ac:dyDescent="0.25">
      <c r="B7" s="357" t="s">
        <v>55</v>
      </c>
      <c r="C7" s="94" t="s">
        <v>56</v>
      </c>
      <c r="D7" s="94" t="s">
        <v>57</v>
      </c>
      <c r="E7" s="32"/>
    </row>
    <row r="8" spans="2:6" ht="36.75" customHeight="1" x14ac:dyDescent="0.25">
      <c r="B8" s="357"/>
      <c r="C8" s="95" t="s">
        <v>58</v>
      </c>
      <c r="D8" s="95" t="s">
        <v>58</v>
      </c>
      <c r="E8" s="32"/>
    </row>
    <row r="9" spans="2:6" ht="19.5" customHeight="1" x14ac:dyDescent="0.3">
      <c r="B9" s="96" t="s">
        <v>59</v>
      </c>
      <c r="C9" s="97"/>
      <c r="D9" s="97"/>
      <c r="E9" s="32"/>
      <c r="F9" s="33"/>
    </row>
    <row r="10" spans="2:6" ht="19.5" customHeight="1" x14ac:dyDescent="0.25">
      <c r="B10" s="98" t="s">
        <v>60</v>
      </c>
      <c r="C10" s="99">
        <v>8.3299999999999999E-2</v>
      </c>
      <c r="D10" s="99">
        <v>8.3299999999999999E-2</v>
      </c>
      <c r="E10" s="32"/>
    </row>
    <row r="11" spans="2:6" ht="19.5" customHeight="1" x14ac:dyDescent="0.25">
      <c r="B11" s="98" t="s">
        <v>61</v>
      </c>
      <c r="C11" s="99">
        <v>0.01</v>
      </c>
      <c r="D11" s="99">
        <v>0.01</v>
      </c>
      <c r="E11" s="32"/>
      <c r="F11" s="33"/>
    </row>
    <row r="12" spans="2:6" ht="19.5" customHeight="1" x14ac:dyDescent="0.25">
      <c r="B12" s="98" t="s">
        <v>62</v>
      </c>
      <c r="C12" s="99">
        <v>4.7199999999999999E-2</v>
      </c>
      <c r="D12" s="99">
        <v>4.7199999999999999E-2</v>
      </c>
      <c r="E12" s="32"/>
    </row>
    <row r="13" spans="2:6" ht="19.5" customHeight="1" x14ac:dyDescent="0.25">
      <c r="B13" s="98" t="s">
        <v>63</v>
      </c>
      <c r="C13" s="99">
        <v>8.3299999999999999E-2</v>
      </c>
      <c r="D13" s="99">
        <v>8.3299999999999999E-2</v>
      </c>
      <c r="E13" s="32"/>
    </row>
    <row r="14" spans="2:6" ht="19.5" customHeight="1" x14ac:dyDescent="0.25">
      <c r="B14" s="98" t="s">
        <v>64</v>
      </c>
      <c r="C14" s="99">
        <v>0.06</v>
      </c>
      <c r="D14" s="99">
        <v>0.04</v>
      </c>
      <c r="E14" s="32"/>
    </row>
    <row r="15" spans="2:6" ht="19.5" customHeight="1" x14ac:dyDescent="0.3">
      <c r="B15" s="96" t="s">
        <v>65</v>
      </c>
      <c r="C15" s="99"/>
      <c r="D15" s="99"/>
      <c r="E15" s="32"/>
    </row>
    <row r="16" spans="2:6" ht="19.5" customHeight="1" x14ac:dyDescent="0.25">
      <c r="B16" s="98" t="s">
        <v>66</v>
      </c>
      <c r="C16" s="99">
        <v>0.12</v>
      </c>
      <c r="D16" s="99">
        <v>0.12</v>
      </c>
      <c r="E16" s="32"/>
    </row>
    <row r="17" spans="2:6" ht="19.5" customHeight="1" x14ac:dyDescent="0.25">
      <c r="B17" s="98" t="s">
        <v>67</v>
      </c>
      <c r="C17" s="99">
        <v>6.9599999999999995E-2</v>
      </c>
      <c r="D17" s="99">
        <v>6.9599999999999995E-2</v>
      </c>
      <c r="E17" s="32"/>
    </row>
    <row r="18" spans="2:6" ht="19.5" customHeight="1" x14ac:dyDescent="0.25">
      <c r="B18" s="98" t="s">
        <v>68</v>
      </c>
      <c r="C18" s="99">
        <v>0</v>
      </c>
      <c r="D18" s="99">
        <v>0</v>
      </c>
      <c r="E18" s="32"/>
    </row>
    <row r="19" spans="2:6" ht="19.5" customHeight="1" x14ac:dyDescent="0.25">
      <c r="B19" s="98" t="s">
        <v>69</v>
      </c>
      <c r="C19" s="99">
        <v>2.12E-2</v>
      </c>
      <c r="D19" s="99">
        <v>2.12E-2</v>
      </c>
      <c r="E19" s="32"/>
    </row>
    <row r="20" spans="2:6" ht="19.5" customHeight="1" x14ac:dyDescent="0.3">
      <c r="B20" s="96" t="s">
        <v>70</v>
      </c>
      <c r="C20" s="99"/>
      <c r="D20" s="99"/>
      <c r="E20" s="32"/>
    </row>
    <row r="21" spans="2:6" ht="19.5" customHeight="1" x14ac:dyDescent="0.25">
      <c r="B21" s="98" t="s">
        <v>71</v>
      </c>
      <c r="C21" s="99">
        <v>2.5000000000000001E-2</v>
      </c>
      <c r="D21" s="99">
        <v>2.5000000000000001E-2</v>
      </c>
      <c r="E21" s="32"/>
    </row>
    <row r="22" spans="2:6" ht="19.5" customHeight="1" x14ac:dyDescent="0.25">
      <c r="B22" s="98" t="s">
        <v>72</v>
      </c>
      <c r="C22" s="99">
        <v>0</v>
      </c>
      <c r="D22" s="99">
        <v>0</v>
      </c>
      <c r="E22" s="32"/>
    </row>
    <row r="23" spans="2:6" ht="19.5" customHeight="1" x14ac:dyDescent="0.25">
      <c r="B23" s="98" t="s">
        <v>73</v>
      </c>
      <c r="C23" s="99">
        <v>0.04</v>
      </c>
      <c r="D23" s="99">
        <v>0.04</v>
      </c>
      <c r="E23" s="32"/>
    </row>
    <row r="24" spans="2:6" ht="19.5" customHeight="1" x14ac:dyDescent="0.25">
      <c r="B24" s="98" t="s">
        <v>74</v>
      </c>
      <c r="C24" s="99">
        <f>C5/C4</f>
        <v>0.11717221081179845</v>
      </c>
      <c r="D24" s="99"/>
      <c r="E24" s="32"/>
    </row>
    <row r="25" spans="2:6" ht="19.5" customHeight="1" x14ac:dyDescent="0.25">
      <c r="B25" s="98" t="s">
        <v>75</v>
      </c>
      <c r="C25" s="99">
        <v>0.05</v>
      </c>
      <c r="D25" s="99">
        <v>0.05</v>
      </c>
      <c r="E25" s="32"/>
    </row>
    <row r="26" spans="2:6" ht="19.5" customHeight="1" x14ac:dyDescent="0.25">
      <c r="B26" s="98" t="s">
        <v>76</v>
      </c>
      <c r="C26" s="99">
        <v>0.02</v>
      </c>
      <c r="D26" s="99">
        <v>0.02</v>
      </c>
      <c r="E26" s="32"/>
    </row>
    <row r="27" spans="2:6" ht="19.5" customHeight="1" x14ac:dyDescent="0.3">
      <c r="B27" s="34"/>
      <c r="C27" s="100">
        <f>SUM(C9:C26)</f>
        <v>0.74677221081179845</v>
      </c>
      <c r="D27" s="100">
        <f>SUM(D9:D26)</f>
        <v>0.60960000000000003</v>
      </c>
      <c r="E27" s="32"/>
    </row>
    <row r="28" spans="2:6" ht="19.5" customHeight="1" x14ac:dyDescent="0.25">
      <c r="B28" s="35"/>
      <c r="C28" s="32"/>
      <c r="D28" s="31"/>
      <c r="E28" s="32"/>
    </row>
    <row r="29" spans="2:6" ht="33" customHeight="1" x14ac:dyDescent="0.25">
      <c r="B29" s="101" t="s">
        <v>77</v>
      </c>
      <c r="C29" s="101" t="s">
        <v>78</v>
      </c>
      <c r="D29" s="102" t="s">
        <v>79</v>
      </c>
      <c r="E29" s="102" t="s">
        <v>80</v>
      </c>
      <c r="F29" s="102" t="s">
        <v>81</v>
      </c>
    </row>
    <row r="30" spans="2:6" ht="19.5" customHeight="1" x14ac:dyDescent="0.25">
      <c r="B30" s="103" t="s">
        <v>82</v>
      </c>
      <c r="C30" s="104">
        <f>C4</f>
        <v>908526</v>
      </c>
      <c r="D30" s="105">
        <f>ROUND((C30*$C$27),0)</f>
        <v>678462</v>
      </c>
      <c r="E30" s="106">
        <f>C30+D30</f>
        <v>1586988</v>
      </c>
      <c r="F30" s="107">
        <f>ROUND((E30/30),0)</f>
        <v>52900</v>
      </c>
    </row>
    <row r="31" spans="2:6" ht="19.5" customHeight="1" x14ac:dyDescent="0.25">
      <c r="B31" s="103" t="s">
        <v>83</v>
      </c>
      <c r="C31" s="106">
        <f>C30*1.4</f>
        <v>1271936.3999999999</v>
      </c>
      <c r="D31" s="105">
        <f>ROUND((C31*$C$27),0)</f>
        <v>949847</v>
      </c>
      <c r="E31" s="106">
        <f t="shared" ref="E31:E45" si="0">C31+D31</f>
        <v>2221783.4</v>
      </c>
      <c r="F31" s="107">
        <f t="shared" ref="F31:F45" si="1">ROUND((E31/30),0)</f>
        <v>74059</v>
      </c>
    </row>
    <row r="32" spans="2:6" ht="19.5" customHeight="1" x14ac:dyDescent="0.25">
      <c r="B32" s="103" t="s">
        <v>84</v>
      </c>
      <c r="C32" s="106">
        <f>C30*1.8</f>
        <v>1635346.8</v>
      </c>
      <c r="D32" s="105">
        <f t="shared" ref="D32:D42" si="2">ROUND((C32*$C$27),0)</f>
        <v>1221232</v>
      </c>
      <c r="E32" s="106">
        <f t="shared" si="0"/>
        <v>2856578.8</v>
      </c>
      <c r="F32" s="107">
        <f t="shared" si="1"/>
        <v>95219</v>
      </c>
    </row>
    <row r="33" spans="2:6" ht="19.5" customHeight="1" x14ac:dyDescent="0.25">
      <c r="B33" s="103" t="s">
        <v>85</v>
      </c>
      <c r="C33" s="106">
        <f>C30*1.5</f>
        <v>1362789</v>
      </c>
      <c r="D33" s="105">
        <f t="shared" si="2"/>
        <v>1017693</v>
      </c>
      <c r="E33" s="106">
        <f t="shared" si="0"/>
        <v>2380482</v>
      </c>
      <c r="F33" s="107">
        <f t="shared" si="1"/>
        <v>79349</v>
      </c>
    </row>
    <row r="34" spans="2:6" ht="19.5" customHeight="1" x14ac:dyDescent="0.25">
      <c r="B34" s="103" t="s">
        <v>86</v>
      </c>
      <c r="C34" s="106">
        <f>C30</f>
        <v>908526</v>
      </c>
      <c r="D34" s="105">
        <f t="shared" si="2"/>
        <v>678462</v>
      </c>
      <c r="E34" s="106">
        <f t="shared" si="0"/>
        <v>1586988</v>
      </c>
      <c r="F34" s="107">
        <f t="shared" si="1"/>
        <v>52900</v>
      </c>
    </row>
    <row r="35" spans="2:6" ht="19.5" customHeight="1" x14ac:dyDescent="0.25">
      <c r="B35" s="103" t="s">
        <v>87</v>
      </c>
      <c r="C35" s="106">
        <f>C30*2.8</f>
        <v>2543872.7999999998</v>
      </c>
      <c r="D35" s="105">
        <f>ROUND((C35*D27),0)</f>
        <v>1550745</v>
      </c>
      <c r="E35" s="106">
        <f t="shared" si="0"/>
        <v>4094617.8</v>
      </c>
      <c r="F35" s="107">
        <f t="shared" si="1"/>
        <v>136487</v>
      </c>
    </row>
    <row r="36" spans="2:6" ht="19.5" customHeight="1" x14ac:dyDescent="0.25">
      <c r="B36" s="103" t="s">
        <v>88</v>
      </c>
      <c r="C36" s="106">
        <f>C30*1.8</f>
        <v>1635346.8</v>
      </c>
      <c r="D36" s="105">
        <f t="shared" si="2"/>
        <v>1221232</v>
      </c>
      <c r="E36" s="106">
        <f t="shared" si="0"/>
        <v>2856578.8</v>
      </c>
      <c r="F36" s="107">
        <f t="shared" si="1"/>
        <v>95219</v>
      </c>
    </row>
    <row r="37" spans="2:6" ht="19.5" customHeight="1" x14ac:dyDescent="0.25">
      <c r="B37" s="103" t="s">
        <v>89</v>
      </c>
      <c r="C37" s="106">
        <f>C30*2.5</f>
        <v>2271315</v>
      </c>
      <c r="D37" s="105">
        <f t="shared" si="2"/>
        <v>1696155</v>
      </c>
      <c r="E37" s="106">
        <f t="shared" si="0"/>
        <v>3967470</v>
      </c>
      <c r="F37" s="107">
        <f t="shared" si="1"/>
        <v>132249</v>
      </c>
    </row>
    <row r="38" spans="2:6" ht="19.5" customHeight="1" x14ac:dyDescent="0.25">
      <c r="B38" s="103" t="s">
        <v>90</v>
      </c>
      <c r="C38" s="106">
        <f>C30*2.5</f>
        <v>2271315</v>
      </c>
      <c r="D38" s="105">
        <f t="shared" si="2"/>
        <v>1696155</v>
      </c>
      <c r="E38" s="106">
        <f t="shared" si="0"/>
        <v>3967470</v>
      </c>
      <c r="F38" s="107">
        <f t="shared" si="1"/>
        <v>132249</v>
      </c>
    </row>
    <row r="39" spans="2:6" ht="19.5" customHeight="1" x14ac:dyDescent="0.25">
      <c r="B39" s="103" t="s">
        <v>91</v>
      </c>
      <c r="C39" s="106">
        <f>C30*2</f>
        <v>1817052</v>
      </c>
      <c r="D39" s="105">
        <f t="shared" si="2"/>
        <v>1356924</v>
      </c>
      <c r="E39" s="106">
        <f t="shared" si="0"/>
        <v>3173976</v>
      </c>
      <c r="F39" s="107">
        <f t="shared" si="1"/>
        <v>105799</v>
      </c>
    </row>
    <row r="40" spans="2:6" ht="19.5" customHeight="1" x14ac:dyDescent="0.25">
      <c r="B40" s="103" t="s">
        <v>92</v>
      </c>
      <c r="C40" s="106">
        <f>C30*1.6</f>
        <v>1453641.6</v>
      </c>
      <c r="D40" s="105">
        <f t="shared" si="2"/>
        <v>1085539</v>
      </c>
      <c r="E40" s="106">
        <f t="shared" si="0"/>
        <v>2539180.6</v>
      </c>
      <c r="F40" s="107">
        <f t="shared" si="1"/>
        <v>84639</v>
      </c>
    </row>
    <row r="41" spans="2:6" ht="19.5" customHeight="1" x14ac:dyDescent="0.25">
      <c r="B41" s="103" t="s">
        <v>93</v>
      </c>
      <c r="C41" s="106">
        <f>C30*1.8</f>
        <v>1635346.8</v>
      </c>
      <c r="D41" s="105">
        <f t="shared" si="2"/>
        <v>1221232</v>
      </c>
      <c r="E41" s="106">
        <f t="shared" si="0"/>
        <v>2856578.8</v>
      </c>
      <c r="F41" s="107">
        <f t="shared" si="1"/>
        <v>95219</v>
      </c>
    </row>
    <row r="42" spans="2:6" ht="19.5" customHeight="1" x14ac:dyDescent="0.25">
      <c r="B42" s="103" t="s">
        <v>94</v>
      </c>
      <c r="C42" s="106">
        <f>C30*1.8</f>
        <v>1635346.8</v>
      </c>
      <c r="D42" s="105">
        <f t="shared" si="2"/>
        <v>1221232</v>
      </c>
      <c r="E42" s="106">
        <f t="shared" si="0"/>
        <v>2856578.8</v>
      </c>
      <c r="F42" s="107">
        <f t="shared" si="1"/>
        <v>95219</v>
      </c>
    </row>
    <row r="43" spans="2:6" ht="19.5" customHeight="1" x14ac:dyDescent="0.25">
      <c r="B43" s="103" t="s">
        <v>95</v>
      </c>
      <c r="C43" s="106">
        <f>C30*3.5</f>
        <v>3179841</v>
      </c>
      <c r="D43" s="105">
        <f>ROUND((C43*$D$27),0)</f>
        <v>1938431</v>
      </c>
      <c r="E43" s="106">
        <f t="shared" si="0"/>
        <v>5118272</v>
      </c>
      <c r="F43" s="107">
        <f t="shared" si="1"/>
        <v>170609</v>
      </c>
    </row>
    <row r="44" spans="2:6" ht="19.5" customHeight="1" x14ac:dyDescent="0.25">
      <c r="B44" s="103" t="s">
        <v>96</v>
      </c>
      <c r="C44" s="106">
        <f>C30*2.8</f>
        <v>2543872.7999999998</v>
      </c>
      <c r="D44" s="105">
        <f>ROUND((C44*$D$27),0)</f>
        <v>1550745</v>
      </c>
      <c r="E44" s="106">
        <f t="shared" si="0"/>
        <v>4094617.8</v>
      </c>
      <c r="F44" s="107">
        <f t="shared" si="1"/>
        <v>136487</v>
      </c>
    </row>
    <row r="45" spans="2:6" ht="19.5" customHeight="1" x14ac:dyDescent="0.25">
      <c r="B45" s="103" t="s">
        <v>97</v>
      </c>
      <c r="C45" s="106">
        <f>C30*1.6</f>
        <v>1453641.6</v>
      </c>
      <c r="D45" s="105">
        <f>ROUND((C45*$D$27),0)</f>
        <v>886140</v>
      </c>
      <c r="E45" s="106">
        <f t="shared" si="0"/>
        <v>2339781.6</v>
      </c>
      <c r="F45" s="107">
        <f t="shared" si="1"/>
        <v>77993</v>
      </c>
    </row>
    <row r="46" spans="2:6" ht="19.5" customHeight="1" x14ac:dyDescent="0.25">
      <c r="B46" s="108" t="s">
        <v>98</v>
      </c>
      <c r="C46" s="109"/>
      <c r="D46" s="110"/>
      <c r="E46" s="109"/>
      <c r="F46" s="107">
        <f>F32+F30</f>
        <v>148119</v>
      </c>
    </row>
    <row r="47" spans="2:6" ht="19.5" customHeight="1" x14ac:dyDescent="0.25">
      <c r="B47" s="108" t="s">
        <v>99</v>
      </c>
      <c r="C47" s="109"/>
      <c r="D47" s="110"/>
      <c r="E47" s="109"/>
      <c r="F47" s="107">
        <f>F32+(2*F30)</f>
        <v>201019</v>
      </c>
    </row>
    <row r="48" spans="2:6" ht="19.5" customHeight="1" x14ac:dyDescent="0.25">
      <c r="B48" s="108" t="s">
        <v>100</v>
      </c>
      <c r="C48" s="109"/>
      <c r="D48" s="110"/>
      <c r="E48" s="109"/>
      <c r="F48" s="107">
        <f>F32+(4*F30)</f>
        <v>306819</v>
      </c>
    </row>
    <row r="49" spans="2:8" ht="19.5" customHeight="1" x14ac:dyDescent="0.25">
      <c r="B49" s="108" t="s">
        <v>101</v>
      </c>
      <c r="C49" s="109"/>
      <c r="D49" s="110"/>
      <c r="E49" s="109"/>
      <c r="F49" s="107">
        <f>F38+(2*F31)</f>
        <v>280367</v>
      </c>
    </row>
    <row r="50" spans="2:8" ht="19.5" customHeight="1" x14ac:dyDescent="0.25">
      <c r="B50" s="108" t="s">
        <v>102</v>
      </c>
      <c r="C50" s="109"/>
      <c r="D50" s="110"/>
      <c r="E50" s="109"/>
      <c r="F50" s="107">
        <f>F43+F33+(2*F34)</f>
        <v>355758</v>
      </c>
    </row>
    <row r="51" spans="2:8" ht="19.5" customHeight="1" x14ac:dyDescent="0.25">
      <c r="B51" s="108" t="s">
        <v>103</v>
      </c>
      <c r="C51" s="109"/>
      <c r="D51" s="110"/>
      <c r="E51" s="109"/>
      <c r="F51" s="107">
        <f>$F$32+(7*$F$30)</f>
        <v>465519</v>
      </c>
      <c r="G51" s="36"/>
      <c r="H51" s="36"/>
    </row>
    <row r="52" spans="2:8" ht="19.5" customHeight="1" x14ac:dyDescent="0.25">
      <c r="B52" s="108" t="s">
        <v>104</v>
      </c>
      <c r="C52" s="109"/>
      <c r="D52" s="110"/>
      <c r="E52" s="109"/>
      <c r="F52" s="107">
        <f>(2*F32)+(4*F30)</f>
        <v>402038</v>
      </c>
    </row>
    <row r="53" spans="2:8" ht="19.5" customHeight="1" x14ac:dyDescent="0.25">
      <c r="B53" s="108" t="s">
        <v>105</v>
      </c>
      <c r="C53" s="109"/>
      <c r="D53" s="110"/>
      <c r="E53" s="109"/>
      <c r="F53" s="107">
        <f>(6*F32)+(4*F30)</f>
        <v>782914</v>
      </c>
    </row>
    <row r="54" spans="2:8" ht="19.5" customHeight="1" x14ac:dyDescent="0.25">
      <c r="B54" s="108" t="s">
        <v>106</v>
      </c>
      <c r="C54" s="109"/>
      <c r="D54" s="110"/>
      <c r="E54" s="109"/>
      <c r="F54" s="107">
        <f>4*F30</f>
        <v>211600</v>
      </c>
    </row>
    <row r="55" spans="2:8" ht="19.5" customHeight="1" x14ac:dyDescent="0.25">
      <c r="B55" s="108" t="s">
        <v>107</v>
      </c>
      <c r="C55" s="109"/>
      <c r="D55" s="110"/>
      <c r="E55" s="109"/>
      <c r="F55" s="107">
        <f>F39+F45</f>
        <v>183792</v>
      </c>
    </row>
    <row r="56" spans="2:8" ht="19.5" customHeight="1" x14ac:dyDescent="0.25">
      <c r="B56" s="108" t="s">
        <v>108</v>
      </c>
      <c r="C56" s="109"/>
      <c r="D56" s="110"/>
      <c r="E56" s="109"/>
      <c r="F56" s="107">
        <f>F39+(2*F45)</f>
        <v>261785</v>
      </c>
    </row>
    <row r="57" spans="2:8" ht="19.5" customHeight="1" x14ac:dyDescent="0.25">
      <c r="B57" s="108" t="s">
        <v>109</v>
      </c>
      <c r="C57" s="109"/>
      <c r="D57" s="110"/>
      <c r="E57" s="109"/>
      <c r="F57" s="107">
        <f>F42+F31</f>
        <v>169278</v>
      </c>
    </row>
    <row r="58" spans="2:8" ht="19.5" customHeight="1" x14ac:dyDescent="0.25">
      <c r="B58" s="108" t="s">
        <v>110</v>
      </c>
      <c r="C58" s="109"/>
      <c r="D58" s="110"/>
      <c r="E58" s="109"/>
      <c r="F58" s="107">
        <f>F32*2+F30*8</f>
        <v>613638</v>
      </c>
    </row>
    <row r="59" spans="2:8" ht="19.5" customHeight="1" x14ac:dyDescent="0.25">
      <c r="B59" s="108" t="s">
        <v>111</v>
      </c>
      <c r="C59" s="109"/>
      <c r="D59" s="110"/>
      <c r="E59" s="109"/>
      <c r="F59" s="107">
        <f>F43+(3*F41)</f>
        <v>456266</v>
      </c>
    </row>
    <row r="60" spans="2:8" ht="19.5" customHeight="1" x14ac:dyDescent="0.25">
      <c r="B60" s="32"/>
      <c r="C60" s="32"/>
      <c r="D60" s="31"/>
      <c r="E60" s="32"/>
    </row>
    <row r="61" spans="2:8" ht="19.5" customHeight="1" x14ac:dyDescent="0.25">
      <c r="B61" s="32"/>
      <c r="C61" s="32"/>
      <c r="D61" s="31"/>
      <c r="E61" s="32"/>
    </row>
    <row r="62" spans="2:8" ht="19.5" customHeight="1" x14ac:dyDescent="0.25">
      <c r="B62" s="32"/>
      <c r="C62" s="32"/>
      <c r="D62" s="31"/>
      <c r="E62" s="32"/>
    </row>
    <row r="63" spans="2:8" ht="19.5" customHeight="1" x14ac:dyDescent="0.25">
      <c r="B63" s="32"/>
      <c r="C63" s="32"/>
      <c r="D63" s="31"/>
      <c r="E63" s="32"/>
    </row>
    <row r="64" spans="2:8" ht="19.5" customHeight="1" x14ac:dyDescent="0.25">
      <c r="B64" s="32"/>
      <c r="C64" s="32"/>
      <c r="D64" s="31"/>
      <c r="E64" s="32"/>
    </row>
    <row r="65" spans="2:5" ht="19.5" customHeight="1" x14ac:dyDescent="0.25">
      <c r="B65" s="32"/>
      <c r="C65" s="32"/>
      <c r="D65" s="31"/>
      <c r="E65" s="32"/>
    </row>
    <row r="66" spans="2:5" ht="19.5" customHeight="1" x14ac:dyDescent="0.25">
      <c r="B66" s="32"/>
      <c r="C66" s="32"/>
      <c r="D66" s="31"/>
      <c r="E66" s="32"/>
    </row>
    <row r="67" spans="2:5" ht="19.5" customHeight="1" x14ac:dyDescent="0.25">
      <c r="B67" s="32"/>
      <c r="C67" s="32"/>
      <c r="D67" s="31"/>
      <c r="E67" s="32"/>
    </row>
    <row r="68" spans="2:5" ht="19.5" customHeight="1" x14ac:dyDescent="0.25">
      <c r="B68" s="32"/>
      <c r="C68" s="32"/>
      <c r="D68" s="31"/>
      <c r="E68" s="32"/>
    </row>
    <row r="69" spans="2:5" ht="19.5" customHeight="1" x14ac:dyDescent="0.25">
      <c r="B69" s="32"/>
      <c r="C69" s="32"/>
      <c r="D69" s="31"/>
      <c r="E69" s="32"/>
    </row>
    <row r="70" spans="2:5" ht="19.5" customHeight="1" x14ac:dyDescent="0.25">
      <c r="B70" s="32"/>
      <c r="C70" s="32"/>
      <c r="D70" s="31"/>
      <c r="E70" s="32"/>
    </row>
    <row r="71" spans="2:5" ht="19.5" customHeight="1" x14ac:dyDescent="0.25">
      <c r="B71" s="32"/>
      <c r="C71" s="32"/>
      <c r="D71" s="31"/>
      <c r="E71" s="32"/>
    </row>
    <row r="72" spans="2:5" ht="19.5" customHeight="1" x14ac:dyDescent="0.25">
      <c r="B72" s="32"/>
      <c r="C72" s="32"/>
      <c r="D72" s="31"/>
      <c r="E72" s="32"/>
    </row>
    <row r="73" spans="2:5" ht="19.5" customHeight="1" x14ac:dyDescent="0.25">
      <c r="B73" s="32"/>
      <c r="C73" s="32"/>
      <c r="D73" s="31"/>
      <c r="E73" s="32"/>
    </row>
    <row r="74" spans="2:5" ht="19.5" customHeight="1" x14ac:dyDescent="0.25">
      <c r="B74" s="32"/>
      <c r="C74" s="32"/>
      <c r="D74" s="31"/>
      <c r="E74" s="32"/>
    </row>
    <row r="75" spans="2:5" ht="19.5" customHeight="1" x14ac:dyDescent="0.25">
      <c r="B75" s="32"/>
      <c r="C75" s="32"/>
      <c r="D75" s="31"/>
      <c r="E75" s="32"/>
    </row>
    <row r="76" spans="2:5" ht="19.5" customHeight="1" x14ac:dyDescent="0.25">
      <c r="B76" s="32"/>
      <c r="C76" s="32"/>
      <c r="D76" s="31"/>
      <c r="E76" s="32"/>
    </row>
    <row r="77" spans="2:5" ht="19.5" customHeight="1" x14ac:dyDescent="0.25">
      <c r="B77" s="32"/>
      <c r="C77" s="32"/>
      <c r="D77" s="31"/>
      <c r="E77" s="32"/>
    </row>
    <row r="78" spans="2:5" ht="19.5" customHeight="1" x14ac:dyDescent="0.25">
      <c r="B78" s="32"/>
      <c r="C78" s="32"/>
      <c r="D78" s="31"/>
      <c r="E78" s="32"/>
    </row>
    <row r="79" spans="2:5" ht="19.5" customHeight="1" x14ac:dyDescent="0.25">
      <c r="B79" s="32"/>
      <c r="C79" s="32"/>
      <c r="D79" s="31"/>
      <c r="E79" s="32"/>
    </row>
    <row r="80" spans="2:5" ht="19.5" customHeight="1" x14ac:dyDescent="0.25">
      <c r="B80" s="32"/>
      <c r="C80" s="32"/>
      <c r="D80" s="31"/>
      <c r="E80" s="32"/>
    </row>
    <row r="81" spans="2:5" ht="19.5" customHeight="1" x14ac:dyDescent="0.25">
      <c r="B81" s="32"/>
      <c r="C81" s="32"/>
      <c r="D81" s="31"/>
      <c r="E81" s="32"/>
    </row>
    <row r="82" spans="2:5" ht="19.5" customHeight="1" x14ac:dyDescent="0.25">
      <c r="B82" s="32"/>
      <c r="C82" s="32"/>
      <c r="D82" s="31"/>
      <c r="E82" s="32"/>
    </row>
    <row r="83" spans="2:5" ht="19.5" customHeight="1" x14ac:dyDescent="0.25">
      <c r="B83" s="32"/>
      <c r="C83" s="32"/>
      <c r="D83" s="31"/>
      <c r="E83" s="32"/>
    </row>
    <row r="84" spans="2:5" ht="19.5" customHeight="1" x14ac:dyDescent="0.25">
      <c r="B84" s="32"/>
      <c r="C84" s="32"/>
      <c r="D84" s="31"/>
      <c r="E84" s="32"/>
    </row>
    <row r="85" spans="2:5" ht="19.5" customHeight="1" x14ac:dyDescent="0.25">
      <c r="B85" s="32"/>
      <c r="C85" s="32"/>
      <c r="D85" s="31"/>
      <c r="E85" s="32"/>
    </row>
    <row r="86" spans="2:5" ht="19.5" customHeight="1" x14ac:dyDescent="0.25">
      <c r="B86" s="32"/>
      <c r="C86" s="32"/>
      <c r="D86" s="31"/>
      <c r="E86" s="32"/>
    </row>
    <row r="87" spans="2:5" ht="19.5" customHeight="1" x14ac:dyDescent="0.25">
      <c r="B87" s="32"/>
      <c r="C87" s="32"/>
      <c r="D87" s="31"/>
      <c r="E87" s="32"/>
    </row>
    <row r="88" spans="2:5" ht="19.5" customHeight="1" x14ac:dyDescent="0.25">
      <c r="B88" s="32"/>
      <c r="C88" s="32"/>
      <c r="D88" s="31"/>
      <c r="E88" s="32"/>
    </row>
    <row r="89" spans="2:5" ht="19.5" customHeight="1" x14ac:dyDescent="0.25">
      <c r="B89" s="32"/>
      <c r="C89" s="32"/>
      <c r="D89" s="31"/>
      <c r="E89" s="32"/>
    </row>
    <row r="90" spans="2:5" ht="19.5" customHeight="1" x14ac:dyDescent="0.25">
      <c r="B90" s="32"/>
      <c r="C90" s="32"/>
      <c r="D90" s="31"/>
      <c r="E90" s="32"/>
    </row>
    <row r="91" spans="2:5" ht="19.5" customHeight="1" x14ac:dyDescent="0.25">
      <c r="B91" s="32"/>
      <c r="C91" s="32"/>
      <c r="D91" s="31"/>
      <c r="E91" s="32"/>
    </row>
    <row r="92" spans="2:5" ht="19.5" customHeight="1" x14ac:dyDescent="0.25">
      <c r="B92" s="32"/>
      <c r="C92" s="32"/>
      <c r="D92" s="31"/>
      <c r="E92" s="32"/>
    </row>
    <row r="93" spans="2:5" ht="19.5" customHeight="1" x14ac:dyDescent="0.25">
      <c r="B93" s="32"/>
      <c r="C93" s="32"/>
      <c r="D93" s="31"/>
      <c r="E93" s="32"/>
    </row>
    <row r="94" spans="2:5" ht="19.5" customHeight="1" x14ac:dyDescent="0.25">
      <c r="B94" s="32"/>
      <c r="C94" s="32"/>
      <c r="D94" s="31"/>
      <c r="E94" s="32"/>
    </row>
    <row r="95" spans="2:5" ht="19.5" customHeight="1" x14ac:dyDescent="0.25">
      <c r="B95" s="32"/>
      <c r="C95" s="32"/>
      <c r="D95" s="31"/>
      <c r="E95" s="32"/>
    </row>
    <row r="96" spans="2:5" ht="19.5" customHeight="1" x14ac:dyDescent="0.25">
      <c r="B96" s="32"/>
      <c r="C96" s="32"/>
      <c r="D96" s="31"/>
      <c r="E96" s="32"/>
    </row>
    <row r="97" spans="2:5" ht="19.5" customHeight="1" x14ac:dyDescent="0.25">
      <c r="B97" s="32"/>
      <c r="C97" s="32"/>
      <c r="D97" s="31"/>
      <c r="E97" s="32"/>
    </row>
    <row r="98" spans="2:5" ht="19.5" customHeight="1" x14ac:dyDescent="0.25">
      <c r="B98" s="32"/>
      <c r="C98" s="32"/>
      <c r="D98" s="31"/>
      <c r="E98" s="32"/>
    </row>
    <row r="99" spans="2:5" ht="19.5" customHeight="1" x14ac:dyDescent="0.25">
      <c r="B99" s="32"/>
      <c r="C99" s="32"/>
      <c r="D99" s="31"/>
      <c r="E99" s="32"/>
    </row>
    <row r="100" spans="2:5" ht="19.5" customHeight="1" x14ac:dyDescent="0.25">
      <c r="B100" s="32"/>
      <c r="C100" s="32"/>
      <c r="D100" s="31"/>
      <c r="E100" s="32"/>
    </row>
    <row r="101" spans="2:5" ht="19.5" customHeight="1" x14ac:dyDescent="0.25">
      <c r="B101" s="32"/>
      <c r="C101" s="32"/>
      <c r="D101" s="31"/>
      <c r="E101" s="32"/>
    </row>
    <row r="102" spans="2:5" ht="19.5" customHeight="1" x14ac:dyDescent="0.25">
      <c r="B102" s="32"/>
      <c r="C102" s="32"/>
      <c r="D102" s="31"/>
      <c r="E102" s="32"/>
    </row>
    <row r="103" spans="2:5" ht="19.5" customHeight="1" x14ac:dyDescent="0.25">
      <c r="B103" s="32"/>
      <c r="C103" s="32"/>
      <c r="D103" s="31"/>
      <c r="E103" s="32"/>
    </row>
    <row r="104" spans="2:5" ht="19.5" customHeight="1" x14ac:dyDescent="0.25">
      <c r="B104" s="32"/>
      <c r="C104" s="32"/>
      <c r="D104" s="31"/>
      <c r="E104" s="32"/>
    </row>
    <row r="105" spans="2:5" ht="19.5" customHeight="1" x14ac:dyDescent="0.25">
      <c r="B105" s="32"/>
      <c r="C105" s="32"/>
      <c r="D105" s="31"/>
      <c r="E105" s="32"/>
    </row>
    <row r="106" spans="2:5" ht="19.5" customHeight="1" x14ac:dyDescent="0.25">
      <c r="B106" s="32"/>
      <c r="C106" s="32"/>
      <c r="D106" s="31"/>
      <c r="E106" s="32"/>
    </row>
    <row r="107" spans="2:5" ht="19.5" customHeight="1" x14ac:dyDescent="0.25">
      <c r="B107" s="32"/>
      <c r="C107" s="32"/>
      <c r="D107" s="31"/>
      <c r="E107" s="32"/>
    </row>
    <row r="108" spans="2:5" ht="19.5" customHeight="1" x14ac:dyDescent="0.25">
      <c r="B108" s="32"/>
      <c r="C108" s="32"/>
      <c r="D108" s="31"/>
      <c r="E108" s="32"/>
    </row>
    <row r="109" spans="2:5" ht="19.5" customHeight="1" x14ac:dyDescent="0.25">
      <c r="B109" s="32"/>
      <c r="C109" s="32"/>
      <c r="D109" s="31"/>
      <c r="E109" s="32"/>
    </row>
    <row r="110" spans="2:5" ht="19.5" customHeight="1" x14ac:dyDescent="0.25">
      <c r="B110" s="32"/>
      <c r="C110" s="32"/>
      <c r="D110" s="31"/>
      <c r="E110" s="32"/>
    </row>
    <row r="111" spans="2:5" ht="19.5" customHeight="1" x14ac:dyDescent="0.25">
      <c r="B111" s="32"/>
      <c r="C111" s="32"/>
      <c r="D111" s="31"/>
      <c r="E111" s="32"/>
    </row>
    <row r="112" spans="2:5" ht="19.5" customHeight="1" x14ac:dyDescent="0.25">
      <c r="B112" s="32"/>
      <c r="C112" s="32"/>
      <c r="D112" s="31"/>
      <c r="E112" s="32"/>
    </row>
    <row r="113" spans="2:5" ht="19.5" customHeight="1" x14ac:dyDescent="0.25">
      <c r="B113" s="32"/>
      <c r="C113" s="32"/>
      <c r="D113" s="31"/>
      <c r="E113" s="32"/>
    </row>
    <row r="114" spans="2:5" ht="19.5" customHeight="1" x14ac:dyDescent="0.25">
      <c r="B114" s="32"/>
      <c r="C114" s="32"/>
      <c r="D114" s="31"/>
      <c r="E114" s="32"/>
    </row>
    <row r="115" spans="2:5" ht="19.5" customHeight="1" x14ac:dyDescent="0.25">
      <c r="B115" s="32"/>
      <c r="C115" s="32"/>
      <c r="D115" s="31"/>
      <c r="E115" s="32"/>
    </row>
    <row r="116" spans="2:5" ht="19.5" customHeight="1" x14ac:dyDescent="0.25">
      <c r="B116" s="32"/>
      <c r="C116" s="32"/>
      <c r="D116" s="31"/>
      <c r="E116" s="32"/>
    </row>
    <row r="117" spans="2:5" ht="19.5" customHeight="1" x14ac:dyDescent="0.25">
      <c r="B117" s="32"/>
      <c r="C117" s="32"/>
      <c r="D117" s="31"/>
      <c r="E117" s="32"/>
    </row>
    <row r="118" spans="2:5" ht="19.5" customHeight="1" x14ac:dyDescent="0.25">
      <c r="B118" s="32"/>
      <c r="C118" s="32"/>
      <c r="D118" s="31"/>
      <c r="E118" s="32"/>
    </row>
    <row r="119" spans="2:5" ht="19.5" customHeight="1" x14ac:dyDescent="0.25">
      <c r="B119" s="32"/>
      <c r="C119" s="32"/>
      <c r="D119" s="31"/>
      <c r="E119" s="32"/>
    </row>
    <row r="120" spans="2:5" ht="19.5" customHeight="1" x14ac:dyDescent="0.25">
      <c r="B120" s="32"/>
      <c r="C120" s="32"/>
      <c r="D120" s="31"/>
      <c r="E120" s="32"/>
    </row>
    <row r="121" spans="2:5" ht="19.5" customHeight="1" x14ac:dyDescent="0.25">
      <c r="B121" s="32"/>
      <c r="C121" s="32"/>
      <c r="D121" s="31"/>
      <c r="E121" s="32"/>
    </row>
    <row r="122" spans="2:5" ht="19.5" customHeight="1" x14ac:dyDescent="0.25">
      <c r="B122" s="32"/>
      <c r="C122" s="32"/>
      <c r="D122" s="31"/>
      <c r="E122" s="32"/>
    </row>
    <row r="123" spans="2:5" ht="19.5" customHeight="1" x14ac:dyDescent="0.25">
      <c r="B123" s="32"/>
      <c r="C123" s="32"/>
      <c r="D123" s="31"/>
      <c r="E123" s="32"/>
    </row>
    <row r="124" spans="2:5" ht="19.5" customHeight="1" x14ac:dyDescent="0.25">
      <c r="B124" s="32"/>
      <c r="C124" s="32"/>
      <c r="D124" s="31"/>
      <c r="E124" s="32"/>
    </row>
    <row r="125" spans="2:5" ht="19.5" customHeight="1" x14ac:dyDescent="0.25">
      <c r="B125" s="32"/>
      <c r="C125" s="32"/>
      <c r="D125" s="31"/>
      <c r="E125" s="32"/>
    </row>
    <row r="126" spans="2:5" ht="19.5" customHeight="1" x14ac:dyDescent="0.25">
      <c r="B126" s="32"/>
      <c r="C126" s="32"/>
      <c r="D126" s="31"/>
      <c r="E126" s="32"/>
    </row>
    <row r="127" spans="2:5" ht="19.5" customHeight="1" x14ac:dyDescent="0.25">
      <c r="B127" s="32"/>
      <c r="C127" s="32"/>
      <c r="D127" s="31"/>
      <c r="E127" s="32"/>
    </row>
    <row r="128" spans="2:5" ht="19.5" customHeight="1" x14ac:dyDescent="0.25">
      <c r="B128" s="32"/>
      <c r="C128" s="32"/>
      <c r="D128" s="31"/>
      <c r="E128" s="32"/>
    </row>
    <row r="129" spans="2:5" ht="19.5" customHeight="1" x14ac:dyDescent="0.25">
      <c r="B129" s="32"/>
      <c r="C129" s="32"/>
      <c r="D129" s="31"/>
      <c r="E129" s="32"/>
    </row>
    <row r="130" spans="2:5" ht="19.5" customHeight="1" x14ac:dyDescent="0.25">
      <c r="B130" s="32"/>
      <c r="C130" s="32"/>
      <c r="D130" s="31"/>
      <c r="E130" s="32"/>
    </row>
    <row r="131" spans="2:5" ht="19.5" customHeight="1" x14ac:dyDescent="0.25">
      <c r="B131" s="32"/>
      <c r="C131" s="32"/>
      <c r="D131" s="31"/>
      <c r="E131" s="32"/>
    </row>
    <row r="132" spans="2:5" ht="19.5" customHeight="1" x14ac:dyDescent="0.25">
      <c r="B132" s="32"/>
      <c r="C132" s="32"/>
      <c r="D132" s="31"/>
      <c r="E132" s="32"/>
    </row>
    <row r="133" spans="2:5" ht="19.5" customHeight="1" x14ac:dyDescent="0.25">
      <c r="B133" s="32"/>
      <c r="C133" s="32"/>
      <c r="D133" s="31"/>
      <c r="E133" s="32"/>
    </row>
    <row r="134" spans="2:5" ht="19.5" customHeight="1" x14ac:dyDescent="0.25">
      <c r="B134" s="32"/>
      <c r="C134" s="32"/>
      <c r="D134" s="31"/>
      <c r="E134" s="32"/>
    </row>
    <row r="135" spans="2:5" ht="19.5" customHeight="1" x14ac:dyDescent="0.25">
      <c r="B135" s="32"/>
      <c r="C135" s="32"/>
      <c r="D135" s="31"/>
      <c r="E135" s="32"/>
    </row>
    <row r="136" spans="2:5" ht="19.5" customHeight="1" x14ac:dyDescent="0.25">
      <c r="B136" s="32"/>
      <c r="C136" s="32"/>
      <c r="D136" s="31"/>
      <c r="E136" s="32"/>
    </row>
    <row r="137" spans="2:5" ht="19.5" customHeight="1" x14ac:dyDescent="0.25">
      <c r="B137" s="32"/>
      <c r="C137" s="32"/>
      <c r="D137" s="31"/>
      <c r="E137" s="32"/>
    </row>
    <row r="138" spans="2:5" ht="19.5" customHeight="1" x14ac:dyDescent="0.25">
      <c r="B138" s="32"/>
      <c r="C138" s="32"/>
      <c r="D138" s="31"/>
      <c r="E138" s="32"/>
    </row>
    <row r="139" spans="2:5" ht="19.5" customHeight="1" x14ac:dyDescent="0.25">
      <c r="B139" s="32"/>
      <c r="C139" s="32"/>
      <c r="D139" s="31"/>
      <c r="E139" s="32"/>
    </row>
    <row r="140" spans="2:5" ht="19.5" customHeight="1" x14ac:dyDescent="0.25">
      <c r="B140" s="32"/>
      <c r="C140" s="32"/>
      <c r="D140" s="31"/>
      <c r="E140" s="32"/>
    </row>
    <row r="141" spans="2:5" ht="19.5" customHeight="1" x14ac:dyDescent="0.25">
      <c r="B141" s="32"/>
      <c r="C141" s="32"/>
      <c r="D141" s="31"/>
      <c r="E141" s="32"/>
    </row>
    <row r="142" spans="2:5" ht="19.5" customHeight="1" x14ac:dyDescent="0.25">
      <c r="B142" s="32"/>
      <c r="C142" s="32"/>
      <c r="D142" s="31"/>
      <c r="E142" s="32"/>
    </row>
    <row r="143" spans="2:5" ht="19.5" customHeight="1" x14ac:dyDescent="0.25">
      <c r="B143" s="32"/>
      <c r="C143" s="32"/>
      <c r="D143" s="31"/>
      <c r="E143" s="32"/>
    </row>
    <row r="144" spans="2:5" ht="19.5" customHeight="1" x14ac:dyDescent="0.25">
      <c r="B144" s="32"/>
      <c r="C144" s="32"/>
      <c r="D144" s="31"/>
      <c r="E144" s="32"/>
    </row>
    <row r="145" spans="2:5" ht="19.5" customHeight="1" x14ac:dyDescent="0.25">
      <c r="B145" s="32"/>
      <c r="C145" s="32"/>
      <c r="D145" s="31"/>
      <c r="E145" s="32"/>
    </row>
    <row r="146" spans="2:5" ht="19.5" customHeight="1" x14ac:dyDescent="0.25">
      <c r="B146" s="32"/>
      <c r="C146" s="32"/>
      <c r="D146" s="31"/>
      <c r="E146" s="32"/>
    </row>
    <row r="147" spans="2:5" ht="19.5" customHeight="1" x14ac:dyDescent="0.25">
      <c r="B147" s="32"/>
      <c r="C147" s="32"/>
      <c r="D147" s="31"/>
      <c r="E147" s="32"/>
    </row>
    <row r="148" spans="2:5" ht="19.5" customHeight="1" x14ac:dyDescent="0.25">
      <c r="B148" s="32"/>
      <c r="C148" s="32"/>
      <c r="D148" s="31"/>
      <c r="E148" s="32"/>
    </row>
    <row r="149" spans="2:5" ht="19.5" customHeight="1" x14ac:dyDescent="0.25">
      <c r="B149" s="32"/>
      <c r="C149" s="32"/>
      <c r="D149" s="31"/>
      <c r="E149" s="32"/>
    </row>
    <row r="150" spans="2:5" ht="19.5" customHeight="1" x14ac:dyDescent="0.25">
      <c r="B150" s="32"/>
      <c r="C150" s="32"/>
      <c r="D150" s="31"/>
      <c r="E150" s="32"/>
    </row>
    <row r="151" spans="2:5" ht="19.5" customHeight="1" x14ac:dyDescent="0.25">
      <c r="B151" s="32"/>
      <c r="C151" s="32"/>
      <c r="D151" s="31"/>
      <c r="E151" s="32"/>
    </row>
    <row r="152" spans="2:5" ht="19.5" customHeight="1" x14ac:dyDescent="0.25">
      <c r="B152" s="32"/>
      <c r="C152" s="32"/>
      <c r="D152" s="31"/>
      <c r="E152" s="32"/>
    </row>
    <row r="153" spans="2:5" ht="19.5" customHeight="1" x14ac:dyDescent="0.25">
      <c r="B153" s="32"/>
      <c r="C153" s="32"/>
      <c r="D153" s="31"/>
      <c r="E153" s="32"/>
    </row>
    <row r="154" spans="2:5" ht="19.5" customHeight="1" x14ac:dyDescent="0.25">
      <c r="B154" s="32"/>
      <c r="C154" s="32"/>
      <c r="D154" s="31"/>
      <c r="E154" s="32"/>
    </row>
    <row r="155" spans="2:5" ht="19.5" customHeight="1" x14ac:dyDescent="0.25">
      <c r="B155" s="32"/>
      <c r="C155" s="32"/>
      <c r="D155" s="31"/>
      <c r="E155" s="32"/>
    </row>
    <row r="156" spans="2:5" ht="19.5" customHeight="1" x14ac:dyDescent="0.25">
      <c r="B156" s="32"/>
      <c r="C156" s="32"/>
      <c r="D156" s="31"/>
      <c r="E156" s="32"/>
    </row>
    <row r="157" spans="2:5" ht="19.5" customHeight="1" x14ac:dyDescent="0.25">
      <c r="B157" s="32"/>
      <c r="C157" s="32"/>
      <c r="D157" s="31"/>
      <c r="E157" s="32"/>
    </row>
    <row r="158" spans="2:5" ht="19.5" customHeight="1" x14ac:dyDescent="0.25">
      <c r="B158" s="32"/>
      <c r="C158" s="32"/>
      <c r="D158" s="31"/>
      <c r="E158" s="32"/>
    </row>
    <row r="159" spans="2:5" ht="19.5" customHeight="1" x14ac:dyDescent="0.25">
      <c r="B159" s="32"/>
      <c r="C159" s="32"/>
      <c r="D159" s="31"/>
      <c r="E159" s="32"/>
    </row>
    <row r="160" spans="2:5" ht="19.5" customHeight="1" x14ac:dyDescent="0.25">
      <c r="B160" s="32"/>
      <c r="C160" s="32"/>
      <c r="D160" s="31"/>
      <c r="E160" s="32"/>
    </row>
    <row r="161" spans="2:5" ht="19.5" customHeight="1" x14ac:dyDescent="0.25">
      <c r="B161" s="32"/>
      <c r="C161" s="32"/>
      <c r="D161" s="31"/>
      <c r="E161" s="32"/>
    </row>
    <row r="162" spans="2:5" ht="19.5" customHeight="1" x14ac:dyDescent="0.25">
      <c r="B162" s="32"/>
      <c r="C162" s="32"/>
      <c r="D162" s="31"/>
      <c r="E162" s="32"/>
    </row>
    <row r="163" spans="2:5" ht="19.5" customHeight="1" x14ac:dyDescent="0.25">
      <c r="B163" s="32"/>
      <c r="C163" s="32"/>
      <c r="D163" s="31"/>
      <c r="E163" s="32"/>
    </row>
    <row r="164" spans="2:5" ht="19.5" customHeight="1" x14ac:dyDescent="0.25">
      <c r="B164" s="32"/>
      <c r="C164" s="32"/>
      <c r="D164" s="31"/>
      <c r="E164" s="32"/>
    </row>
    <row r="165" spans="2:5" ht="19.5" customHeight="1" x14ac:dyDescent="0.25">
      <c r="B165" s="32"/>
      <c r="C165" s="32"/>
      <c r="D165" s="31"/>
      <c r="E165" s="32"/>
    </row>
    <row r="166" spans="2:5" ht="19.5" customHeight="1" x14ac:dyDescent="0.25">
      <c r="B166" s="32"/>
      <c r="C166" s="32"/>
      <c r="D166" s="31"/>
      <c r="E166" s="32"/>
    </row>
    <row r="167" spans="2:5" ht="19.5" customHeight="1" x14ac:dyDescent="0.25">
      <c r="B167" s="32"/>
      <c r="C167" s="32"/>
      <c r="D167" s="31"/>
      <c r="E167" s="32"/>
    </row>
    <row r="168" spans="2:5" ht="19.5" customHeight="1" x14ac:dyDescent="0.25">
      <c r="B168" s="32"/>
      <c r="C168" s="32"/>
      <c r="D168" s="31"/>
      <c r="E168" s="32"/>
    </row>
    <row r="169" spans="2:5" ht="19.5" customHeight="1" x14ac:dyDescent="0.25">
      <c r="B169" s="32"/>
      <c r="C169" s="32"/>
      <c r="D169" s="31"/>
      <c r="E169" s="32"/>
    </row>
    <row r="170" spans="2:5" ht="19.5" customHeight="1" x14ac:dyDescent="0.25">
      <c r="B170" s="32"/>
      <c r="C170" s="32"/>
      <c r="D170" s="31"/>
      <c r="E170" s="32"/>
    </row>
    <row r="171" spans="2:5" ht="19.5" customHeight="1" x14ac:dyDescent="0.25">
      <c r="B171" s="32"/>
      <c r="C171" s="32"/>
      <c r="D171" s="31"/>
      <c r="E171" s="32"/>
    </row>
    <row r="172" spans="2:5" ht="19.5" customHeight="1" x14ac:dyDescent="0.25">
      <c r="B172" s="32"/>
      <c r="C172" s="32"/>
      <c r="D172" s="31"/>
      <c r="E172" s="32"/>
    </row>
    <row r="173" spans="2:5" ht="19.5" customHeight="1" x14ac:dyDescent="0.25">
      <c r="B173" s="32"/>
      <c r="C173" s="32"/>
      <c r="D173" s="31"/>
      <c r="E173" s="32"/>
    </row>
    <row r="174" spans="2:5" ht="19.5" customHeight="1" x14ac:dyDescent="0.25">
      <c r="B174" s="32"/>
      <c r="C174" s="32"/>
      <c r="D174" s="31"/>
      <c r="E174" s="32"/>
    </row>
    <row r="175" spans="2:5" ht="19.5" customHeight="1" x14ac:dyDescent="0.25">
      <c r="B175" s="32"/>
      <c r="C175" s="32"/>
      <c r="D175" s="31"/>
      <c r="E175" s="32"/>
    </row>
    <row r="176" spans="2:5" ht="19.5" customHeight="1" x14ac:dyDescent="0.25">
      <c r="B176" s="32"/>
      <c r="C176" s="32"/>
      <c r="D176" s="31"/>
      <c r="E176" s="32"/>
    </row>
    <row r="177" spans="2:5" ht="19.5" customHeight="1" x14ac:dyDescent="0.25">
      <c r="B177" s="32"/>
      <c r="C177" s="32"/>
      <c r="D177" s="31"/>
      <c r="E177" s="32"/>
    </row>
    <row r="178" spans="2:5" ht="19.5" customHeight="1" x14ac:dyDescent="0.25">
      <c r="B178" s="32"/>
      <c r="C178" s="32"/>
      <c r="D178" s="31"/>
      <c r="E178" s="32"/>
    </row>
    <row r="179" spans="2:5" ht="19.5" customHeight="1" x14ac:dyDescent="0.25">
      <c r="B179" s="32"/>
      <c r="C179" s="32"/>
      <c r="D179" s="31"/>
      <c r="E179" s="32"/>
    </row>
    <row r="180" spans="2:5" ht="19.5" customHeight="1" x14ac:dyDescent="0.25">
      <c r="B180" s="32"/>
      <c r="C180" s="32"/>
      <c r="D180" s="31"/>
      <c r="E180" s="32"/>
    </row>
    <row r="181" spans="2:5" ht="19.5" customHeight="1" x14ac:dyDescent="0.25">
      <c r="B181" s="32"/>
      <c r="C181" s="32"/>
      <c r="D181" s="31"/>
      <c r="E181" s="32"/>
    </row>
    <row r="182" spans="2:5" ht="19.5" customHeight="1" x14ac:dyDescent="0.25">
      <c r="B182" s="32"/>
      <c r="C182" s="32"/>
      <c r="D182" s="31"/>
      <c r="E182" s="32"/>
    </row>
    <row r="183" spans="2:5" ht="19.5" customHeight="1" x14ac:dyDescent="0.25">
      <c r="B183" s="32"/>
      <c r="C183" s="32"/>
      <c r="D183" s="31"/>
      <c r="E183" s="32"/>
    </row>
    <row r="184" spans="2:5" ht="19.5" customHeight="1" x14ac:dyDescent="0.25">
      <c r="B184" s="32"/>
      <c r="C184" s="32"/>
      <c r="D184" s="31"/>
      <c r="E184" s="32"/>
    </row>
    <row r="185" spans="2:5" ht="19.5" customHeight="1" x14ac:dyDescent="0.25">
      <c r="B185" s="32"/>
      <c r="C185" s="32"/>
      <c r="D185" s="31"/>
      <c r="E185" s="32"/>
    </row>
    <row r="186" spans="2:5" ht="19.5" customHeight="1" x14ac:dyDescent="0.25">
      <c r="B186" s="32"/>
      <c r="C186" s="32"/>
      <c r="D186" s="31"/>
      <c r="E186" s="32"/>
    </row>
    <row r="187" spans="2:5" ht="19.5" customHeight="1" x14ac:dyDescent="0.25">
      <c r="B187" s="32"/>
      <c r="C187" s="32"/>
      <c r="D187" s="31"/>
      <c r="E187" s="32"/>
    </row>
    <row r="188" spans="2:5" ht="19.5" customHeight="1" x14ac:dyDescent="0.25">
      <c r="B188" s="32"/>
      <c r="C188" s="32"/>
      <c r="D188" s="31"/>
      <c r="E188" s="32"/>
    </row>
    <row r="189" spans="2:5" ht="19.5" customHeight="1" x14ac:dyDescent="0.25">
      <c r="B189" s="32"/>
      <c r="C189" s="32"/>
      <c r="D189" s="31"/>
      <c r="E189" s="32"/>
    </row>
    <row r="190" spans="2:5" ht="19.5" customHeight="1" x14ac:dyDescent="0.25">
      <c r="B190" s="32"/>
      <c r="C190" s="32"/>
      <c r="D190" s="31"/>
      <c r="E190" s="32"/>
    </row>
    <row r="191" spans="2:5" ht="19.5" customHeight="1" x14ac:dyDescent="0.25">
      <c r="B191" s="32"/>
      <c r="C191" s="32"/>
      <c r="D191" s="31"/>
      <c r="E191" s="32"/>
    </row>
    <row r="192" spans="2:5" ht="19.5" customHeight="1" x14ac:dyDescent="0.25">
      <c r="B192" s="32"/>
      <c r="C192" s="32"/>
      <c r="D192" s="31"/>
      <c r="E192" s="32"/>
    </row>
    <row r="193" spans="2:5" ht="19.5" customHeight="1" x14ac:dyDescent="0.25">
      <c r="B193" s="32"/>
      <c r="C193" s="32"/>
      <c r="D193" s="31"/>
      <c r="E193" s="32"/>
    </row>
    <row r="194" spans="2:5" ht="19.5" customHeight="1" x14ac:dyDescent="0.25">
      <c r="B194" s="32"/>
      <c r="C194" s="32"/>
      <c r="D194" s="37"/>
      <c r="E194" s="32"/>
    </row>
    <row r="195" spans="2:5" ht="19.5" customHeight="1" x14ac:dyDescent="0.25">
      <c r="B195" s="38"/>
      <c r="C195" s="38"/>
      <c r="D195" s="31"/>
      <c r="E195" s="38"/>
    </row>
    <row r="196" spans="2:5" ht="19.5" customHeight="1" x14ac:dyDescent="0.25">
      <c r="B196" s="32"/>
      <c r="C196" s="32"/>
      <c r="D196" s="31"/>
      <c r="E196" s="32"/>
    </row>
    <row r="197" spans="2:5" ht="19.5" customHeight="1" x14ac:dyDescent="0.25">
      <c r="B197" s="32"/>
      <c r="C197" s="32"/>
      <c r="D197" s="31"/>
      <c r="E197" s="32"/>
    </row>
    <row r="198" spans="2:5" ht="19.5" customHeight="1" x14ac:dyDescent="0.25">
      <c r="B198" s="32"/>
      <c r="C198" s="32"/>
      <c r="D198" s="31"/>
      <c r="E198" s="32"/>
    </row>
    <row r="199" spans="2:5" ht="19.5" customHeight="1" x14ac:dyDescent="0.25">
      <c r="B199" s="32"/>
      <c r="C199" s="32"/>
      <c r="D199" s="31"/>
      <c r="E199" s="32"/>
    </row>
    <row r="200" spans="2:5" ht="19.5" customHeight="1" x14ac:dyDescent="0.25">
      <c r="B200" s="32"/>
      <c r="C200" s="32"/>
      <c r="D200" s="31"/>
      <c r="E200" s="32"/>
    </row>
    <row r="201" spans="2:5" ht="19.5" customHeight="1" x14ac:dyDescent="0.25">
      <c r="B201" s="32"/>
      <c r="C201" s="32"/>
      <c r="D201" s="31"/>
      <c r="E201" s="32"/>
    </row>
    <row r="202" spans="2:5" ht="19.5" customHeight="1" x14ac:dyDescent="0.25">
      <c r="B202" s="32"/>
      <c r="C202" s="32"/>
      <c r="D202" s="31"/>
      <c r="E202" s="32"/>
    </row>
    <row r="203" spans="2:5" ht="19.5" customHeight="1" x14ac:dyDescent="0.25">
      <c r="B203" s="32"/>
      <c r="C203" s="32"/>
      <c r="D203" s="31"/>
      <c r="E203" s="32"/>
    </row>
    <row r="204" spans="2:5" ht="19.5" customHeight="1" x14ac:dyDescent="0.25">
      <c r="B204" s="32"/>
      <c r="C204" s="32"/>
      <c r="D204" s="31"/>
      <c r="E204" s="32"/>
    </row>
    <row r="205" spans="2:5" ht="19.5" customHeight="1" x14ac:dyDescent="0.25">
      <c r="B205" s="32"/>
      <c r="C205" s="32"/>
      <c r="D205" s="31"/>
      <c r="E205" s="32"/>
    </row>
    <row r="206" spans="2:5" ht="19.5" customHeight="1" x14ac:dyDescent="0.25">
      <c r="B206" s="32"/>
      <c r="C206" s="32"/>
      <c r="D206" s="31"/>
      <c r="E206" s="32"/>
    </row>
    <row r="207" spans="2:5" ht="19.5" customHeight="1" x14ac:dyDescent="0.25">
      <c r="B207" s="32"/>
      <c r="C207" s="32"/>
      <c r="D207" s="31"/>
      <c r="E207" s="32"/>
    </row>
    <row r="208" spans="2:5" ht="19.5" customHeight="1" x14ac:dyDescent="0.25">
      <c r="B208" s="32"/>
      <c r="C208" s="32"/>
      <c r="D208" s="31"/>
      <c r="E208" s="32"/>
    </row>
    <row r="209" spans="2:5" ht="19.5" customHeight="1" x14ac:dyDescent="0.25">
      <c r="B209" s="32"/>
      <c r="C209" s="32"/>
      <c r="D209" s="31"/>
      <c r="E209" s="32"/>
    </row>
    <row r="210" spans="2:5" ht="19.5" customHeight="1" x14ac:dyDescent="0.25">
      <c r="B210" s="32"/>
      <c r="C210" s="32"/>
      <c r="D210" s="31"/>
      <c r="E210" s="32"/>
    </row>
    <row r="211" spans="2:5" ht="19.5" customHeight="1" x14ac:dyDescent="0.25">
      <c r="B211" s="32"/>
      <c r="C211" s="32"/>
      <c r="D211" s="31"/>
      <c r="E211" s="32"/>
    </row>
    <row r="212" spans="2:5" ht="19.5" customHeight="1" x14ac:dyDescent="0.25">
      <c r="B212" s="32"/>
      <c r="C212" s="32"/>
      <c r="D212" s="31"/>
      <c r="E212" s="32"/>
    </row>
    <row r="213" spans="2:5" ht="19.5" customHeight="1" x14ac:dyDescent="0.25">
      <c r="B213" s="32"/>
      <c r="C213" s="32"/>
      <c r="D213" s="31"/>
      <c r="E213" s="32"/>
    </row>
    <row r="214" spans="2:5" ht="19.5" customHeight="1" x14ac:dyDescent="0.25">
      <c r="B214" s="32"/>
      <c r="C214" s="32"/>
      <c r="D214" s="31"/>
      <c r="E214" s="32"/>
    </row>
    <row r="215" spans="2:5" ht="19.5" customHeight="1" x14ac:dyDescent="0.25">
      <c r="B215" s="32"/>
      <c r="C215" s="32"/>
      <c r="D215" s="31"/>
      <c r="E215" s="32"/>
    </row>
    <row r="216" spans="2:5" ht="19.5" customHeight="1" x14ac:dyDescent="0.25">
      <c r="B216" s="32"/>
      <c r="C216" s="32"/>
      <c r="D216" s="31"/>
      <c r="E216" s="32"/>
    </row>
    <row r="217" spans="2:5" ht="19.5" customHeight="1" x14ac:dyDescent="0.25">
      <c r="B217" s="32"/>
      <c r="C217" s="32"/>
      <c r="D217" s="31"/>
      <c r="E217" s="32"/>
    </row>
    <row r="218" spans="2:5" ht="19.5" customHeight="1" x14ac:dyDescent="0.25">
      <c r="B218" s="32"/>
      <c r="C218" s="32"/>
      <c r="D218" s="31"/>
      <c r="E218" s="32"/>
    </row>
    <row r="219" spans="2:5" ht="19.5" customHeight="1" x14ac:dyDescent="0.25">
      <c r="B219" s="32"/>
      <c r="C219" s="32"/>
      <c r="D219" s="31"/>
      <c r="E219" s="32"/>
    </row>
    <row r="220" spans="2:5" ht="19.5" customHeight="1" x14ac:dyDescent="0.25">
      <c r="B220" s="32"/>
      <c r="C220" s="32"/>
      <c r="D220" s="31"/>
      <c r="E220" s="32"/>
    </row>
    <row r="221" spans="2:5" ht="19.5" customHeight="1" x14ac:dyDescent="0.25">
      <c r="B221" s="32"/>
      <c r="C221" s="32"/>
      <c r="D221" s="31"/>
      <c r="E221" s="32"/>
    </row>
    <row r="222" spans="2:5" ht="19.5" customHeight="1" x14ac:dyDescent="0.25">
      <c r="B222" s="32"/>
      <c r="C222" s="32"/>
      <c r="D222" s="31"/>
      <c r="E222" s="32"/>
    </row>
    <row r="223" spans="2:5" ht="19.5" customHeight="1" x14ac:dyDescent="0.25">
      <c r="B223" s="32"/>
      <c r="C223" s="32"/>
      <c r="D223" s="31"/>
      <c r="E223" s="32"/>
    </row>
    <row r="224" spans="2:5" ht="19.5" customHeight="1" x14ac:dyDescent="0.25">
      <c r="B224" s="32"/>
      <c r="C224" s="32"/>
      <c r="D224" s="31"/>
      <c r="E224" s="32"/>
    </row>
    <row r="225" spans="2:5" ht="19.5" customHeight="1" x14ac:dyDescent="0.25">
      <c r="B225" s="32"/>
      <c r="C225" s="32"/>
      <c r="D225" s="31"/>
      <c r="E225" s="32"/>
    </row>
    <row r="226" spans="2:5" ht="19.5" customHeight="1" x14ac:dyDescent="0.25">
      <c r="B226" s="32"/>
      <c r="C226" s="32"/>
      <c r="D226" s="31"/>
      <c r="E226" s="32"/>
    </row>
    <row r="227" spans="2:5" ht="19.5" customHeight="1" x14ac:dyDescent="0.25">
      <c r="B227" s="32"/>
      <c r="C227" s="32"/>
      <c r="D227" s="31"/>
      <c r="E227" s="32"/>
    </row>
    <row r="228" spans="2:5" ht="19.5" customHeight="1" x14ac:dyDescent="0.25">
      <c r="B228" s="32"/>
      <c r="C228" s="32"/>
      <c r="D228" s="31"/>
      <c r="E228" s="32"/>
    </row>
    <row r="229" spans="2:5" ht="19.5" customHeight="1" x14ac:dyDescent="0.25">
      <c r="B229" s="32"/>
      <c r="C229" s="32"/>
      <c r="D229" s="31"/>
      <c r="E229" s="32"/>
    </row>
    <row r="230" spans="2:5" ht="19.5" customHeight="1" x14ac:dyDescent="0.25">
      <c r="B230" s="32"/>
      <c r="C230" s="32"/>
      <c r="D230" s="31"/>
      <c r="E230" s="32"/>
    </row>
    <row r="231" spans="2:5" ht="19.5" customHeight="1" x14ac:dyDescent="0.25">
      <c r="B231" s="32"/>
      <c r="C231" s="32"/>
      <c r="D231" s="31"/>
      <c r="E231" s="32"/>
    </row>
    <row r="232" spans="2:5" ht="19.5" customHeight="1" x14ac:dyDescent="0.25">
      <c r="B232" s="32"/>
      <c r="C232" s="32"/>
      <c r="D232" s="31"/>
      <c r="E232" s="32"/>
    </row>
    <row r="233" spans="2:5" ht="19.5" customHeight="1" x14ac:dyDescent="0.25">
      <c r="B233" s="32"/>
      <c r="C233" s="32"/>
      <c r="D233" s="31"/>
      <c r="E233" s="32"/>
    </row>
    <row r="234" spans="2:5" ht="19.5" customHeight="1" x14ac:dyDescent="0.25">
      <c r="B234" s="32"/>
      <c r="C234" s="32"/>
      <c r="D234" s="31"/>
      <c r="E234" s="32"/>
    </row>
    <row r="235" spans="2:5" ht="19.5" customHeight="1" x14ac:dyDescent="0.25">
      <c r="B235" s="32"/>
      <c r="C235" s="32"/>
      <c r="D235" s="31"/>
      <c r="E235" s="32"/>
    </row>
    <row r="236" spans="2:5" ht="19.5" customHeight="1" x14ac:dyDescent="0.25">
      <c r="B236" s="32"/>
      <c r="C236" s="32"/>
      <c r="D236" s="31"/>
      <c r="E236" s="32"/>
    </row>
    <row r="237" spans="2:5" ht="19.5" customHeight="1" x14ac:dyDescent="0.25">
      <c r="B237" s="32"/>
      <c r="C237" s="32"/>
      <c r="D237" s="31"/>
      <c r="E237" s="32"/>
    </row>
    <row r="238" spans="2:5" ht="19.5" customHeight="1" x14ac:dyDescent="0.25">
      <c r="B238" s="32"/>
      <c r="C238" s="32"/>
      <c r="D238" s="31"/>
      <c r="E238" s="32"/>
    </row>
    <row r="239" spans="2:5" ht="19.5" customHeight="1" x14ac:dyDescent="0.25">
      <c r="B239" s="32"/>
      <c r="C239" s="32"/>
      <c r="D239" s="31"/>
      <c r="E239" s="32"/>
    </row>
    <row r="240" spans="2:5" ht="19.5" customHeight="1" x14ac:dyDescent="0.25">
      <c r="B240" s="32"/>
      <c r="C240" s="32"/>
      <c r="D240" s="31"/>
      <c r="E240" s="32"/>
    </row>
    <row r="241" spans="2:5" ht="19.5" customHeight="1" x14ac:dyDescent="0.25">
      <c r="B241" s="32"/>
      <c r="C241" s="32"/>
      <c r="D241" s="31"/>
      <c r="E241" s="32"/>
    </row>
    <row r="242" spans="2:5" ht="19.5" customHeight="1" x14ac:dyDescent="0.25">
      <c r="B242" s="32"/>
      <c r="C242" s="32"/>
      <c r="D242" s="31"/>
      <c r="E242" s="32"/>
    </row>
    <row r="243" spans="2:5" ht="19.5" customHeight="1" x14ac:dyDescent="0.25">
      <c r="B243" s="32"/>
      <c r="C243" s="32"/>
      <c r="D243" s="31"/>
      <c r="E243" s="32"/>
    </row>
    <row r="244" spans="2:5" ht="19.5" customHeight="1" x14ac:dyDescent="0.25">
      <c r="B244" s="32"/>
      <c r="C244" s="32"/>
      <c r="D244" s="31"/>
      <c r="E244" s="32"/>
    </row>
    <row r="245" spans="2:5" ht="19.5" customHeight="1" x14ac:dyDescent="0.25">
      <c r="B245" s="32"/>
      <c r="C245" s="32"/>
      <c r="D245" s="31"/>
      <c r="E245" s="32"/>
    </row>
    <row r="246" spans="2:5" ht="19.5" customHeight="1" x14ac:dyDescent="0.25">
      <c r="B246" s="32"/>
      <c r="C246" s="32"/>
      <c r="D246" s="31"/>
      <c r="E246" s="32"/>
    </row>
    <row r="247" spans="2:5" ht="19.5" customHeight="1" x14ac:dyDescent="0.25">
      <c r="B247" s="32"/>
      <c r="C247" s="32"/>
      <c r="D247" s="31"/>
      <c r="E247" s="32"/>
    </row>
    <row r="248" spans="2:5" ht="19.5" customHeight="1" x14ac:dyDescent="0.25">
      <c r="B248" s="32"/>
      <c r="C248" s="32"/>
      <c r="D248" s="31"/>
      <c r="E248" s="32"/>
    </row>
    <row r="249" spans="2:5" ht="19.5" customHeight="1" x14ac:dyDescent="0.25">
      <c r="B249" s="32"/>
      <c r="C249" s="32"/>
      <c r="D249" s="31"/>
      <c r="E249" s="32"/>
    </row>
    <row r="250" spans="2:5" ht="19.5" customHeight="1" x14ac:dyDescent="0.25">
      <c r="B250" s="32"/>
      <c r="C250" s="32"/>
      <c r="D250" s="31"/>
      <c r="E250" s="32"/>
    </row>
    <row r="251" spans="2:5" ht="19.5" customHeight="1" x14ac:dyDescent="0.25">
      <c r="B251" s="32"/>
      <c r="C251" s="32"/>
      <c r="D251" s="31"/>
      <c r="E251" s="32"/>
    </row>
    <row r="252" spans="2:5" ht="19.5" customHeight="1" x14ac:dyDescent="0.25">
      <c r="B252" s="32"/>
      <c r="C252" s="32"/>
      <c r="D252" s="31"/>
      <c r="E252" s="32"/>
    </row>
    <row r="253" spans="2:5" ht="19.5" customHeight="1" x14ac:dyDescent="0.25">
      <c r="B253" s="32"/>
      <c r="C253" s="32"/>
      <c r="D253" s="31"/>
      <c r="E253" s="32"/>
    </row>
    <row r="254" spans="2:5" ht="19.5" customHeight="1" x14ac:dyDescent="0.25">
      <c r="B254" s="32"/>
      <c r="C254" s="32"/>
      <c r="D254" s="31"/>
      <c r="E254" s="32"/>
    </row>
    <row r="255" spans="2:5" ht="19.5" customHeight="1" x14ac:dyDescent="0.25">
      <c r="B255" s="32"/>
      <c r="C255" s="32"/>
      <c r="D255" s="31"/>
      <c r="E255" s="32"/>
    </row>
    <row r="256" spans="2:5" ht="19.5" customHeight="1" x14ac:dyDescent="0.25">
      <c r="B256" s="32"/>
      <c r="C256" s="32"/>
      <c r="D256" s="31"/>
      <c r="E256" s="32"/>
    </row>
    <row r="257" spans="2:5" ht="19.5" customHeight="1" x14ac:dyDescent="0.25">
      <c r="B257" s="32"/>
      <c r="C257" s="32"/>
      <c r="D257" s="31"/>
      <c r="E257" s="32"/>
    </row>
    <row r="258" spans="2:5" ht="19.5" customHeight="1" x14ac:dyDescent="0.25">
      <c r="B258" s="32"/>
      <c r="C258" s="32"/>
      <c r="D258" s="31"/>
      <c r="E258" s="32"/>
    </row>
    <row r="259" spans="2:5" ht="19.5" customHeight="1" x14ac:dyDescent="0.25">
      <c r="B259" s="32"/>
      <c r="C259" s="32"/>
      <c r="D259" s="31"/>
      <c r="E259" s="32"/>
    </row>
    <row r="260" spans="2:5" ht="19.5" customHeight="1" x14ac:dyDescent="0.25">
      <c r="B260" s="32"/>
      <c r="C260" s="32"/>
      <c r="D260" s="31"/>
      <c r="E260" s="32"/>
    </row>
    <row r="261" spans="2:5" ht="19.5" customHeight="1" x14ac:dyDescent="0.25">
      <c r="B261" s="32"/>
      <c r="C261" s="32"/>
      <c r="D261" s="31"/>
      <c r="E261" s="32"/>
    </row>
    <row r="262" spans="2:5" ht="19.5" customHeight="1" x14ac:dyDescent="0.25">
      <c r="B262" s="32"/>
      <c r="C262" s="32"/>
      <c r="D262" s="31"/>
      <c r="E262" s="32"/>
    </row>
    <row r="263" spans="2:5" ht="19.5" customHeight="1" x14ac:dyDescent="0.25">
      <c r="B263" s="32"/>
      <c r="C263" s="32"/>
      <c r="D263" s="31"/>
      <c r="E263" s="32"/>
    </row>
    <row r="264" spans="2:5" ht="19.5" customHeight="1" x14ac:dyDescent="0.25">
      <c r="B264" s="32"/>
      <c r="C264" s="32"/>
      <c r="D264" s="31"/>
      <c r="E264" s="32"/>
    </row>
    <row r="265" spans="2:5" ht="19.5" customHeight="1" x14ac:dyDescent="0.25">
      <c r="B265" s="32"/>
      <c r="C265" s="32"/>
      <c r="D265" s="31"/>
      <c r="E265" s="32"/>
    </row>
    <row r="266" spans="2:5" ht="19.5" customHeight="1" x14ac:dyDescent="0.25">
      <c r="B266" s="32"/>
      <c r="C266" s="32"/>
      <c r="D266" s="31"/>
      <c r="E266" s="32"/>
    </row>
    <row r="267" spans="2:5" ht="19.5" customHeight="1" x14ac:dyDescent="0.25">
      <c r="B267" s="32"/>
      <c r="C267" s="32"/>
      <c r="D267" s="31"/>
      <c r="E267" s="32"/>
    </row>
    <row r="268" spans="2:5" ht="19.5" customHeight="1" x14ac:dyDescent="0.25">
      <c r="B268" s="32"/>
      <c r="C268" s="32"/>
      <c r="D268" s="31"/>
      <c r="E268" s="32"/>
    </row>
    <row r="269" spans="2:5" ht="19.5" customHeight="1" x14ac:dyDescent="0.25">
      <c r="B269" s="32"/>
      <c r="C269" s="32"/>
      <c r="D269" s="31"/>
      <c r="E269" s="32"/>
    </row>
    <row r="270" spans="2:5" ht="19.5" customHeight="1" x14ac:dyDescent="0.25">
      <c r="B270" s="32"/>
      <c r="C270" s="32"/>
      <c r="D270" s="31"/>
      <c r="E270" s="32"/>
    </row>
    <row r="271" spans="2:5" ht="19.5" customHeight="1" x14ac:dyDescent="0.25">
      <c r="B271" s="32"/>
      <c r="C271" s="32"/>
      <c r="D271" s="31"/>
      <c r="E271" s="32"/>
    </row>
    <row r="272" spans="2:5" ht="19.5" customHeight="1" x14ac:dyDescent="0.25">
      <c r="B272" s="32"/>
      <c r="C272" s="32"/>
      <c r="D272" s="31"/>
      <c r="E272" s="32"/>
    </row>
    <row r="273" spans="2:5" ht="19.5" customHeight="1" x14ac:dyDescent="0.25">
      <c r="B273" s="32"/>
      <c r="C273" s="32"/>
      <c r="D273" s="31"/>
      <c r="E273" s="32"/>
    </row>
    <row r="274" spans="2:5" ht="19.5" customHeight="1" x14ac:dyDescent="0.25">
      <c r="B274" s="32"/>
      <c r="C274" s="32"/>
      <c r="D274" s="31"/>
      <c r="E274" s="32"/>
    </row>
    <row r="275" spans="2:5" ht="19.5" customHeight="1" x14ac:dyDescent="0.25">
      <c r="B275" s="32"/>
      <c r="C275" s="32"/>
      <c r="D275" s="31"/>
      <c r="E275" s="32"/>
    </row>
    <row r="276" spans="2:5" ht="19.5" customHeight="1" x14ac:dyDescent="0.25">
      <c r="B276" s="32"/>
      <c r="C276" s="32"/>
      <c r="D276" s="31"/>
      <c r="E276" s="32"/>
    </row>
    <row r="277" spans="2:5" ht="19.5" customHeight="1" x14ac:dyDescent="0.25">
      <c r="B277" s="32"/>
      <c r="C277" s="32"/>
      <c r="D277" s="31"/>
      <c r="E277" s="32"/>
    </row>
    <row r="278" spans="2:5" ht="19.5" customHeight="1" x14ac:dyDescent="0.25">
      <c r="B278" s="32"/>
      <c r="C278" s="32"/>
      <c r="D278" s="31"/>
      <c r="E278" s="32"/>
    </row>
    <row r="279" spans="2:5" ht="19.5" customHeight="1" x14ac:dyDescent="0.25">
      <c r="B279" s="32"/>
      <c r="C279" s="32"/>
      <c r="D279" s="31"/>
      <c r="E279" s="32"/>
    </row>
    <row r="280" spans="2:5" ht="19.5" customHeight="1" x14ac:dyDescent="0.25">
      <c r="B280" s="32"/>
      <c r="C280" s="32"/>
      <c r="D280" s="31"/>
      <c r="E280" s="32"/>
    </row>
    <row r="281" spans="2:5" ht="19.5" customHeight="1" x14ac:dyDescent="0.25">
      <c r="B281" s="32"/>
      <c r="C281" s="32"/>
      <c r="D281" s="31"/>
      <c r="E281" s="32"/>
    </row>
    <row r="282" spans="2:5" ht="19.5" customHeight="1" x14ac:dyDescent="0.25">
      <c r="B282" s="32"/>
      <c r="C282" s="32"/>
      <c r="D282" s="31"/>
      <c r="E282" s="32"/>
    </row>
    <row r="283" spans="2:5" ht="19.5" customHeight="1" x14ac:dyDescent="0.25">
      <c r="B283" s="32"/>
      <c r="C283" s="32"/>
      <c r="D283" s="31"/>
      <c r="E283" s="32"/>
    </row>
    <row r="284" spans="2:5" ht="19.5" customHeight="1" x14ac:dyDescent="0.25">
      <c r="B284" s="32"/>
      <c r="C284" s="32"/>
      <c r="D284" s="31"/>
      <c r="E284" s="32"/>
    </row>
    <row r="285" spans="2:5" ht="19.5" customHeight="1" x14ac:dyDescent="0.25">
      <c r="B285" s="32"/>
      <c r="C285" s="32"/>
      <c r="D285" s="31"/>
      <c r="E285" s="32"/>
    </row>
    <row r="286" spans="2:5" ht="19.5" customHeight="1" x14ac:dyDescent="0.25">
      <c r="B286" s="32"/>
      <c r="C286" s="32"/>
      <c r="D286" s="31"/>
      <c r="E286" s="32"/>
    </row>
    <row r="287" spans="2:5" ht="19.5" customHeight="1" x14ac:dyDescent="0.25">
      <c r="B287" s="32"/>
      <c r="C287" s="32"/>
      <c r="D287" s="31"/>
      <c r="E287" s="32"/>
    </row>
    <row r="288" spans="2:5" ht="19.5" customHeight="1" x14ac:dyDescent="0.25">
      <c r="B288" s="32"/>
      <c r="C288" s="32"/>
      <c r="D288" s="31"/>
      <c r="E288" s="32"/>
    </row>
    <row r="289" spans="2:5" ht="19.5" customHeight="1" x14ac:dyDescent="0.25">
      <c r="B289" s="32"/>
      <c r="C289" s="32"/>
      <c r="D289" s="31"/>
      <c r="E289" s="32"/>
    </row>
    <row r="290" spans="2:5" ht="19.5" customHeight="1" x14ac:dyDescent="0.25">
      <c r="B290" s="32"/>
      <c r="C290" s="32"/>
      <c r="D290" s="31"/>
      <c r="E290" s="32"/>
    </row>
    <row r="291" spans="2:5" ht="19.5" customHeight="1" x14ac:dyDescent="0.25">
      <c r="B291" s="32"/>
      <c r="C291" s="32"/>
      <c r="D291" s="31"/>
      <c r="E291" s="32"/>
    </row>
    <row r="292" spans="2:5" ht="19.5" customHeight="1" x14ac:dyDescent="0.25">
      <c r="B292" s="32"/>
      <c r="C292" s="32"/>
      <c r="D292" s="31"/>
      <c r="E292" s="32"/>
    </row>
    <row r="293" spans="2:5" ht="19.5" customHeight="1" x14ac:dyDescent="0.25">
      <c r="B293" s="32"/>
      <c r="C293" s="32"/>
      <c r="D293" s="31"/>
      <c r="E293" s="32"/>
    </row>
    <row r="294" spans="2:5" ht="19.5" customHeight="1" x14ac:dyDescent="0.25">
      <c r="B294" s="32"/>
      <c r="C294" s="32"/>
      <c r="D294" s="31"/>
      <c r="E294" s="32"/>
    </row>
    <row r="295" spans="2:5" ht="19.5" customHeight="1" x14ac:dyDescent="0.25">
      <c r="B295" s="32"/>
      <c r="C295" s="32"/>
      <c r="D295" s="31"/>
      <c r="E295" s="32"/>
    </row>
    <row r="296" spans="2:5" ht="19.5" customHeight="1" x14ac:dyDescent="0.25">
      <c r="B296" s="32"/>
      <c r="C296" s="32"/>
      <c r="D296" s="31"/>
      <c r="E296" s="32"/>
    </row>
    <row r="297" spans="2:5" ht="19.5" customHeight="1" x14ac:dyDescent="0.25">
      <c r="B297" s="32"/>
      <c r="C297" s="32"/>
      <c r="D297" s="31"/>
      <c r="E297" s="32"/>
    </row>
    <row r="298" spans="2:5" ht="19.5" customHeight="1" x14ac:dyDescent="0.25">
      <c r="B298" s="32"/>
      <c r="C298" s="32"/>
      <c r="D298" s="31"/>
      <c r="E298" s="32"/>
    </row>
    <row r="299" spans="2:5" ht="19.5" customHeight="1" x14ac:dyDescent="0.25">
      <c r="B299" s="32"/>
      <c r="C299" s="32"/>
      <c r="D299" s="31"/>
      <c r="E299" s="32"/>
    </row>
    <row r="300" spans="2:5" ht="19.5" customHeight="1" x14ac:dyDescent="0.25">
      <c r="B300" s="32"/>
      <c r="C300" s="32"/>
      <c r="D300" s="31"/>
      <c r="E300" s="32"/>
    </row>
    <row r="301" spans="2:5" ht="19.5" customHeight="1" x14ac:dyDescent="0.25">
      <c r="B301" s="32"/>
      <c r="C301" s="32"/>
      <c r="D301" s="31"/>
      <c r="E301" s="32"/>
    </row>
    <row r="302" spans="2:5" ht="19.5" customHeight="1" x14ac:dyDescent="0.25">
      <c r="B302" s="32"/>
      <c r="C302" s="32"/>
      <c r="D302" s="31"/>
      <c r="E302" s="32"/>
    </row>
    <row r="303" spans="2:5" ht="19.5" customHeight="1" x14ac:dyDescent="0.25">
      <c r="B303" s="32"/>
      <c r="C303" s="32"/>
      <c r="D303" s="31"/>
      <c r="E303" s="32"/>
    </row>
    <row r="304" spans="2:5" ht="19.5" customHeight="1" x14ac:dyDescent="0.25">
      <c r="B304" s="32"/>
      <c r="C304" s="32"/>
      <c r="D304" s="31"/>
      <c r="E304" s="32"/>
    </row>
    <row r="305" spans="2:5" ht="19.5" customHeight="1" x14ac:dyDescent="0.25">
      <c r="B305" s="32"/>
      <c r="C305" s="32"/>
      <c r="D305" s="31"/>
      <c r="E305" s="32"/>
    </row>
    <row r="306" spans="2:5" ht="19.5" customHeight="1" x14ac:dyDescent="0.25">
      <c r="B306" s="32"/>
      <c r="C306" s="32"/>
      <c r="D306" s="31"/>
      <c r="E306" s="32"/>
    </row>
    <row r="307" spans="2:5" ht="19.5" customHeight="1" x14ac:dyDescent="0.25">
      <c r="B307" s="32"/>
      <c r="C307" s="32"/>
      <c r="D307" s="31"/>
      <c r="E307" s="32"/>
    </row>
    <row r="308" spans="2:5" ht="19.5" customHeight="1" x14ac:dyDescent="0.25">
      <c r="B308" s="32"/>
      <c r="C308" s="32"/>
      <c r="D308" s="31"/>
      <c r="E308" s="32"/>
    </row>
    <row r="309" spans="2:5" ht="19.5" customHeight="1" x14ac:dyDescent="0.25">
      <c r="B309" s="32"/>
      <c r="C309" s="32"/>
      <c r="D309" s="31"/>
      <c r="E309" s="32"/>
    </row>
    <row r="310" spans="2:5" ht="19.5" customHeight="1" x14ac:dyDescent="0.25">
      <c r="B310" s="32"/>
      <c r="C310" s="32"/>
      <c r="D310" s="31"/>
      <c r="E310" s="32"/>
    </row>
    <row r="311" spans="2:5" ht="19.5" customHeight="1" x14ac:dyDescent="0.25">
      <c r="B311" s="32"/>
      <c r="C311" s="32"/>
      <c r="D311" s="31"/>
      <c r="E311" s="32"/>
    </row>
    <row r="312" spans="2:5" ht="19.5" customHeight="1" x14ac:dyDescent="0.25">
      <c r="B312" s="32"/>
      <c r="C312" s="32"/>
      <c r="D312" s="31"/>
      <c r="E312" s="32"/>
    </row>
    <row r="313" spans="2:5" ht="19.5" customHeight="1" x14ac:dyDescent="0.25">
      <c r="B313" s="32"/>
      <c r="C313" s="32"/>
      <c r="D313" s="31"/>
      <c r="E313" s="32"/>
    </row>
    <row r="314" spans="2:5" ht="19.5" customHeight="1" x14ac:dyDescent="0.25">
      <c r="B314" s="32"/>
      <c r="C314" s="32"/>
      <c r="D314" s="31"/>
      <c r="E314" s="32"/>
    </row>
    <row r="315" spans="2:5" ht="19.5" customHeight="1" x14ac:dyDescent="0.25">
      <c r="B315" s="32"/>
      <c r="C315" s="32"/>
      <c r="D315" s="31"/>
      <c r="E315" s="32"/>
    </row>
    <row r="316" spans="2:5" ht="19.5" customHeight="1" x14ac:dyDescent="0.25">
      <c r="B316" s="32"/>
      <c r="C316" s="32"/>
      <c r="D316" s="31"/>
      <c r="E316" s="32"/>
    </row>
    <row r="317" spans="2:5" ht="19.5" customHeight="1" x14ac:dyDescent="0.25">
      <c r="B317" s="32"/>
      <c r="C317" s="32"/>
      <c r="D317" s="31"/>
      <c r="E317" s="32"/>
    </row>
    <row r="318" spans="2:5" ht="19.5" customHeight="1" x14ac:dyDescent="0.25">
      <c r="B318" s="32"/>
      <c r="C318" s="32"/>
      <c r="D318" s="31"/>
      <c r="E318" s="32"/>
    </row>
    <row r="319" spans="2:5" ht="19.5" customHeight="1" x14ac:dyDescent="0.25">
      <c r="B319" s="32"/>
      <c r="C319" s="32"/>
      <c r="D319" s="31"/>
      <c r="E319" s="32"/>
    </row>
    <row r="320" spans="2:5" ht="19.5" customHeight="1" x14ac:dyDescent="0.25">
      <c r="B320" s="32"/>
      <c r="C320" s="32"/>
      <c r="D320" s="31"/>
      <c r="E320" s="32"/>
    </row>
    <row r="321" spans="2:5" ht="19.5" customHeight="1" x14ac:dyDescent="0.25">
      <c r="B321" s="32"/>
      <c r="C321" s="32"/>
      <c r="D321" s="31"/>
      <c r="E321" s="32"/>
    </row>
    <row r="322" spans="2:5" ht="19.5" customHeight="1" x14ac:dyDescent="0.25">
      <c r="B322" s="32"/>
      <c r="C322" s="32"/>
      <c r="D322" s="31"/>
      <c r="E322" s="32"/>
    </row>
    <row r="323" spans="2:5" ht="19.5" customHeight="1" x14ac:dyDescent="0.25">
      <c r="B323" s="32"/>
      <c r="C323" s="32"/>
      <c r="D323" s="31"/>
      <c r="E323" s="32"/>
    </row>
    <row r="324" spans="2:5" ht="19.5" customHeight="1" x14ac:dyDescent="0.25">
      <c r="B324" s="32"/>
      <c r="C324" s="32"/>
      <c r="D324" s="31"/>
      <c r="E324" s="32"/>
    </row>
    <row r="325" spans="2:5" ht="19.5" customHeight="1" x14ac:dyDescent="0.25">
      <c r="B325" s="32"/>
      <c r="C325" s="32"/>
      <c r="D325" s="31"/>
      <c r="E325" s="32"/>
    </row>
    <row r="326" spans="2:5" ht="19.5" customHeight="1" x14ac:dyDescent="0.25">
      <c r="B326" s="32"/>
      <c r="C326" s="32"/>
      <c r="D326" s="31"/>
      <c r="E326" s="32"/>
    </row>
    <row r="327" spans="2:5" ht="19.5" customHeight="1" x14ac:dyDescent="0.25">
      <c r="B327" s="32"/>
      <c r="C327" s="32"/>
      <c r="D327" s="31"/>
      <c r="E327" s="32"/>
    </row>
    <row r="328" spans="2:5" ht="19.5" customHeight="1" x14ac:dyDescent="0.25">
      <c r="B328" s="32"/>
      <c r="C328" s="32"/>
      <c r="D328" s="31"/>
      <c r="E328" s="32"/>
    </row>
    <row r="329" spans="2:5" ht="19.5" customHeight="1" x14ac:dyDescent="0.25">
      <c r="B329" s="32"/>
      <c r="C329" s="32"/>
      <c r="D329" s="31"/>
      <c r="E329" s="32"/>
    </row>
    <row r="330" spans="2:5" ht="19.5" customHeight="1" x14ac:dyDescent="0.25">
      <c r="B330" s="32"/>
      <c r="C330" s="32"/>
      <c r="D330" s="31"/>
      <c r="E330" s="32"/>
    </row>
    <row r="331" spans="2:5" ht="19.5" customHeight="1" x14ac:dyDescent="0.25">
      <c r="B331" s="32"/>
      <c r="C331" s="32"/>
      <c r="D331" s="31"/>
      <c r="E331" s="32"/>
    </row>
    <row r="332" spans="2:5" ht="19.5" customHeight="1" x14ac:dyDescent="0.25">
      <c r="B332" s="32"/>
      <c r="C332" s="32"/>
      <c r="D332" s="31"/>
      <c r="E332" s="32"/>
    </row>
    <row r="333" spans="2:5" ht="19.5" customHeight="1" x14ac:dyDescent="0.25">
      <c r="B333" s="32"/>
      <c r="C333" s="32"/>
      <c r="D333" s="31"/>
      <c r="E333" s="32"/>
    </row>
    <row r="334" spans="2:5" ht="19.5" customHeight="1" x14ac:dyDescent="0.25">
      <c r="B334" s="32"/>
      <c r="C334" s="32"/>
      <c r="D334" s="31"/>
      <c r="E334" s="32"/>
    </row>
    <row r="335" spans="2:5" ht="19.5" customHeight="1" x14ac:dyDescent="0.25">
      <c r="B335" s="32"/>
      <c r="C335" s="32"/>
      <c r="D335" s="31"/>
      <c r="E335" s="32"/>
    </row>
    <row r="336" spans="2:5" ht="19.5" customHeight="1" x14ac:dyDescent="0.25">
      <c r="B336" s="32"/>
      <c r="C336" s="32"/>
      <c r="D336" s="31"/>
      <c r="E336" s="32"/>
    </row>
    <row r="337" spans="2:5" ht="19.5" customHeight="1" x14ac:dyDescent="0.25">
      <c r="B337" s="32"/>
      <c r="C337" s="32"/>
      <c r="D337" s="31"/>
      <c r="E337" s="32"/>
    </row>
    <row r="338" spans="2:5" ht="19.5" customHeight="1" x14ac:dyDescent="0.25">
      <c r="B338" s="32"/>
      <c r="C338" s="32"/>
      <c r="D338" s="31"/>
      <c r="E338" s="32"/>
    </row>
    <row r="339" spans="2:5" ht="19.5" customHeight="1" x14ac:dyDescent="0.25">
      <c r="B339" s="32"/>
      <c r="C339" s="32"/>
      <c r="D339" s="31"/>
      <c r="E339" s="32"/>
    </row>
    <row r="340" spans="2:5" ht="19.5" customHeight="1" x14ac:dyDescent="0.25">
      <c r="B340" s="32"/>
      <c r="C340" s="32"/>
      <c r="D340" s="31"/>
      <c r="E340" s="32"/>
    </row>
    <row r="341" spans="2:5" ht="19.5" customHeight="1" x14ac:dyDescent="0.25">
      <c r="B341" s="32"/>
      <c r="C341" s="32"/>
      <c r="D341" s="31"/>
      <c r="E341" s="32"/>
    </row>
    <row r="342" spans="2:5" ht="19.5" customHeight="1" x14ac:dyDescent="0.25">
      <c r="B342" s="32"/>
      <c r="C342" s="32"/>
      <c r="D342" s="31"/>
      <c r="E342" s="32"/>
    </row>
    <row r="343" spans="2:5" ht="19.5" customHeight="1" x14ac:dyDescent="0.25">
      <c r="B343" s="32"/>
      <c r="C343" s="32"/>
      <c r="D343" s="31"/>
      <c r="E343" s="32"/>
    </row>
    <row r="344" spans="2:5" ht="19.5" customHeight="1" x14ac:dyDescent="0.25">
      <c r="B344" s="32"/>
      <c r="C344" s="32"/>
      <c r="D344" s="31"/>
      <c r="E344" s="32"/>
    </row>
    <row r="345" spans="2:5" ht="19.5" customHeight="1" x14ac:dyDescent="0.25">
      <c r="B345" s="32"/>
      <c r="C345" s="32"/>
      <c r="D345" s="31"/>
      <c r="E345" s="32"/>
    </row>
    <row r="346" spans="2:5" ht="19.5" customHeight="1" x14ac:dyDescent="0.25">
      <c r="B346" s="32"/>
      <c r="C346" s="32"/>
      <c r="D346" s="31"/>
      <c r="E346" s="32"/>
    </row>
    <row r="347" spans="2:5" ht="19.5" customHeight="1" x14ac:dyDescent="0.25">
      <c r="B347" s="32"/>
      <c r="C347" s="32"/>
      <c r="D347" s="31"/>
      <c r="E347" s="32"/>
    </row>
    <row r="348" spans="2:5" ht="19.5" customHeight="1" x14ac:dyDescent="0.25">
      <c r="B348" s="32"/>
      <c r="C348" s="32"/>
      <c r="D348" s="31"/>
      <c r="E348" s="32"/>
    </row>
    <row r="349" spans="2:5" ht="19.5" customHeight="1" x14ac:dyDescent="0.25">
      <c r="B349" s="32"/>
      <c r="C349" s="32"/>
      <c r="D349" s="31"/>
      <c r="E349" s="32"/>
    </row>
    <row r="350" spans="2:5" ht="19.5" customHeight="1" x14ac:dyDescent="0.25">
      <c r="B350" s="32"/>
      <c r="C350" s="32"/>
      <c r="D350" s="31"/>
      <c r="E350" s="32"/>
    </row>
    <row r="351" spans="2:5" ht="19.5" customHeight="1" x14ac:dyDescent="0.25">
      <c r="B351" s="32"/>
      <c r="C351" s="32"/>
      <c r="D351" s="31"/>
      <c r="E351" s="32"/>
    </row>
    <row r="352" spans="2:5" ht="19.5" customHeight="1" x14ac:dyDescent="0.25">
      <c r="B352" s="32"/>
      <c r="C352" s="32"/>
      <c r="D352" s="31"/>
      <c r="E352" s="32"/>
    </row>
    <row r="353" spans="2:5" ht="19.5" customHeight="1" x14ac:dyDescent="0.25">
      <c r="B353" s="32"/>
      <c r="C353" s="32"/>
      <c r="D353" s="31"/>
      <c r="E353" s="32"/>
    </row>
    <row r="354" spans="2:5" ht="19.5" customHeight="1" x14ac:dyDescent="0.25">
      <c r="B354" s="32"/>
      <c r="C354" s="32"/>
      <c r="D354" s="31"/>
      <c r="E354" s="32"/>
    </row>
    <row r="355" spans="2:5" ht="19.5" customHeight="1" x14ac:dyDescent="0.25">
      <c r="B355" s="32"/>
      <c r="C355" s="32"/>
      <c r="D355" s="31"/>
      <c r="E355" s="32"/>
    </row>
    <row r="356" spans="2:5" ht="19.5" customHeight="1" x14ac:dyDescent="0.25">
      <c r="B356" s="32"/>
      <c r="C356" s="32"/>
      <c r="D356" s="31"/>
      <c r="E356" s="32"/>
    </row>
    <row r="357" spans="2:5" ht="19.5" customHeight="1" x14ac:dyDescent="0.25">
      <c r="B357" s="32"/>
      <c r="C357" s="32"/>
      <c r="D357" s="31"/>
      <c r="E357" s="32"/>
    </row>
    <row r="358" spans="2:5" ht="19.5" customHeight="1" x14ac:dyDescent="0.25">
      <c r="B358" s="32"/>
      <c r="C358" s="32"/>
      <c r="D358" s="31"/>
      <c r="E358" s="32"/>
    </row>
    <row r="359" spans="2:5" ht="19.5" customHeight="1" x14ac:dyDescent="0.25">
      <c r="B359" s="32"/>
      <c r="C359" s="32"/>
      <c r="D359" s="31"/>
      <c r="E359" s="32"/>
    </row>
    <row r="360" spans="2:5" ht="19.5" customHeight="1" x14ac:dyDescent="0.25">
      <c r="B360" s="32"/>
      <c r="C360" s="32"/>
      <c r="D360" s="31"/>
      <c r="E360" s="32"/>
    </row>
    <row r="361" spans="2:5" ht="19.5" customHeight="1" x14ac:dyDescent="0.25">
      <c r="B361" s="32"/>
      <c r="C361" s="32"/>
      <c r="D361" s="31"/>
      <c r="E361" s="32"/>
    </row>
    <row r="362" spans="2:5" ht="19.5" customHeight="1" x14ac:dyDescent="0.25">
      <c r="B362" s="32"/>
      <c r="C362" s="32"/>
      <c r="D362" s="31"/>
      <c r="E362" s="32"/>
    </row>
    <row r="363" spans="2:5" ht="19.5" customHeight="1" x14ac:dyDescent="0.25">
      <c r="B363" s="32"/>
      <c r="C363" s="32"/>
      <c r="D363" s="31"/>
      <c r="E363" s="32"/>
    </row>
    <row r="364" spans="2:5" ht="19.5" customHeight="1" x14ac:dyDescent="0.25">
      <c r="B364" s="32"/>
      <c r="C364" s="32"/>
      <c r="D364" s="31"/>
      <c r="E364" s="32"/>
    </row>
    <row r="365" spans="2:5" ht="19.5" customHeight="1" x14ac:dyDescent="0.25">
      <c r="B365" s="32"/>
      <c r="C365" s="32"/>
      <c r="D365" s="31"/>
      <c r="E365" s="32"/>
    </row>
    <row r="366" spans="2:5" ht="19.5" customHeight="1" x14ac:dyDescent="0.25">
      <c r="B366" s="32"/>
      <c r="C366" s="32"/>
      <c r="D366" s="31"/>
      <c r="E366" s="32"/>
    </row>
    <row r="367" spans="2:5" ht="19.5" customHeight="1" x14ac:dyDescent="0.25">
      <c r="B367" s="32"/>
      <c r="C367" s="32"/>
      <c r="D367" s="31"/>
      <c r="E367" s="32"/>
    </row>
    <row r="368" spans="2:5" ht="19.5" customHeight="1" x14ac:dyDescent="0.25">
      <c r="B368" s="32"/>
      <c r="C368" s="32"/>
      <c r="D368" s="31"/>
      <c r="E368" s="32"/>
    </row>
    <row r="369" spans="2:5" ht="19.5" customHeight="1" x14ac:dyDescent="0.25">
      <c r="B369" s="32"/>
      <c r="C369" s="32"/>
      <c r="D369" s="31"/>
      <c r="E369" s="32"/>
    </row>
    <row r="370" spans="2:5" ht="19.5" customHeight="1" x14ac:dyDescent="0.25">
      <c r="B370" s="32"/>
      <c r="C370" s="32"/>
      <c r="D370" s="31"/>
      <c r="E370" s="32"/>
    </row>
    <row r="371" spans="2:5" ht="19.5" customHeight="1" x14ac:dyDescent="0.25">
      <c r="B371" s="32"/>
      <c r="C371" s="32"/>
      <c r="D371" s="31"/>
      <c r="E371" s="32"/>
    </row>
    <row r="372" spans="2:5" ht="19.5" customHeight="1" x14ac:dyDescent="0.25">
      <c r="B372" s="32"/>
      <c r="C372" s="32"/>
      <c r="D372" s="31"/>
      <c r="E372" s="32"/>
    </row>
    <row r="373" spans="2:5" ht="19.5" customHeight="1" x14ac:dyDescent="0.25">
      <c r="B373" s="32"/>
      <c r="C373" s="32"/>
      <c r="D373" s="31"/>
      <c r="E373" s="32"/>
    </row>
    <row r="374" spans="2:5" ht="19.5" customHeight="1" x14ac:dyDescent="0.25">
      <c r="B374" s="32"/>
      <c r="C374" s="32"/>
      <c r="D374" s="31"/>
      <c r="E374" s="32"/>
    </row>
    <row r="375" spans="2:5" ht="19.5" customHeight="1" x14ac:dyDescent="0.25">
      <c r="B375" s="32"/>
      <c r="C375" s="32"/>
      <c r="D375" s="31"/>
      <c r="E375" s="32"/>
    </row>
    <row r="376" spans="2:5" ht="19.5" customHeight="1" x14ac:dyDescent="0.25">
      <c r="B376" s="32"/>
      <c r="C376" s="32"/>
      <c r="D376" s="31"/>
      <c r="E376" s="32"/>
    </row>
    <row r="377" spans="2:5" ht="19.5" customHeight="1" x14ac:dyDescent="0.25">
      <c r="B377" s="32"/>
      <c r="C377" s="32"/>
      <c r="D377" s="31"/>
      <c r="E377" s="32"/>
    </row>
    <row r="378" spans="2:5" ht="19.5" customHeight="1" x14ac:dyDescent="0.25">
      <c r="B378" s="32"/>
      <c r="C378" s="32"/>
      <c r="D378" s="31"/>
      <c r="E378" s="32"/>
    </row>
    <row r="379" spans="2:5" ht="19.5" customHeight="1" x14ac:dyDescent="0.25">
      <c r="B379" s="32"/>
      <c r="C379" s="32"/>
      <c r="D379" s="31"/>
      <c r="E379" s="32"/>
    </row>
    <row r="380" spans="2:5" ht="19.5" customHeight="1" x14ac:dyDescent="0.25">
      <c r="B380" s="32"/>
      <c r="C380" s="32"/>
      <c r="D380" s="31"/>
      <c r="E380" s="32"/>
    </row>
    <row r="381" spans="2:5" ht="19.5" customHeight="1" x14ac:dyDescent="0.25">
      <c r="B381" s="32"/>
      <c r="C381" s="32"/>
      <c r="D381" s="31"/>
      <c r="E381" s="32"/>
    </row>
    <row r="382" spans="2:5" ht="19.5" customHeight="1" x14ac:dyDescent="0.25">
      <c r="B382" s="32"/>
      <c r="C382" s="32"/>
      <c r="D382" s="31"/>
      <c r="E382" s="32"/>
    </row>
    <row r="383" spans="2:5" ht="19.5" customHeight="1" x14ac:dyDescent="0.25">
      <c r="B383" s="32"/>
      <c r="C383" s="32"/>
      <c r="D383" s="31"/>
      <c r="E383" s="32"/>
    </row>
    <row r="384" spans="2:5" ht="19.5" customHeight="1" x14ac:dyDescent="0.25">
      <c r="B384" s="32"/>
      <c r="C384" s="32"/>
      <c r="D384" s="31"/>
      <c r="E384" s="32"/>
    </row>
    <row r="385" spans="2:5" ht="19.5" customHeight="1" x14ac:dyDescent="0.25">
      <c r="B385" s="32"/>
      <c r="C385" s="32"/>
      <c r="D385" s="31"/>
      <c r="E385" s="32"/>
    </row>
    <row r="386" spans="2:5" ht="19.5" customHeight="1" x14ac:dyDescent="0.25">
      <c r="B386" s="32"/>
      <c r="C386" s="32"/>
      <c r="D386" s="31"/>
      <c r="E386" s="32"/>
    </row>
    <row r="387" spans="2:5" ht="19.5" customHeight="1" x14ac:dyDescent="0.25">
      <c r="B387" s="32"/>
      <c r="C387" s="32"/>
      <c r="D387" s="31"/>
      <c r="E387" s="32"/>
    </row>
    <row r="388" spans="2:5" ht="19.5" customHeight="1" x14ac:dyDescent="0.25">
      <c r="B388" s="32"/>
      <c r="C388" s="32"/>
      <c r="D388" s="31"/>
      <c r="E388" s="32"/>
    </row>
    <row r="389" spans="2:5" ht="19.5" customHeight="1" x14ac:dyDescent="0.25">
      <c r="B389" s="32"/>
      <c r="C389" s="32"/>
      <c r="D389" s="31"/>
      <c r="E389" s="32"/>
    </row>
    <row r="390" spans="2:5" ht="19.5" customHeight="1" x14ac:dyDescent="0.25">
      <c r="B390" s="32"/>
      <c r="C390" s="32"/>
      <c r="D390" s="31"/>
      <c r="E390" s="32"/>
    </row>
    <row r="391" spans="2:5" ht="19.5" customHeight="1" x14ac:dyDescent="0.25">
      <c r="B391" s="32"/>
      <c r="C391" s="32"/>
      <c r="D391" s="31"/>
      <c r="E391" s="32"/>
    </row>
    <row r="392" spans="2:5" ht="19.5" customHeight="1" x14ac:dyDescent="0.25">
      <c r="B392" s="32"/>
      <c r="C392" s="32"/>
      <c r="D392" s="31"/>
      <c r="E392" s="32"/>
    </row>
    <row r="393" spans="2:5" ht="19.5" customHeight="1" x14ac:dyDescent="0.25">
      <c r="B393" s="32"/>
      <c r="C393" s="32"/>
      <c r="D393" s="31"/>
      <c r="E393" s="32"/>
    </row>
    <row r="394" spans="2:5" ht="19.5" customHeight="1" x14ac:dyDescent="0.25">
      <c r="B394" s="32"/>
      <c r="C394" s="32"/>
      <c r="D394" s="31"/>
      <c r="E394" s="32"/>
    </row>
    <row r="395" spans="2:5" ht="19.5" customHeight="1" x14ac:dyDescent="0.25">
      <c r="B395" s="32"/>
      <c r="C395" s="32"/>
      <c r="D395" s="31"/>
      <c r="E395" s="32"/>
    </row>
    <row r="396" spans="2:5" ht="19.5" customHeight="1" x14ac:dyDescent="0.25">
      <c r="B396" s="32"/>
      <c r="C396" s="32"/>
      <c r="D396" s="31"/>
      <c r="E396" s="32"/>
    </row>
    <row r="397" spans="2:5" ht="19.5" customHeight="1" x14ac:dyDescent="0.25">
      <c r="B397" s="32"/>
      <c r="C397" s="32"/>
      <c r="D397" s="31"/>
      <c r="E397" s="32"/>
    </row>
    <row r="398" spans="2:5" ht="19.5" customHeight="1" x14ac:dyDescent="0.25">
      <c r="B398" s="32"/>
      <c r="C398" s="32"/>
      <c r="D398" s="31"/>
      <c r="E398" s="32"/>
    </row>
    <row r="399" spans="2:5" ht="19.5" customHeight="1" x14ac:dyDescent="0.25">
      <c r="B399" s="32"/>
      <c r="C399" s="32"/>
      <c r="D399" s="31"/>
      <c r="E399" s="32"/>
    </row>
    <row r="400" spans="2:5" ht="19.5" customHeight="1" x14ac:dyDescent="0.25">
      <c r="B400" s="32"/>
      <c r="C400" s="32"/>
      <c r="D400" s="31"/>
      <c r="E400" s="32"/>
    </row>
    <row r="401" spans="2:5" ht="19.5" customHeight="1" x14ac:dyDescent="0.25">
      <c r="B401" s="32"/>
      <c r="C401" s="32"/>
      <c r="D401" s="31"/>
      <c r="E401" s="32"/>
    </row>
    <row r="402" spans="2:5" ht="19.5" customHeight="1" x14ac:dyDescent="0.25">
      <c r="B402" s="32"/>
      <c r="C402" s="32"/>
      <c r="D402" s="31"/>
      <c r="E402" s="32"/>
    </row>
    <row r="403" spans="2:5" ht="19.5" customHeight="1" x14ac:dyDescent="0.25">
      <c r="B403" s="32"/>
      <c r="C403" s="32"/>
      <c r="D403" s="31"/>
      <c r="E403" s="32"/>
    </row>
    <row r="404" spans="2:5" ht="19.5" customHeight="1" x14ac:dyDescent="0.25">
      <c r="B404" s="32"/>
      <c r="C404" s="32"/>
      <c r="D404" s="31"/>
      <c r="E404" s="32"/>
    </row>
    <row r="405" spans="2:5" ht="19.5" customHeight="1" x14ac:dyDescent="0.25">
      <c r="B405" s="32"/>
      <c r="C405" s="32"/>
      <c r="D405" s="31"/>
      <c r="E405" s="32"/>
    </row>
    <row r="406" spans="2:5" ht="19.5" customHeight="1" x14ac:dyDescent="0.25">
      <c r="B406" s="32"/>
      <c r="C406" s="32"/>
      <c r="D406" s="31"/>
      <c r="E406" s="32"/>
    </row>
    <row r="407" spans="2:5" ht="19.5" customHeight="1" x14ac:dyDescent="0.25">
      <c r="B407" s="32"/>
      <c r="C407" s="32"/>
      <c r="D407" s="31"/>
      <c r="E407" s="32"/>
    </row>
    <row r="408" spans="2:5" ht="19.5" customHeight="1" x14ac:dyDescent="0.25">
      <c r="B408" s="32"/>
      <c r="C408" s="32"/>
      <c r="D408" s="31"/>
      <c r="E408" s="32"/>
    </row>
    <row r="409" spans="2:5" ht="19.5" customHeight="1" x14ac:dyDescent="0.25">
      <c r="B409" s="32"/>
      <c r="C409" s="32"/>
      <c r="D409" s="31"/>
      <c r="E409" s="32"/>
    </row>
    <row r="410" spans="2:5" ht="19.5" customHeight="1" x14ac:dyDescent="0.25">
      <c r="B410" s="32"/>
      <c r="C410" s="32"/>
      <c r="D410" s="31"/>
      <c r="E410" s="32"/>
    </row>
    <row r="411" spans="2:5" ht="19.5" customHeight="1" x14ac:dyDescent="0.25">
      <c r="B411" s="32"/>
      <c r="C411" s="32"/>
      <c r="D411" s="31"/>
      <c r="E411" s="32"/>
    </row>
    <row r="412" spans="2:5" ht="19.5" customHeight="1" x14ac:dyDescent="0.25">
      <c r="B412" s="32"/>
      <c r="C412" s="32"/>
      <c r="D412" s="31"/>
      <c r="E412" s="32"/>
    </row>
    <row r="413" spans="2:5" ht="19.5" customHeight="1" x14ac:dyDescent="0.25">
      <c r="B413" s="32"/>
      <c r="C413" s="32"/>
      <c r="D413" s="31"/>
      <c r="E413" s="32"/>
    </row>
    <row r="414" spans="2:5" ht="19.5" customHeight="1" x14ac:dyDescent="0.25">
      <c r="B414" s="32"/>
      <c r="C414" s="32"/>
      <c r="D414" s="31"/>
      <c r="E414" s="32"/>
    </row>
    <row r="415" spans="2:5" ht="19.5" customHeight="1" x14ac:dyDescent="0.25">
      <c r="B415" s="32"/>
      <c r="C415" s="32"/>
      <c r="D415" s="31"/>
      <c r="E415" s="32"/>
    </row>
    <row r="416" spans="2:5" ht="19.5" customHeight="1" x14ac:dyDescent="0.25">
      <c r="B416" s="32"/>
      <c r="C416" s="32"/>
      <c r="D416" s="31"/>
      <c r="E416" s="32"/>
    </row>
    <row r="417" spans="2:5" ht="19.5" customHeight="1" x14ac:dyDescent="0.25">
      <c r="B417" s="32"/>
      <c r="C417" s="32"/>
      <c r="D417" s="31"/>
      <c r="E417" s="32"/>
    </row>
    <row r="418" spans="2:5" ht="19.5" customHeight="1" x14ac:dyDescent="0.25">
      <c r="B418" s="32"/>
      <c r="C418" s="32"/>
      <c r="D418" s="31"/>
      <c r="E418" s="32"/>
    </row>
    <row r="419" spans="2:5" ht="19.5" customHeight="1" x14ac:dyDescent="0.25">
      <c r="B419" s="32"/>
      <c r="C419" s="32"/>
      <c r="D419" s="31"/>
      <c r="E419" s="32"/>
    </row>
    <row r="420" spans="2:5" ht="19.5" customHeight="1" x14ac:dyDescent="0.25">
      <c r="B420" s="32"/>
      <c r="C420" s="32"/>
      <c r="D420" s="31"/>
      <c r="E420" s="32"/>
    </row>
    <row r="421" spans="2:5" ht="19.5" customHeight="1" x14ac:dyDescent="0.25">
      <c r="B421" s="32"/>
      <c r="C421" s="32"/>
      <c r="D421" s="31"/>
      <c r="E421" s="32"/>
    </row>
    <row r="422" spans="2:5" ht="19.5" customHeight="1" x14ac:dyDescent="0.25">
      <c r="B422" s="32"/>
      <c r="C422" s="32"/>
      <c r="D422" s="31"/>
      <c r="E422" s="32"/>
    </row>
    <row r="423" spans="2:5" ht="19.5" customHeight="1" x14ac:dyDescent="0.25">
      <c r="B423" s="32"/>
      <c r="C423" s="32"/>
      <c r="D423" s="31"/>
      <c r="E423" s="32"/>
    </row>
    <row r="424" spans="2:5" ht="19.5" customHeight="1" x14ac:dyDescent="0.25">
      <c r="B424" s="32"/>
      <c r="C424" s="32"/>
      <c r="D424" s="31"/>
      <c r="E424" s="32"/>
    </row>
    <row r="425" spans="2:5" ht="19.5" customHeight="1" x14ac:dyDescent="0.25">
      <c r="B425" s="32"/>
      <c r="C425" s="32"/>
      <c r="D425" s="31"/>
      <c r="E425" s="32"/>
    </row>
    <row r="426" spans="2:5" ht="19.5" customHeight="1" x14ac:dyDescent="0.25">
      <c r="B426" s="32"/>
      <c r="C426" s="32"/>
      <c r="D426" s="31"/>
      <c r="E426" s="32"/>
    </row>
    <row r="427" spans="2:5" ht="19.5" customHeight="1" x14ac:dyDescent="0.25">
      <c r="B427" s="32"/>
      <c r="C427" s="32"/>
      <c r="D427" s="31"/>
      <c r="E427" s="32"/>
    </row>
    <row r="428" spans="2:5" ht="19.5" customHeight="1" x14ac:dyDescent="0.25">
      <c r="B428" s="32"/>
      <c r="C428" s="32"/>
      <c r="D428" s="31"/>
      <c r="E428" s="32"/>
    </row>
    <row r="429" spans="2:5" ht="19.5" customHeight="1" x14ac:dyDescent="0.25">
      <c r="B429" s="32"/>
      <c r="C429" s="32"/>
      <c r="D429" s="31"/>
      <c r="E429" s="32"/>
    </row>
    <row r="430" spans="2:5" ht="19.5" customHeight="1" x14ac:dyDescent="0.25">
      <c r="B430" s="32"/>
      <c r="C430" s="32"/>
      <c r="D430" s="31"/>
      <c r="E430" s="32"/>
    </row>
    <row r="431" spans="2:5" ht="19.5" customHeight="1" x14ac:dyDescent="0.25">
      <c r="B431" s="32"/>
      <c r="C431" s="32"/>
      <c r="D431" s="31"/>
      <c r="E431" s="32"/>
    </row>
    <row r="432" spans="2:5" ht="19.5" customHeight="1" x14ac:dyDescent="0.25">
      <c r="B432" s="32"/>
      <c r="C432" s="32"/>
      <c r="D432" s="31"/>
      <c r="E432" s="32"/>
    </row>
    <row r="433" spans="2:5" ht="19.5" customHeight="1" x14ac:dyDescent="0.25">
      <c r="B433" s="32"/>
      <c r="C433" s="32"/>
      <c r="D433" s="31"/>
      <c r="E433" s="32"/>
    </row>
    <row r="434" spans="2:5" ht="19.5" customHeight="1" x14ac:dyDescent="0.25">
      <c r="B434" s="32"/>
      <c r="C434" s="32"/>
      <c r="D434" s="31"/>
      <c r="E434" s="32"/>
    </row>
    <row r="435" spans="2:5" ht="19.5" customHeight="1" x14ac:dyDescent="0.25">
      <c r="B435" s="32"/>
      <c r="C435" s="32"/>
      <c r="D435" s="31"/>
      <c r="E435" s="32"/>
    </row>
    <row r="436" spans="2:5" ht="19.5" customHeight="1" x14ac:dyDescent="0.25">
      <c r="B436" s="32"/>
      <c r="C436" s="32"/>
      <c r="D436" s="31"/>
      <c r="E436" s="32"/>
    </row>
    <row r="437" spans="2:5" ht="19.5" customHeight="1" x14ac:dyDescent="0.25">
      <c r="B437" s="32"/>
      <c r="C437" s="32"/>
      <c r="D437" s="31"/>
      <c r="E437" s="32"/>
    </row>
    <row r="438" spans="2:5" ht="19.5" customHeight="1" x14ac:dyDescent="0.25">
      <c r="B438" s="32"/>
      <c r="C438" s="32"/>
      <c r="D438" s="31"/>
      <c r="E438" s="32"/>
    </row>
    <row r="439" spans="2:5" ht="19.5" customHeight="1" x14ac:dyDescent="0.25">
      <c r="B439" s="32"/>
      <c r="C439" s="32"/>
      <c r="D439" s="31"/>
      <c r="E439" s="32"/>
    </row>
    <row r="440" spans="2:5" ht="19.5" customHeight="1" x14ac:dyDescent="0.25">
      <c r="B440" s="32"/>
      <c r="C440" s="32"/>
      <c r="D440" s="31"/>
      <c r="E440" s="32"/>
    </row>
    <row r="441" spans="2:5" ht="19.5" customHeight="1" x14ac:dyDescent="0.25">
      <c r="B441" s="32"/>
      <c r="C441" s="32"/>
      <c r="D441" s="31"/>
      <c r="E441" s="32"/>
    </row>
    <row r="442" spans="2:5" ht="19.5" customHeight="1" x14ac:dyDescent="0.25">
      <c r="B442" s="32"/>
      <c r="C442" s="32"/>
      <c r="D442" s="31"/>
      <c r="E442" s="32"/>
    </row>
    <row r="443" spans="2:5" ht="19.5" customHeight="1" x14ac:dyDescent="0.25">
      <c r="B443" s="32"/>
      <c r="C443" s="32"/>
      <c r="D443" s="31"/>
      <c r="E443" s="32"/>
    </row>
    <row r="444" spans="2:5" ht="19.5" customHeight="1" x14ac:dyDescent="0.25">
      <c r="B444" s="32"/>
      <c r="C444" s="32"/>
      <c r="D444" s="31"/>
      <c r="E444" s="32"/>
    </row>
    <row r="445" spans="2:5" ht="19.5" customHeight="1" x14ac:dyDescent="0.25">
      <c r="B445" s="32"/>
      <c r="C445" s="32"/>
      <c r="D445" s="31"/>
      <c r="E445" s="32"/>
    </row>
    <row r="446" spans="2:5" ht="19.5" customHeight="1" x14ac:dyDescent="0.25">
      <c r="B446" s="32"/>
      <c r="C446" s="32"/>
      <c r="D446" s="31"/>
      <c r="E446" s="32"/>
    </row>
    <row r="447" spans="2:5" ht="19.5" customHeight="1" x14ac:dyDescent="0.25">
      <c r="B447" s="32"/>
      <c r="C447" s="32"/>
      <c r="D447" s="31"/>
      <c r="E447" s="32"/>
    </row>
    <row r="448" spans="2:5" ht="19.5" customHeight="1" x14ac:dyDescent="0.25">
      <c r="B448" s="32"/>
      <c r="C448" s="32"/>
      <c r="D448" s="31"/>
      <c r="E448" s="32"/>
    </row>
    <row r="449" spans="2:5" ht="19.5" customHeight="1" x14ac:dyDescent="0.25">
      <c r="B449" s="32"/>
      <c r="C449" s="32"/>
      <c r="D449" s="31"/>
      <c r="E449" s="32"/>
    </row>
    <row r="450" spans="2:5" ht="19.5" customHeight="1" x14ac:dyDescent="0.25">
      <c r="B450" s="32"/>
      <c r="C450" s="32"/>
      <c r="D450" s="31"/>
      <c r="E450" s="32"/>
    </row>
    <row r="451" spans="2:5" ht="19.5" customHeight="1" x14ac:dyDescent="0.25">
      <c r="B451" s="32"/>
      <c r="C451" s="32"/>
      <c r="D451" s="31"/>
      <c r="E451" s="32"/>
    </row>
    <row r="452" spans="2:5" ht="19.5" customHeight="1" x14ac:dyDescent="0.25">
      <c r="B452" s="32"/>
      <c r="C452" s="32"/>
      <c r="D452" s="31"/>
      <c r="E452" s="32"/>
    </row>
    <row r="453" spans="2:5" ht="19.5" customHeight="1" x14ac:dyDescent="0.25">
      <c r="B453" s="32"/>
      <c r="C453" s="32"/>
      <c r="D453" s="31"/>
      <c r="E453" s="32"/>
    </row>
    <row r="454" spans="2:5" ht="19.5" customHeight="1" x14ac:dyDescent="0.25">
      <c r="B454" s="32"/>
      <c r="C454" s="32"/>
      <c r="D454" s="31"/>
      <c r="E454" s="32"/>
    </row>
    <row r="455" spans="2:5" ht="19.5" customHeight="1" x14ac:dyDescent="0.25">
      <c r="B455" s="32"/>
      <c r="C455" s="32"/>
      <c r="D455" s="31"/>
      <c r="E455" s="32"/>
    </row>
    <row r="456" spans="2:5" ht="19.5" customHeight="1" x14ac:dyDescent="0.25">
      <c r="B456" s="32"/>
      <c r="C456" s="32"/>
      <c r="D456" s="31"/>
      <c r="E456" s="32"/>
    </row>
    <row r="457" spans="2:5" ht="19.5" customHeight="1" x14ac:dyDescent="0.25">
      <c r="B457" s="32"/>
      <c r="C457" s="32"/>
      <c r="D457" s="31"/>
      <c r="E457" s="32"/>
    </row>
    <row r="458" spans="2:5" ht="19.5" customHeight="1" x14ac:dyDescent="0.25">
      <c r="B458" s="32"/>
      <c r="C458" s="32"/>
      <c r="D458" s="31"/>
      <c r="E458" s="32"/>
    </row>
    <row r="459" spans="2:5" ht="19.5" customHeight="1" x14ac:dyDescent="0.25">
      <c r="B459" s="32"/>
      <c r="C459" s="32"/>
      <c r="D459" s="31"/>
      <c r="E459" s="32"/>
    </row>
    <row r="460" spans="2:5" ht="19.5" customHeight="1" x14ac:dyDescent="0.25">
      <c r="B460" s="32"/>
      <c r="C460" s="32"/>
      <c r="D460" s="31"/>
      <c r="E460" s="32"/>
    </row>
    <row r="461" spans="2:5" ht="19.5" customHeight="1" x14ac:dyDescent="0.25">
      <c r="B461" s="32"/>
      <c r="C461" s="32"/>
      <c r="D461" s="31"/>
      <c r="E461" s="32"/>
    </row>
    <row r="462" spans="2:5" ht="19.5" customHeight="1" x14ac:dyDescent="0.25">
      <c r="B462" s="32"/>
      <c r="C462" s="32"/>
      <c r="D462" s="31"/>
      <c r="E462" s="32"/>
    </row>
    <row r="463" spans="2:5" ht="19.5" customHeight="1" x14ac:dyDescent="0.25">
      <c r="B463" s="32"/>
      <c r="C463" s="32"/>
      <c r="D463" s="31"/>
      <c r="E463" s="32"/>
    </row>
    <row r="464" spans="2:5" ht="19.5" customHeight="1" x14ac:dyDescent="0.25">
      <c r="B464" s="32"/>
      <c r="C464" s="32"/>
      <c r="D464" s="31"/>
      <c r="E464" s="32"/>
    </row>
    <row r="465" spans="2:5" ht="19.5" customHeight="1" x14ac:dyDescent="0.25">
      <c r="B465" s="32"/>
      <c r="C465" s="32"/>
      <c r="D465" s="31"/>
      <c r="E465" s="32"/>
    </row>
    <row r="466" spans="2:5" ht="19.5" customHeight="1" x14ac:dyDescent="0.25">
      <c r="B466" s="32"/>
      <c r="C466" s="32"/>
      <c r="D466" s="31"/>
      <c r="E466" s="32"/>
    </row>
    <row r="467" spans="2:5" ht="19.5" customHeight="1" x14ac:dyDescent="0.25">
      <c r="B467" s="32"/>
      <c r="C467" s="32"/>
      <c r="D467" s="31"/>
      <c r="E467" s="32"/>
    </row>
    <row r="468" spans="2:5" ht="19.5" customHeight="1" x14ac:dyDescent="0.25">
      <c r="B468" s="32"/>
      <c r="C468" s="32"/>
      <c r="D468" s="31"/>
      <c r="E468" s="32"/>
    </row>
    <row r="469" spans="2:5" ht="19.5" customHeight="1" x14ac:dyDescent="0.25">
      <c r="B469" s="32"/>
      <c r="C469" s="32"/>
      <c r="D469" s="31"/>
      <c r="E469" s="32"/>
    </row>
    <row r="470" spans="2:5" ht="19.5" customHeight="1" x14ac:dyDescent="0.25">
      <c r="B470" s="32"/>
      <c r="C470" s="32"/>
      <c r="D470" s="31"/>
      <c r="E470" s="32"/>
    </row>
    <row r="471" spans="2:5" ht="19.5" customHeight="1" x14ac:dyDescent="0.25">
      <c r="B471" s="32"/>
      <c r="C471" s="32"/>
      <c r="D471" s="31"/>
      <c r="E471" s="32"/>
    </row>
    <row r="472" spans="2:5" ht="19.5" customHeight="1" x14ac:dyDescent="0.25">
      <c r="B472" s="32"/>
      <c r="C472" s="32"/>
      <c r="D472" s="31"/>
      <c r="E472" s="32"/>
    </row>
    <row r="473" spans="2:5" ht="19.5" customHeight="1" x14ac:dyDescent="0.25">
      <c r="B473" s="32"/>
      <c r="C473" s="32"/>
      <c r="D473" s="31"/>
      <c r="E473" s="32"/>
    </row>
    <row r="474" spans="2:5" ht="19.5" customHeight="1" x14ac:dyDescent="0.25">
      <c r="B474" s="32"/>
      <c r="C474" s="32"/>
      <c r="D474" s="31"/>
      <c r="E474" s="32"/>
    </row>
    <row r="475" spans="2:5" ht="19.5" customHeight="1" x14ac:dyDescent="0.25">
      <c r="B475" s="32"/>
      <c r="C475" s="32"/>
      <c r="D475" s="31"/>
      <c r="E475" s="32"/>
    </row>
    <row r="476" spans="2:5" ht="19.5" customHeight="1" x14ac:dyDescent="0.25">
      <c r="B476" s="32"/>
      <c r="C476" s="32"/>
      <c r="D476" s="31"/>
      <c r="E476" s="32"/>
    </row>
    <row r="477" spans="2:5" ht="19.5" customHeight="1" x14ac:dyDescent="0.25">
      <c r="B477" s="32"/>
      <c r="C477" s="32"/>
      <c r="D477" s="31"/>
      <c r="E477" s="32"/>
    </row>
    <row r="478" spans="2:5" ht="19.5" customHeight="1" x14ac:dyDescent="0.25">
      <c r="B478" s="32"/>
      <c r="C478" s="32"/>
      <c r="D478" s="31"/>
      <c r="E478" s="32"/>
    </row>
    <row r="479" spans="2:5" ht="19.5" customHeight="1" x14ac:dyDescent="0.25">
      <c r="B479" s="32"/>
      <c r="C479" s="32"/>
      <c r="D479" s="31"/>
      <c r="E479" s="32"/>
    </row>
    <row r="480" spans="2:5" ht="19.5" customHeight="1" x14ac:dyDescent="0.25">
      <c r="B480" s="32"/>
      <c r="C480" s="32"/>
      <c r="D480" s="31"/>
      <c r="E480" s="32"/>
    </row>
    <row r="481" spans="2:5" ht="19.5" customHeight="1" x14ac:dyDescent="0.25">
      <c r="B481" s="32"/>
      <c r="C481" s="32"/>
      <c r="D481" s="31"/>
      <c r="E481" s="32"/>
    </row>
    <row r="482" spans="2:5" ht="19.5" customHeight="1" x14ac:dyDescent="0.25">
      <c r="B482" s="32"/>
      <c r="C482" s="32"/>
      <c r="D482" s="31"/>
      <c r="E482" s="32"/>
    </row>
    <row r="483" spans="2:5" ht="19.5" customHeight="1" x14ac:dyDescent="0.25">
      <c r="B483" s="32"/>
      <c r="C483" s="32"/>
      <c r="D483" s="31"/>
      <c r="E483" s="32"/>
    </row>
    <row r="484" spans="2:5" ht="19.5" customHeight="1" x14ac:dyDescent="0.25">
      <c r="B484" s="32"/>
      <c r="C484" s="32"/>
      <c r="D484" s="31"/>
      <c r="E484" s="32"/>
    </row>
    <row r="485" spans="2:5" ht="19.5" customHeight="1" x14ac:dyDescent="0.25">
      <c r="B485" s="32"/>
      <c r="C485" s="32"/>
      <c r="D485" s="31"/>
      <c r="E485" s="32"/>
    </row>
    <row r="486" spans="2:5" ht="19.5" customHeight="1" x14ac:dyDescent="0.25">
      <c r="B486" s="32"/>
      <c r="C486" s="32"/>
      <c r="D486" s="31"/>
      <c r="E486" s="32"/>
    </row>
    <row r="487" spans="2:5" ht="19.5" customHeight="1" x14ac:dyDescent="0.25">
      <c r="B487" s="32"/>
      <c r="C487" s="32"/>
      <c r="D487" s="31"/>
      <c r="E487" s="32"/>
    </row>
    <row r="488" spans="2:5" ht="19.5" customHeight="1" x14ac:dyDescent="0.25">
      <c r="B488" s="32"/>
      <c r="C488" s="32"/>
      <c r="D488" s="31"/>
      <c r="E488" s="32"/>
    </row>
    <row r="489" spans="2:5" ht="19.5" customHeight="1" x14ac:dyDescent="0.25">
      <c r="B489" s="32"/>
      <c r="C489" s="32"/>
      <c r="D489" s="31"/>
      <c r="E489" s="32"/>
    </row>
    <row r="490" spans="2:5" ht="19.5" customHeight="1" x14ac:dyDescent="0.25">
      <c r="B490" s="32"/>
      <c r="C490" s="32"/>
      <c r="D490" s="31"/>
      <c r="E490" s="32"/>
    </row>
    <row r="491" spans="2:5" ht="19.5" customHeight="1" x14ac:dyDescent="0.25">
      <c r="B491" s="32"/>
      <c r="C491" s="32"/>
      <c r="D491" s="31"/>
      <c r="E491" s="32"/>
    </row>
    <row r="492" spans="2:5" ht="19.5" customHeight="1" x14ac:dyDescent="0.25">
      <c r="B492" s="32"/>
      <c r="C492" s="32"/>
      <c r="D492" s="31"/>
      <c r="E492" s="32"/>
    </row>
    <row r="493" spans="2:5" ht="19.5" customHeight="1" x14ac:dyDescent="0.25">
      <c r="B493" s="32"/>
      <c r="C493" s="32"/>
      <c r="D493" s="31"/>
      <c r="E493" s="32"/>
    </row>
    <row r="494" spans="2:5" ht="19.5" customHeight="1" x14ac:dyDescent="0.25">
      <c r="B494" s="32"/>
      <c r="C494" s="32"/>
      <c r="D494" s="31"/>
      <c r="E494" s="32"/>
    </row>
    <row r="495" spans="2:5" ht="19.5" customHeight="1" x14ac:dyDescent="0.25">
      <c r="B495" s="32"/>
      <c r="C495" s="32"/>
      <c r="D495" s="31"/>
      <c r="E495" s="32"/>
    </row>
    <row r="496" spans="2:5" ht="19.5" customHeight="1" x14ac:dyDescent="0.25">
      <c r="B496" s="32"/>
      <c r="C496" s="32"/>
      <c r="D496" s="31"/>
      <c r="E496" s="32"/>
    </row>
    <row r="497" spans="2:5" ht="19.5" customHeight="1" x14ac:dyDescent="0.25">
      <c r="B497" s="32"/>
      <c r="C497" s="32"/>
      <c r="D497" s="31"/>
      <c r="E497" s="32"/>
    </row>
    <row r="498" spans="2:5" ht="19.5" customHeight="1" x14ac:dyDescent="0.25">
      <c r="B498" s="32"/>
      <c r="C498" s="32"/>
      <c r="D498" s="31"/>
      <c r="E498" s="32"/>
    </row>
    <row r="499" spans="2:5" ht="19.5" customHeight="1" x14ac:dyDescent="0.25">
      <c r="B499" s="32"/>
      <c r="C499" s="32"/>
      <c r="D499" s="31"/>
      <c r="E499" s="32"/>
    </row>
    <row r="500" spans="2:5" ht="19.5" customHeight="1" x14ac:dyDescent="0.25">
      <c r="B500" s="32"/>
      <c r="C500" s="32"/>
      <c r="D500" s="31"/>
      <c r="E500" s="32"/>
    </row>
    <row r="501" spans="2:5" ht="19.5" customHeight="1" x14ac:dyDescent="0.25">
      <c r="B501" s="32"/>
      <c r="C501" s="32"/>
      <c r="D501" s="31"/>
      <c r="E501" s="32"/>
    </row>
    <row r="502" spans="2:5" ht="19.5" customHeight="1" x14ac:dyDescent="0.25">
      <c r="B502" s="32"/>
      <c r="C502" s="32"/>
      <c r="D502" s="31"/>
      <c r="E502" s="32"/>
    </row>
    <row r="503" spans="2:5" ht="19.5" customHeight="1" x14ac:dyDescent="0.25">
      <c r="B503" s="32"/>
      <c r="C503" s="32"/>
      <c r="D503" s="31"/>
      <c r="E503" s="32"/>
    </row>
    <row r="504" spans="2:5" ht="19.5" customHeight="1" x14ac:dyDescent="0.25">
      <c r="B504" s="32"/>
      <c r="C504" s="32"/>
      <c r="D504" s="31"/>
      <c r="E504" s="32"/>
    </row>
    <row r="505" spans="2:5" ht="19.5" customHeight="1" x14ac:dyDescent="0.25">
      <c r="B505" s="32"/>
      <c r="C505" s="32"/>
      <c r="D505" s="31"/>
      <c r="E505" s="32"/>
    </row>
    <row r="506" spans="2:5" ht="19.5" customHeight="1" x14ac:dyDescent="0.25">
      <c r="B506" s="32"/>
      <c r="C506" s="32"/>
      <c r="D506" s="31"/>
      <c r="E506" s="32"/>
    </row>
    <row r="507" spans="2:5" ht="19.5" customHeight="1" x14ac:dyDescent="0.25">
      <c r="B507" s="32"/>
      <c r="C507" s="32"/>
      <c r="D507" s="31"/>
      <c r="E507" s="32"/>
    </row>
    <row r="508" spans="2:5" ht="19.5" customHeight="1" x14ac:dyDescent="0.25">
      <c r="B508" s="32"/>
      <c r="C508" s="32"/>
      <c r="D508" s="31"/>
      <c r="E508" s="32"/>
    </row>
    <row r="509" spans="2:5" ht="19.5" customHeight="1" x14ac:dyDescent="0.25">
      <c r="B509" s="32"/>
      <c r="C509" s="32"/>
      <c r="D509" s="31"/>
      <c r="E509" s="32"/>
    </row>
    <row r="510" spans="2:5" ht="19.5" customHeight="1" x14ac:dyDescent="0.25">
      <c r="B510" s="32"/>
      <c r="C510" s="32"/>
      <c r="D510" s="31"/>
      <c r="E510" s="32"/>
    </row>
    <row r="511" spans="2:5" ht="19.5" customHeight="1" x14ac:dyDescent="0.25">
      <c r="B511" s="32"/>
      <c r="C511" s="32"/>
      <c r="D511" s="31"/>
      <c r="E511" s="32"/>
    </row>
    <row r="512" spans="2:5" ht="19.5" customHeight="1" x14ac:dyDescent="0.25">
      <c r="B512" s="32"/>
      <c r="C512" s="32"/>
      <c r="D512" s="31"/>
      <c r="E512" s="32"/>
    </row>
    <row r="513" spans="2:5" ht="19.5" customHeight="1" x14ac:dyDescent="0.25">
      <c r="B513" s="32"/>
      <c r="C513" s="32"/>
      <c r="D513" s="31"/>
      <c r="E513" s="32"/>
    </row>
    <row r="514" spans="2:5" ht="19.5" customHeight="1" x14ac:dyDescent="0.25">
      <c r="B514" s="32"/>
      <c r="C514" s="32"/>
      <c r="D514" s="31"/>
      <c r="E514" s="32"/>
    </row>
    <row r="515" spans="2:5" ht="19.5" customHeight="1" x14ac:dyDescent="0.25">
      <c r="B515" s="32"/>
      <c r="C515" s="32"/>
      <c r="D515" s="31"/>
      <c r="E515" s="32"/>
    </row>
    <row r="516" spans="2:5" ht="19.5" customHeight="1" x14ac:dyDescent="0.25">
      <c r="B516" s="32"/>
      <c r="C516" s="32"/>
      <c r="D516" s="31"/>
      <c r="E516" s="32"/>
    </row>
    <row r="517" spans="2:5" ht="19.5" customHeight="1" x14ac:dyDescent="0.25">
      <c r="B517" s="32"/>
      <c r="C517" s="32"/>
      <c r="D517" s="31"/>
      <c r="E517" s="32"/>
    </row>
    <row r="518" spans="2:5" ht="19.5" customHeight="1" x14ac:dyDescent="0.25">
      <c r="B518" s="32"/>
      <c r="C518" s="32"/>
      <c r="D518" s="31"/>
      <c r="E518" s="32"/>
    </row>
    <row r="519" spans="2:5" ht="19.5" customHeight="1" x14ac:dyDescent="0.25">
      <c r="B519" s="32"/>
      <c r="C519" s="32"/>
      <c r="D519" s="31"/>
      <c r="E519" s="32"/>
    </row>
    <row r="520" spans="2:5" ht="19.5" customHeight="1" x14ac:dyDescent="0.25">
      <c r="B520" s="32"/>
      <c r="C520" s="32"/>
      <c r="D520" s="31"/>
      <c r="E520" s="32"/>
    </row>
    <row r="521" spans="2:5" ht="19.5" customHeight="1" x14ac:dyDescent="0.25">
      <c r="B521" s="32"/>
      <c r="C521" s="32"/>
      <c r="D521" s="31"/>
      <c r="E521" s="32"/>
    </row>
    <row r="522" spans="2:5" ht="19.5" customHeight="1" x14ac:dyDescent="0.25">
      <c r="B522" s="32"/>
      <c r="C522" s="32"/>
      <c r="D522" s="31"/>
      <c r="E522" s="32"/>
    </row>
    <row r="523" spans="2:5" ht="19.5" customHeight="1" x14ac:dyDescent="0.25">
      <c r="B523" s="32"/>
      <c r="C523" s="32"/>
      <c r="D523" s="31"/>
      <c r="E523" s="32"/>
    </row>
    <row r="524" spans="2:5" ht="19.5" customHeight="1" x14ac:dyDescent="0.25">
      <c r="B524" s="32"/>
      <c r="C524" s="32"/>
      <c r="D524" s="31"/>
      <c r="E524" s="32"/>
    </row>
    <row r="525" spans="2:5" ht="19.5" customHeight="1" x14ac:dyDescent="0.25">
      <c r="B525" s="32"/>
      <c r="C525" s="32"/>
      <c r="D525" s="31"/>
      <c r="E525" s="32"/>
    </row>
    <row r="526" spans="2:5" ht="19.5" customHeight="1" x14ac:dyDescent="0.25">
      <c r="B526" s="32"/>
      <c r="C526" s="32"/>
      <c r="D526" s="31"/>
      <c r="E526" s="32"/>
    </row>
    <row r="527" spans="2:5" ht="19.5" customHeight="1" x14ac:dyDescent="0.25">
      <c r="B527" s="32"/>
      <c r="C527" s="32"/>
      <c r="D527" s="31"/>
      <c r="E527" s="32"/>
    </row>
    <row r="528" spans="2:5" ht="19.5" customHeight="1" x14ac:dyDescent="0.25">
      <c r="B528" s="32"/>
      <c r="C528" s="32"/>
      <c r="D528" s="31"/>
      <c r="E528" s="32"/>
    </row>
    <row r="529" spans="2:5" ht="19.5" customHeight="1" x14ac:dyDescent="0.25">
      <c r="B529" s="32"/>
      <c r="C529" s="32"/>
      <c r="D529" s="31"/>
      <c r="E529" s="32"/>
    </row>
    <row r="530" spans="2:5" ht="19.5" customHeight="1" x14ac:dyDescent="0.25">
      <c r="B530" s="32"/>
      <c r="C530" s="32"/>
      <c r="D530" s="31"/>
      <c r="E530" s="32"/>
    </row>
    <row r="531" spans="2:5" ht="19.5" customHeight="1" x14ac:dyDescent="0.25">
      <c r="B531" s="32"/>
      <c r="C531" s="32"/>
      <c r="D531" s="31"/>
      <c r="E531" s="32"/>
    </row>
    <row r="532" spans="2:5" ht="19.5" customHeight="1" x14ac:dyDescent="0.25">
      <c r="B532" s="32"/>
      <c r="C532" s="32"/>
      <c r="D532" s="31"/>
      <c r="E532" s="32"/>
    </row>
    <row r="533" spans="2:5" ht="19.5" customHeight="1" x14ac:dyDescent="0.25">
      <c r="B533" s="32"/>
      <c r="C533" s="32"/>
      <c r="D533" s="31"/>
      <c r="E533" s="32"/>
    </row>
    <row r="534" spans="2:5" ht="19.5" customHeight="1" x14ac:dyDescent="0.25">
      <c r="B534" s="32"/>
      <c r="C534" s="32"/>
      <c r="D534" s="31"/>
      <c r="E534" s="32"/>
    </row>
    <row r="535" spans="2:5" ht="19.5" customHeight="1" x14ac:dyDescent="0.25">
      <c r="B535" s="32"/>
      <c r="C535" s="32"/>
      <c r="D535" s="31"/>
      <c r="E535" s="32"/>
    </row>
    <row r="536" spans="2:5" ht="19.5" customHeight="1" x14ac:dyDescent="0.25">
      <c r="B536" s="32"/>
      <c r="C536" s="32"/>
      <c r="D536" s="31"/>
      <c r="E536" s="32"/>
    </row>
    <row r="537" spans="2:5" ht="19.5" customHeight="1" x14ac:dyDescent="0.25">
      <c r="B537" s="32"/>
      <c r="C537" s="32"/>
      <c r="D537" s="31"/>
      <c r="E537" s="32"/>
    </row>
    <row r="538" spans="2:5" ht="19.5" customHeight="1" x14ac:dyDescent="0.25">
      <c r="B538" s="32"/>
      <c r="C538" s="32"/>
      <c r="D538" s="31"/>
      <c r="E538" s="32"/>
    </row>
    <row r="539" spans="2:5" ht="19.5" customHeight="1" x14ac:dyDescent="0.25">
      <c r="B539" s="32"/>
      <c r="C539" s="32"/>
      <c r="D539" s="31"/>
      <c r="E539" s="32"/>
    </row>
    <row r="540" spans="2:5" ht="19.5" customHeight="1" x14ac:dyDescent="0.25">
      <c r="B540" s="32"/>
      <c r="C540" s="32"/>
      <c r="D540" s="31"/>
      <c r="E540" s="32"/>
    </row>
    <row r="541" spans="2:5" ht="19.5" customHeight="1" x14ac:dyDescent="0.25">
      <c r="B541" s="32"/>
      <c r="C541" s="32"/>
      <c r="D541" s="31"/>
      <c r="E541" s="32"/>
    </row>
    <row r="542" spans="2:5" ht="19.5" customHeight="1" x14ac:dyDescent="0.25">
      <c r="B542" s="32"/>
      <c r="C542" s="32"/>
      <c r="D542" s="31"/>
      <c r="E542" s="32"/>
    </row>
    <row r="543" spans="2:5" ht="19.5" customHeight="1" x14ac:dyDescent="0.25">
      <c r="B543" s="32"/>
      <c r="C543" s="32"/>
      <c r="D543" s="31"/>
      <c r="E543" s="32"/>
    </row>
    <row r="544" spans="2:5" ht="19.5" customHeight="1" x14ac:dyDescent="0.25">
      <c r="B544" s="32"/>
      <c r="C544" s="32"/>
      <c r="D544" s="31"/>
      <c r="E544" s="32"/>
    </row>
    <row r="545" spans="2:5" ht="19.5" customHeight="1" x14ac:dyDescent="0.25">
      <c r="B545" s="32"/>
      <c r="C545" s="32"/>
      <c r="D545" s="31"/>
      <c r="E545" s="32"/>
    </row>
    <row r="546" spans="2:5" ht="19.5" customHeight="1" x14ac:dyDescent="0.25">
      <c r="B546" s="32"/>
      <c r="C546" s="32"/>
      <c r="D546" s="31"/>
      <c r="E546" s="32"/>
    </row>
    <row r="547" spans="2:5" ht="19.5" customHeight="1" x14ac:dyDescent="0.25">
      <c r="B547" s="32"/>
      <c r="C547" s="32"/>
      <c r="D547" s="31"/>
      <c r="E547" s="32"/>
    </row>
    <row r="548" spans="2:5" ht="19.5" customHeight="1" x14ac:dyDescent="0.25">
      <c r="B548" s="32"/>
      <c r="C548" s="32"/>
      <c r="D548" s="31"/>
      <c r="E548" s="32"/>
    </row>
    <row r="549" spans="2:5" ht="19.5" customHeight="1" x14ac:dyDescent="0.25">
      <c r="B549" s="32"/>
      <c r="C549" s="32"/>
      <c r="D549" s="31"/>
      <c r="E549" s="32"/>
    </row>
    <row r="550" spans="2:5" ht="19.5" customHeight="1" x14ac:dyDescent="0.25">
      <c r="B550" s="32"/>
      <c r="C550" s="32"/>
      <c r="D550" s="31"/>
      <c r="E550" s="32"/>
    </row>
    <row r="551" spans="2:5" ht="19.5" customHeight="1" x14ac:dyDescent="0.25">
      <c r="B551" s="32"/>
      <c r="C551" s="32"/>
      <c r="D551" s="31"/>
      <c r="E551" s="32"/>
    </row>
    <row r="552" spans="2:5" ht="19.5" customHeight="1" x14ac:dyDescent="0.25">
      <c r="B552" s="32"/>
      <c r="C552" s="32"/>
      <c r="D552" s="31"/>
      <c r="E552" s="32"/>
    </row>
    <row r="553" spans="2:5" ht="19.5" customHeight="1" x14ac:dyDescent="0.25">
      <c r="B553" s="32"/>
      <c r="C553" s="32"/>
      <c r="D553" s="31"/>
      <c r="E553" s="32"/>
    </row>
    <row r="554" spans="2:5" ht="19.5" customHeight="1" x14ac:dyDescent="0.25">
      <c r="B554" s="32"/>
      <c r="C554" s="32"/>
      <c r="D554" s="31"/>
      <c r="E554" s="32"/>
    </row>
    <row r="555" spans="2:5" ht="19.5" customHeight="1" x14ac:dyDescent="0.25">
      <c r="B555" s="32"/>
      <c r="C555" s="32"/>
      <c r="D555" s="31"/>
      <c r="E555" s="32"/>
    </row>
    <row r="556" spans="2:5" ht="19.5" customHeight="1" x14ac:dyDescent="0.25">
      <c r="B556" s="32"/>
      <c r="C556" s="32"/>
      <c r="D556" s="31"/>
      <c r="E556" s="32"/>
    </row>
    <row r="557" spans="2:5" ht="19.5" customHeight="1" x14ac:dyDescent="0.25">
      <c r="B557" s="32"/>
      <c r="C557" s="32"/>
      <c r="D557" s="31"/>
      <c r="E557" s="32"/>
    </row>
    <row r="558" spans="2:5" ht="19.5" customHeight="1" x14ac:dyDescent="0.25">
      <c r="B558" s="32"/>
      <c r="C558" s="32"/>
      <c r="D558" s="31"/>
      <c r="E558" s="32"/>
    </row>
    <row r="559" spans="2:5" ht="19.5" customHeight="1" x14ac:dyDescent="0.25">
      <c r="B559" s="32"/>
      <c r="C559" s="32"/>
      <c r="D559" s="31"/>
      <c r="E559" s="32"/>
    </row>
    <row r="560" spans="2:5" ht="19.5" customHeight="1" x14ac:dyDescent="0.25">
      <c r="B560" s="32"/>
      <c r="C560" s="32"/>
      <c r="D560" s="31"/>
      <c r="E560" s="32"/>
    </row>
    <row r="561" spans="2:5" ht="19.5" customHeight="1" x14ac:dyDescent="0.25">
      <c r="B561" s="32"/>
      <c r="C561" s="32"/>
      <c r="D561" s="31"/>
      <c r="E561" s="32"/>
    </row>
    <row r="562" spans="2:5" ht="19.5" customHeight="1" x14ac:dyDescent="0.25">
      <c r="B562" s="32"/>
      <c r="C562" s="32"/>
      <c r="D562" s="31"/>
      <c r="E562" s="32"/>
    </row>
    <row r="563" spans="2:5" ht="19.5" customHeight="1" x14ac:dyDescent="0.25">
      <c r="B563" s="32"/>
      <c r="C563" s="32"/>
      <c r="D563" s="31"/>
      <c r="E563" s="32"/>
    </row>
    <row r="564" spans="2:5" ht="19.5" customHeight="1" x14ac:dyDescent="0.25">
      <c r="B564" s="32"/>
      <c r="C564" s="32"/>
      <c r="D564" s="31"/>
      <c r="E564" s="32"/>
    </row>
    <row r="565" spans="2:5" ht="19.5" customHeight="1" x14ac:dyDescent="0.25">
      <c r="B565" s="32"/>
      <c r="C565" s="32"/>
      <c r="D565" s="31"/>
      <c r="E565" s="32"/>
    </row>
    <row r="566" spans="2:5" ht="19.5" customHeight="1" x14ac:dyDescent="0.25">
      <c r="B566" s="32"/>
      <c r="C566" s="32"/>
      <c r="D566" s="31"/>
      <c r="E566" s="32"/>
    </row>
    <row r="567" spans="2:5" ht="19.5" customHeight="1" x14ac:dyDescent="0.25">
      <c r="B567" s="32"/>
      <c r="C567" s="32"/>
      <c r="D567" s="31"/>
      <c r="E567" s="32"/>
    </row>
    <row r="568" spans="2:5" ht="19.5" customHeight="1" x14ac:dyDescent="0.25">
      <c r="B568" s="32"/>
      <c r="C568" s="32"/>
      <c r="D568" s="31"/>
      <c r="E568" s="32"/>
    </row>
    <row r="569" spans="2:5" ht="19.5" customHeight="1" x14ac:dyDescent="0.25">
      <c r="B569" s="32"/>
      <c r="C569" s="32"/>
      <c r="D569" s="31"/>
      <c r="E569" s="32"/>
    </row>
    <row r="570" spans="2:5" ht="19.5" customHeight="1" x14ac:dyDescent="0.25">
      <c r="B570" s="32"/>
      <c r="C570" s="32"/>
      <c r="D570" s="31"/>
      <c r="E570" s="32"/>
    </row>
    <row r="571" spans="2:5" ht="19.5" customHeight="1" x14ac:dyDescent="0.25">
      <c r="B571" s="32"/>
      <c r="C571" s="32"/>
      <c r="D571" s="31"/>
      <c r="E571" s="32"/>
    </row>
    <row r="572" spans="2:5" ht="19.5" customHeight="1" x14ac:dyDescent="0.25">
      <c r="B572" s="32"/>
      <c r="C572" s="32"/>
      <c r="D572" s="31"/>
      <c r="E572" s="32"/>
    </row>
    <row r="573" spans="2:5" ht="19.5" customHeight="1" x14ac:dyDescent="0.25">
      <c r="B573" s="32"/>
      <c r="C573" s="32"/>
      <c r="D573" s="31"/>
      <c r="E573" s="32"/>
    </row>
    <row r="574" spans="2:5" ht="19.5" customHeight="1" x14ac:dyDescent="0.25">
      <c r="B574" s="32"/>
      <c r="C574" s="32"/>
      <c r="D574" s="31"/>
      <c r="E574" s="32"/>
    </row>
    <row r="575" spans="2:5" ht="19.5" customHeight="1" x14ac:dyDescent="0.25">
      <c r="B575" s="32"/>
      <c r="C575" s="32"/>
      <c r="D575" s="31"/>
      <c r="E575" s="32"/>
    </row>
    <row r="576" spans="2:5" ht="19.5" customHeight="1" x14ac:dyDescent="0.25">
      <c r="B576" s="32"/>
      <c r="C576" s="32"/>
      <c r="D576" s="31"/>
      <c r="E576" s="32"/>
    </row>
    <row r="577" spans="2:5" ht="19.5" customHeight="1" x14ac:dyDescent="0.25">
      <c r="B577" s="32"/>
      <c r="C577" s="32"/>
      <c r="D577" s="31"/>
      <c r="E577" s="32"/>
    </row>
    <row r="578" spans="2:5" ht="19.5" customHeight="1" x14ac:dyDescent="0.25">
      <c r="B578" s="32"/>
      <c r="C578" s="32"/>
      <c r="D578" s="31"/>
      <c r="E578" s="32"/>
    </row>
    <row r="579" spans="2:5" ht="19.5" customHeight="1" x14ac:dyDescent="0.25">
      <c r="B579" s="32"/>
      <c r="C579" s="32"/>
      <c r="D579" s="31"/>
      <c r="E579" s="32"/>
    </row>
    <row r="580" spans="2:5" ht="19.5" customHeight="1" x14ac:dyDescent="0.25">
      <c r="B580" s="32"/>
      <c r="C580" s="32"/>
      <c r="D580" s="31"/>
      <c r="E580" s="32"/>
    </row>
    <row r="581" spans="2:5" ht="19.5" customHeight="1" x14ac:dyDescent="0.25">
      <c r="B581" s="32"/>
      <c r="C581" s="32"/>
      <c r="D581" s="31"/>
      <c r="E581" s="32"/>
    </row>
    <row r="582" spans="2:5" ht="19.5" customHeight="1" x14ac:dyDescent="0.25">
      <c r="B582" s="32"/>
      <c r="C582" s="32"/>
      <c r="D582" s="31"/>
      <c r="E582" s="32"/>
    </row>
    <row r="583" spans="2:5" ht="19.5" customHeight="1" x14ac:dyDescent="0.25">
      <c r="B583" s="32"/>
      <c r="C583" s="32"/>
      <c r="D583" s="31"/>
      <c r="E583" s="32"/>
    </row>
    <row r="584" spans="2:5" ht="19.5" customHeight="1" x14ac:dyDescent="0.25">
      <c r="B584" s="32"/>
      <c r="C584" s="32"/>
      <c r="D584" s="31"/>
      <c r="E584" s="32"/>
    </row>
    <row r="585" spans="2:5" ht="19.5" customHeight="1" x14ac:dyDescent="0.25">
      <c r="B585" s="32"/>
      <c r="C585" s="32"/>
      <c r="D585" s="31"/>
      <c r="E585" s="32"/>
    </row>
    <row r="586" spans="2:5" ht="19.5" customHeight="1" x14ac:dyDescent="0.25">
      <c r="B586" s="32"/>
      <c r="C586" s="32"/>
      <c r="D586" s="31"/>
      <c r="E586" s="32"/>
    </row>
    <row r="587" spans="2:5" ht="19.5" customHeight="1" x14ac:dyDescent="0.25">
      <c r="B587" s="32"/>
      <c r="C587" s="32"/>
      <c r="D587" s="31"/>
      <c r="E587" s="32"/>
    </row>
    <row r="588" spans="2:5" ht="19.5" customHeight="1" x14ac:dyDescent="0.25">
      <c r="B588" s="32"/>
      <c r="C588" s="32"/>
      <c r="D588" s="31"/>
      <c r="E588" s="32"/>
    </row>
    <row r="589" spans="2:5" ht="19.5" customHeight="1" x14ac:dyDescent="0.25">
      <c r="B589" s="32"/>
      <c r="C589" s="32"/>
      <c r="D589" s="31"/>
      <c r="E589" s="32"/>
    </row>
    <row r="590" spans="2:5" ht="19.5" customHeight="1" x14ac:dyDescent="0.25">
      <c r="B590" s="32"/>
      <c r="C590" s="32"/>
      <c r="D590" s="31"/>
      <c r="E590" s="32"/>
    </row>
    <row r="591" spans="2:5" ht="19.5" customHeight="1" x14ac:dyDescent="0.25">
      <c r="B591" s="32"/>
      <c r="C591" s="32"/>
      <c r="D591" s="31"/>
      <c r="E591" s="32"/>
    </row>
    <row r="592" spans="2:5" ht="19.5" customHeight="1" x14ac:dyDescent="0.25">
      <c r="B592" s="32"/>
      <c r="C592" s="32"/>
      <c r="D592" s="31"/>
      <c r="E592" s="32"/>
    </row>
    <row r="593" spans="2:5" ht="19.5" customHeight="1" x14ac:dyDescent="0.25">
      <c r="B593" s="32"/>
      <c r="C593" s="32"/>
      <c r="D593" s="31"/>
      <c r="E593" s="32"/>
    </row>
    <row r="594" spans="2:5" ht="19.5" customHeight="1" x14ac:dyDescent="0.25">
      <c r="B594" s="32"/>
      <c r="C594" s="32"/>
      <c r="D594" s="31"/>
      <c r="E594" s="32"/>
    </row>
    <row r="595" spans="2:5" ht="19.5" customHeight="1" x14ac:dyDescent="0.25">
      <c r="B595" s="32"/>
      <c r="C595" s="32"/>
      <c r="D595" s="31"/>
      <c r="E595" s="32"/>
    </row>
    <row r="596" spans="2:5" ht="19.5" customHeight="1" x14ac:dyDescent="0.25">
      <c r="B596" s="32"/>
      <c r="C596" s="32"/>
      <c r="D596" s="31"/>
      <c r="E596" s="32"/>
    </row>
    <row r="597" spans="2:5" ht="19.5" customHeight="1" x14ac:dyDescent="0.25">
      <c r="B597" s="32"/>
      <c r="C597" s="32"/>
      <c r="D597" s="31"/>
      <c r="E597" s="32"/>
    </row>
    <row r="598" spans="2:5" ht="19.5" customHeight="1" x14ac:dyDescent="0.25">
      <c r="B598" s="32"/>
      <c r="C598" s="32"/>
      <c r="D598" s="31"/>
      <c r="E598" s="32"/>
    </row>
    <row r="599" spans="2:5" ht="19.5" customHeight="1" x14ac:dyDescent="0.25">
      <c r="B599" s="32"/>
      <c r="C599" s="32"/>
      <c r="D599" s="31"/>
      <c r="E599" s="32"/>
    </row>
    <row r="600" spans="2:5" ht="19.5" customHeight="1" x14ac:dyDescent="0.25">
      <c r="B600" s="32"/>
      <c r="C600" s="32"/>
      <c r="D600" s="31"/>
      <c r="E600" s="32"/>
    </row>
    <row r="601" spans="2:5" ht="19.5" customHeight="1" x14ac:dyDescent="0.25">
      <c r="B601" s="32"/>
      <c r="C601" s="32"/>
      <c r="D601" s="31"/>
      <c r="E601" s="32"/>
    </row>
    <row r="602" spans="2:5" ht="19.5" customHeight="1" x14ac:dyDescent="0.25">
      <c r="B602" s="32"/>
      <c r="C602" s="32"/>
      <c r="D602" s="31"/>
      <c r="E602" s="32"/>
    </row>
    <row r="603" spans="2:5" ht="19.5" customHeight="1" x14ac:dyDescent="0.25">
      <c r="B603" s="32"/>
      <c r="C603" s="32"/>
      <c r="D603" s="31"/>
      <c r="E603" s="32"/>
    </row>
    <row r="604" spans="2:5" ht="19.5" customHeight="1" x14ac:dyDescent="0.25">
      <c r="B604" s="32"/>
      <c r="C604" s="32"/>
      <c r="D604" s="31"/>
      <c r="E604" s="32"/>
    </row>
    <row r="605" spans="2:5" ht="19.5" customHeight="1" x14ac:dyDescent="0.25">
      <c r="B605" s="32"/>
      <c r="C605" s="32"/>
      <c r="D605" s="31"/>
      <c r="E605" s="32"/>
    </row>
    <row r="606" spans="2:5" ht="19.5" customHeight="1" x14ac:dyDescent="0.25">
      <c r="B606" s="32"/>
      <c r="C606" s="32"/>
      <c r="D606" s="31"/>
      <c r="E606" s="32"/>
    </row>
    <row r="607" spans="2:5" ht="19.5" customHeight="1" x14ac:dyDescent="0.25">
      <c r="B607" s="32"/>
      <c r="C607" s="32"/>
      <c r="D607" s="31"/>
      <c r="E607" s="32"/>
    </row>
    <row r="608" spans="2:5" ht="19.5" customHeight="1" x14ac:dyDescent="0.25">
      <c r="B608" s="32"/>
      <c r="C608" s="32"/>
      <c r="D608" s="31"/>
      <c r="E608" s="32"/>
    </row>
    <row r="609" spans="2:5" ht="19.5" customHeight="1" x14ac:dyDescent="0.25">
      <c r="B609" s="32"/>
      <c r="C609" s="32"/>
      <c r="D609" s="31"/>
      <c r="E609" s="32"/>
    </row>
    <row r="610" spans="2:5" ht="19.5" customHeight="1" x14ac:dyDescent="0.25">
      <c r="B610" s="32"/>
      <c r="C610" s="32"/>
      <c r="D610" s="31"/>
      <c r="E610" s="32"/>
    </row>
    <row r="611" spans="2:5" ht="19.5" customHeight="1" x14ac:dyDescent="0.25">
      <c r="B611" s="32"/>
      <c r="C611" s="32"/>
      <c r="D611" s="31"/>
      <c r="E611" s="32"/>
    </row>
    <row r="612" spans="2:5" ht="19.5" customHeight="1" x14ac:dyDescent="0.25">
      <c r="B612" s="32"/>
      <c r="C612" s="32"/>
      <c r="D612" s="31"/>
      <c r="E612" s="32"/>
    </row>
    <row r="613" spans="2:5" ht="19.5" customHeight="1" x14ac:dyDescent="0.25">
      <c r="B613" s="32"/>
      <c r="C613" s="32"/>
      <c r="D613" s="31"/>
      <c r="E613" s="32"/>
    </row>
    <row r="614" spans="2:5" ht="19.5" customHeight="1" x14ac:dyDescent="0.25">
      <c r="B614" s="32"/>
      <c r="C614" s="32"/>
      <c r="D614" s="31"/>
      <c r="E614" s="32"/>
    </row>
    <row r="615" spans="2:5" ht="19.5" customHeight="1" x14ac:dyDescent="0.25">
      <c r="B615" s="32"/>
      <c r="C615" s="32"/>
      <c r="D615" s="31"/>
      <c r="E615" s="32"/>
    </row>
    <row r="616" spans="2:5" ht="19.5" customHeight="1" x14ac:dyDescent="0.25">
      <c r="B616" s="32"/>
      <c r="C616" s="32"/>
      <c r="D616" s="31"/>
      <c r="E616" s="32"/>
    </row>
    <row r="617" spans="2:5" ht="19.5" customHeight="1" x14ac:dyDescent="0.25">
      <c r="B617" s="32"/>
      <c r="C617" s="32"/>
      <c r="D617" s="31"/>
      <c r="E617" s="32"/>
    </row>
    <row r="618" spans="2:5" ht="19.5" customHeight="1" x14ac:dyDescent="0.25">
      <c r="B618" s="32"/>
      <c r="C618" s="32"/>
      <c r="D618" s="31"/>
      <c r="E618" s="32"/>
    </row>
    <row r="619" spans="2:5" ht="19.5" customHeight="1" x14ac:dyDescent="0.25">
      <c r="B619" s="32"/>
      <c r="C619" s="32"/>
      <c r="D619" s="31"/>
      <c r="E619" s="32"/>
    </row>
    <row r="620" spans="2:5" ht="19.5" customHeight="1" x14ac:dyDescent="0.25">
      <c r="B620" s="32"/>
      <c r="C620" s="32"/>
      <c r="D620" s="31"/>
      <c r="E620" s="32"/>
    </row>
    <row r="621" spans="2:5" ht="19.5" customHeight="1" x14ac:dyDescent="0.25">
      <c r="B621" s="32"/>
      <c r="C621" s="32"/>
      <c r="D621" s="31"/>
      <c r="E621" s="32"/>
    </row>
    <row r="622" spans="2:5" ht="19.5" customHeight="1" x14ac:dyDescent="0.25">
      <c r="B622" s="32"/>
      <c r="C622" s="32"/>
      <c r="D622" s="31"/>
      <c r="E622" s="32"/>
    </row>
    <row r="623" spans="2:5" ht="19.5" customHeight="1" x14ac:dyDescent="0.25">
      <c r="B623" s="32"/>
      <c r="C623" s="32"/>
      <c r="D623" s="31"/>
      <c r="E623" s="32"/>
    </row>
    <row r="624" spans="2:5" ht="19.5" customHeight="1" x14ac:dyDescent="0.25">
      <c r="B624" s="32"/>
      <c r="C624" s="32"/>
      <c r="D624" s="31"/>
      <c r="E624" s="32"/>
    </row>
    <row r="625" spans="2:5" ht="19.5" customHeight="1" x14ac:dyDescent="0.25">
      <c r="B625" s="32"/>
      <c r="C625" s="32"/>
      <c r="D625" s="31"/>
      <c r="E625" s="32"/>
    </row>
    <row r="626" spans="2:5" ht="19.5" customHeight="1" x14ac:dyDescent="0.25">
      <c r="B626" s="32"/>
      <c r="C626" s="32"/>
      <c r="D626" s="31"/>
      <c r="E626" s="32"/>
    </row>
    <row r="627" spans="2:5" ht="19.5" customHeight="1" x14ac:dyDescent="0.25">
      <c r="B627" s="32"/>
      <c r="C627" s="32"/>
      <c r="D627" s="31"/>
      <c r="E627" s="32"/>
    </row>
    <row r="628" spans="2:5" ht="19.5" customHeight="1" x14ac:dyDescent="0.25">
      <c r="B628" s="32"/>
      <c r="C628" s="32"/>
      <c r="D628" s="31"/>
      <c r="E628" s="32"/>
    </row>
    <row r="629" spans="2:5" ht="19.5" customHeight="1" x14ac:dyDescent="0.25">
      <c r="B629" s="32"/>
      <c r="C629" s="32"/>
      <c r="D629" s="31"/>
      <c r="E629" s="32"/>
    </row>
    <row r="630" spans="2:5" ht="19.5" customHeight="1" x14ac:dyDescent="0.25">
      <c r="B630" s="32"/>
      <c r="C630" s="32"/>
      <c r="D630" s="31"/>
      <c r="E630" s="32"/>
    </row>
    <row r="631" spans="2:5" ht="19.5" customHeight="1" x14ac:dyDescent="0.25">
      <c r="B631" s="32"/>
      <c r="C631" s="32"/>
      <c r="D631" s="31"/>
      <c r="E631" s="32"/>
    </row>
    <row r="632" spans="2:5" ht="19.5" customHeight="1" x14ac:dyDescent="0.25">
      <c r="B632" s="32"/>
      <c r="C632" s="32"/>
      <c r="D632" s="31"/>
      <c r="E632" s="32"/>
    </row>
    <row r="633" spans="2:5" ht="19.5" customHeight="1" x14ac:dyDescent="0.25">
      <c r="B633" s="32"/>
      <c r="C633" s="32"/>
      <c r="D633" s="31"/>
      <c r="E633" s="32"/>
    </row>
    <row r="634" spans="2:5" ht="19.5" customHeight="1" x14ac:dyDescent="0.25">
      <c r="B634" s="32"/>
      <c r="C634" s="32"/>
      <c r="D634" s="31"/>
      <c r="E634" s="32"/>
    </row>
    <row r="635" spans="2:5" ht="19.5" customHeight="1" x14ac:dyDescent="0.25">
      <c r="B635" s="32"/>
      <c r="C635" s="32"/>
      <c r="D635" s="31"/>
      <c r="E635" s="32"/>
    </row>
    <row r="636" spans="2:5" ht="19.5" customHeight="1" x14ac:dyDescent="0.25">
      <c r="B636" s="32"/>
      <c r="C636" s="32"/>
      <c r="D636" s="31"/>
      <c r="E636" s="32"/>
    </row>
    <row r="637" spans="2:5" ht="19.5" customHeight="1" x14ac:dyDescent="0.25">
      <c r="B637" s="32"/>
      <c r="C637" s="32"/>
      <c r="D637" s="31"/>
      <c r="E637" s="32"/>
    </row>
    <row r="638" spans="2:5" ht="19.5" customHeight="1" x14ac:dyDescent="0.25">
      <c r="B638" s="32"/>
      <c r="C638" s="32"/>
      <c r="D638" s="31"/>
      <c r="E638" s="32"/>
    </row>
    <row r="639" spans="2:5" ht="19.5" customHeight="1" x14ac:dyDescent="0.25">
      <c r="B639" s="32"/>
      <c r="C639" s="32"/>
      <c r="D639" s="31"/>
      <c r="E639" s="32"/>
    </row>
    <row r="640" spans="2:5" ht="19.5" customHeight="1" x14ac:dyDescent="0.25">
      <c r="B640" s="32"/>
      <c r="C640" s="32"/>
      <c r="D640" s="31"/>
      <c r="E640" s="32"/>
    </row>
    <row r="641" spans="2:5" ht="19.5" customHeight="1" x14ac:dyDescent="0.25">
      <c r="B641" s="32"/>
      <c r="C641" s="32"/>
      <c r="D641" s="31"/>
      <c r="E641" s="32"/>
    </row>
    <row r="642" spans="2:5" ht="19.5" customHeight="1" x14ac:dyDescent="0.25">
      <c r="B642" s="32"/>
      <c r="C642" s="32"/>
      <c r="D642" s="31"/>
      <c r="E642" s="32"/>
    </row>
    <row r="643" spans="2:5" ht="19.5" customHeight="1" x14ac:dyDescent="0.25">
      <c r="B643" s="32"/>
      <c r="C643" s="32"/>
      <c r="D643" s="31"/>
      <c r="E643" s="32"/>
    </row>
    <row r="644" spans="2:5" ht="19.5" customHeight="1" x14ac:dyDescent="0.25">
      <c r="B644" s="32"/>
      <c r="C644" s="32"/>
      <c r="D644" s="31"/>
      <c r="E644" s="32"/>
    </row>
    <row r="645" spans="2:5" ht="19.5" customHeight="1" x14ac:dyDescent="0.25">
      <c r="B645" s="32"/>
      <c r="C645" s="32"/>
      <c r="D645" s="31"/>
      <c r="E645" s="32"/>
    </row>
    <row r="646" spans="2:5" ht="19.5" customHeight="1" x14ac:dyDescent="0.25">
      <c r="B646" s="32"/>
      <c r="C646" s="32"/>
      <c r="D646" s="31"/>
      <c r="E646" s="32"/>
    </row>
    <row r="647" spans="2:5" ht="19.5" customHeight="1" x14ac:dyDescent="0.25">
      <c r="B647" s="32"/>
      <c r="C647" s="32"/>
      <c r="D647" s="31"/>
      <c r="E647" s="32"/>
    </row>
    <row r="648" spans="2:5" ht="19.5" customHeight="1" x14ac:dyDescent="0.25">
      <c r="B648" s="32"/>
      <c r="C648" s="32"/>
      <c r="D648" s="31"/>
      <c r="E648" s="32"/>
    </row>
    <row r="649" spans="2:5" ht="19.5" customHeight="1" x14ac:dyDescent="0.25">
      <c r="B649" s="32"/>
      <c r="C649" s="32"/>
      <c r="D649" s="31"/>
      <c r="E649" s="32"/>
    </row>
    <row r="650" spans="2:5" ht="19.5" customHeight="1" x14ac:dyDescent="0.25">
      <c r="B650" s="32"/>
      <c r="C650" s="32"/>
      <c r="D650" s="31"/>
      <c r="E650" s="32"/>
    </row>
    <row r="651" spans="2:5" ht="19.5" customHeight="1" x14ac:dyDescent="0.25">
      <c r="B651" s="32"/>
      <c r="C651" s="32"/>
      <c r="D651" s="31"/>
      <c r="E651" s="32"/>
    </row>
    <row r="652" spans="2:5" ht="19.5" customHeight="1" x14ac:dyDescent="0.25">
      <c r="B652" s="32"/>
      <c r="C652" s="32"/>
      <c r="D652" s="31"/>
      <c r="E652" s="32"/>
    </row>
    <row r="653" spans="2:5" ht="19.5" customHeight="1" x14ac:dyDescent="0.25">
      <c r="B653" s="32"/>
      <c r="C653" s="32"/>
      <c r="D653" s="31"/>
      <c r="E653" s="32"/>
    </row>
    <row r="654" spans="2:5" ht="19.5" customHeight="1" x14ac:dyDescent="0.25">
      <c r="B654" s="32"/>
      <c r="C654" s="32"/>
      <c r="D654" s="31"/>
      <c r="E654" s="32"/>
    </row>
    <row r="655" spans="2:5" ht="19.5" customHeight="1" x14ac:dyDescent="0.25">
      <c r="B655" s="32"/>
      <c r="C655" s="32"/>
      <c r="D655" s="31"/>
      <c r="E655" s="32"/>
    </row>
    <row r="656" spans="2:5" ht="19.5" customHeight="1" x14ac:dyDescent="0.25">
      <c r="B656" s="32"/>
      <c r="C656" s="32"/>
      <c r="D656" s="31"/>
      <c r="E656" s="32"/>
    </row>
    <row r="657" spans="2:5" ht="19.5" customHeight="1" x14ac:dyDescent="0.25">
      <c r="B657" s="32"/>
      <c r="C657" s="32"/>
      <c r="D657" s="31"/>
      <c r="E657" s="32"/>
    </row>
    <row r="658" spans="2:5" ht="19.5" customHeight="1" x14ac:dyDescent="0.25">
      <c r="B658" s="32"/>
      <c r="C658" s="32"/>
      <c r="D658" s="31"/>
      <c r="E658" s="32"/>
    </row>
    <row r="659" spans="2:5" ht="19.5" customHeight="1" x14ac:dyDescent="0.25">
      <c r="B659" s="32"/>
      <c r="C659" s="32"/>
      <c r="D659" s="31"/>
      <c r="E659" s="32"/>
    </row>
    <row r="660" spans="2:5" ht="19.5" customHeight="1" x14ac:dyDescent="0.25">
      <c r="B660" s="32"/>
      <c r="C660" s="32"/>
      <c r="D660" s="31"/>
      <c r="E660" s="32"/>
    </row>
    <row r="661" spans="2:5" ht="19.5" customHeight="1" x14ac:dyDescent="0.25">
      <c r="B661" s="32"/>
      <c r="C661" s="32"/>
      <c r="D661" s="31"/>
      <c r="E661" s="32"/>
    </row>
    <row r="662" spans="2:5" ht="19.5" customHeight="1" x14ac:dyDescent="0.25">
      <c r="B662" s="32"/>
      <c r="C662" s="32"/>
      <c r="D662" s="31"/>
      <c r="E662" s="32"/>
    </row>
    <row r="663" spans="2:5" ht="19.5" customHeight="1" x14ac:dyDescent="0.25">
      <c r="B663" s="32"/>
      <c r="C663" s="32"/>
      <c r="D663" s="31"/>
      <c r="E663" s="32"/>
    </row>
    <row r="664" spans="2:5" ht="19.5" customHeight="1" x14ac:dyDescent="0.25">
      <c r="B664" s="32"/>
      <c r="C664" s="32"/>
      <c r="D664" s="31"/>
      <c r="E664" s="32"/>
    </row>
    <row r="665" spans="2:5" ht="19.5" customHeight="1" x14ac:dyDescent="0.25">
      <c r="B665" s="32"/>
      <c r="C665" s="32"/>
      <c r="D665" s="31"/>
      <c r="E665" s="32"/>
    </row>
    <row r="666" spans="2:5" ht="19.5" customHeight="1" x14ac:dyDescent="0.25">
      <c r="B666" s="32"/>
      <c r="C666" s="32"/>
      <c r="D666" s="31"/>
      <c r="E666" s="32"/>
    </row>
    <row r="667" spans="2:5" ht="19.5" customHeight="1" x14ac:dyDescent="0.25">
      <c r="B667" s="32"/>
      <c r="C667" s="32"/>
      <c r="D667" s="31"/>
      <c r="E667" s="32"/>
    </row>
    <row r="668" spans="2:5" ht="19.5" customHeight="1" x14ac:dyDescent="0.25">
      <c r="B668" s="32"/>
      <c r="C668" s="32"/>
      <c r="D668" s="31"/>
      <c r="E668" s="32"/>
    </row>
    <row r="669" spans="2:5" ht="19.5" customHeight="1" x14ac:dyDescent="0.25">
      <c r="B669" s="32"/>
      <c r="C669" s="32"/>
      <c r="D669" s="31"/>
      <c r="E669" s="32"/>
    </row>
    <row r="670" spans="2:5" ht="19.5" customHeight="1" x14ac:dyDescent="0.25">
      <c r="B670" s="32"/>
      <c r="C670" s="32"/>
      <c r="D670" s="31"/>
      <c r="E670" s="32"/>
    </row>
    <row r="671" spans="2:5" ht="19.5" customHeight="1" x14ac:dyDescent="0.25">
      <c r="B671" s="32"/>
      <c r="C671" s="32"/>
      <c r="D671" s="31"/>
      <c r="E671" s="32"/>
    </row>
    <row r="672" spans="2:5" ht="19.5" customHeight="1" x14ac:dyDescent="0.25">
      <c r="B672" s="32"/>
      <c r="C672" s="32"/>
      <c r="D672" s="31"/>
      <c r="E672" s="32"/>
    </row>
    <row r="673" spans="2:5" ht="19.5" customHeight="1" x14ac:dyDescent="0.25">
      <c r="B673" s="32"/>
      <c r="C673" s="32"/>
      <c r="D673" s="31"/>
      <c r="E673" s="32"/>
    </row>
    <row r="674" spans="2:5" ht="19.5" customHeight="1" x14ac:dyDescent="0.25">
      <c r="B674" s="32"/>
      <c r="C674" s="32"/>
      <c r="D674" s="31"/>
      <c r="E674" s="32"/>
    </row>
    <row r="675" spans="2:5" ht="19.5" customHeight="1" x14ac:dyDescent="0.25">
      <c r="B675" s="32"/>
      <c r="C675" s="32"/>
      <c r="D675" s="31"/>
      <c r="E675" s="32"/>
    </row>
    <row r="676" spans="2:5" ht="19.5" customHeight="1" x14ac:dyDescent="0.25">
      <c r="B676" s="32"/>
      <c r="C676" s="32"/>
      <c r="D676" s="31"/>
      <c r="E676" s="32"/>
    </row>
    <row r="677" spans="2:5" ht="19.5" customHeight="1" x14ac:dyDescent="0.25">
      <c r="B677" s="32"/>
      <c r="C677" s="32"/>
      <c r="D677" s="31"/>
      <c r="E677" s="32"/>
    </row>
    <row r="678" spans="2:5" ht="19.5" customHeight="1" x14ac:dyDescent="0.25">
      <c r="B678" s="32"/>
      <c r="C678" s="32"/>
      <c r="D678" s="31"/>
      <c r="E678" s="32"/>
    </row>
    <row r="679" spans="2:5" ht="19.5" customHeight="1" x14ac:dyDescent="0.25">
      <c r="B679" s="32"/>
      <c r="C679" s="32"/>
      <c r="D679" s="31"/>
      <c r="E679" s="32"/>
    </row>
    <row r="680" spans="2:5" ht="19.5" customHeight="1" x14ac:dyDescent="0.25">
      <c r="B680" s="32"/>
      <c r="C680" s="32"/>
      <c r="D680" s="31"/>
      <c r="E680" s="32"/>
    </row>
    <row r="681" spans="2:5" ht="19.5" customHeight="1" x14ac:dyDescent="0.25">
      <c r="B681" s="32"/>
      <c r="C681" s="32"/>
      <c r="D681" s="31"/>
      <c r="E681" s="32"/>
    </row>
    <row r="682" spans="2:5" ht="19.5" customHeight="1" x14ac:dyDescent="0.25">
      <c r="B682" s="32"/>
      <c r="C682" s="32"/>
      <c r="D682" s="31"/>
      <c r="E682" s="32"/>
    </row>
    <row r="683" spans="2:5" ht="19.5" customHeight="1" x14ac:dyDescent="0.25">
      <c r="B683" s="32"/>
      <c r="C683" s="32"/>
      <c r="D683" s="31"/>
      <c r="E683" s="32"/>
    </row>
    <row r="684" spans="2:5" ht="19.5" customHeight="1" x14ac:dyDescent="0.25">
      <c r="B684" s="32"/>
      <c r="C684" s="32"/>
      <c r="D684" s="31"/>
      <c r="E684" s="32"/>
    </row>
    <row r="685" spans="2:5" ht="19.5" customHeight="1" x14ac:dyDescent="0.25">
      <c r="B685" s="32"/>
      <c r="C685" s="32"/>
      <c r="D685" s="39"/>
      <c r="E685" s="32"/>
    </row>
    <row r="686" spans="2:5" ht="19.5" customHeight="1" x14ac:dyDescent="0.25">
      <c r="D686" s="39"/>
    </row>
    <row r="687" spans="2:5" ht="19.5" customHeight="1" x14ac:dyDescent="0.25">
      <c r="D687" s="39"/>
    </row>
    <row r="688" spans="2:5" ht="19.5" customHeight="1" x14ac:dyDescent="0.25">
      <c r="D688" s="39"/>
    </row>
    <row r="689" spans="4:4" ht="19.5" customHeight="1" x14ac:dyDescent="0.25">
      <c r="D689" s="39"/>
    </row>
    <row r="690" spans="4:4" ht="19.5" customHeight="1" x14ac:dyDescent="0.25">
      <c r="D690" s="39"/>
    </row>
    <row r="691" spans="4:4" ht="19.5" customHeight="1" x14ac:dyDescent="0.25">
      <c r="D691" s="39"/>
    </row>
    <row r="692" spans="4:4" ht="19.5" customHeight="1" x14ac:dyDescent="0.25">
      <c r="D692" s="39"/>
    </row>
    <row r="693" spans="4:4" ht="19.5" customHeight="1" x14ac:dyDescent="0.25">
      <c r="D693" s="39"/>
    </row>
    <row r="694" spans="4:4" ht="19.5" customHeight="1" x14ac:dyDescent="0.25">
      <c r="D694" s="39"/>
    </row>
    <row r="695" spans="4:4" ht="19.5" customHeight="1" x14ac:dyDescent="0.25">
      <c r="D695" s="39"/>
    </row>
    <row r="696" spans="4:4" ht="19.5" customHeight="1" x14ac:dyDescent="0.25">
      <c r="D696" s="39"/>
    </row>
    <row r="697" spans="4:4" ht="19.5" customHeight="1" x14ac:dyDescent="0.25">
      <c r="D697" s="39"/>
    </row>
    <row r="698" spans="4:4" ht="19.5" customHeight="1" x14ac:dyDescent="0.25">
      <c r="D698" s="39"/>
    </row>
    <row r="699" spans="4:4" ht="19.5" customHeight="1" x14ac:dyDescent="0.25">
      <c r="D699" s="39"/>
    </row>
    <row r="700" spans="4:4" ht="19.5" customHeight="1" x14ac:dyDescent="0.25">
      <c r="D700" s="39"/>
    </row>
    <row r="701" spans="4:4" ht="19.5" customHeight="1" x14ac:dyDescent="0.25">
      <c r="D701" s="39"/>
    </row>
    <row r="702" spans="4:4" ht="19.5" customHeight="1" x14ac:dyDescent="0.25">
      <c r="D702" s="39"/>
    </row>
    <row r="703" spans="4:4" ht="19.5" customHeight="1" x14ac:dyDescent="0.25">
      <c r="D703" s="39"/>
    </row>
    <row r="704" spans="4:4" ht="19.5" customHeight="1" x14ac:dyDescent="0.25">
      <c r="D704" s="39"/>
    </row>
    <row r="705" spans="4:4" ht="19.5" customHeight="1" x14ac:dyDescent="0.25">
      <c r="D705" s="39"/>
    </row>
    <row r="706" spans="4:4" ht="19.5" customHeight="1" x14ac:dyDescent="0.25">
      <c r="D706" s="39"/>
    </row>
    <row r="707" spans="4:4" ht="19.5" customHeight="1" x14ac:dyDescent="0.25">
      <c r="D707" s="39"/>
    </row>
    <row r="708" spans="4:4" ht="19.5" customHeight="1" x14ac:dyDescent="0.25">
      <c r="D708" s="39"/>
    </row>
    <row r="709" spans="4:4" ht="19.5" customHeight="1" x14ac:dyDescent="0.25">
      <c r="D709" s="39"/>
    </row>
    <row r="710" spans="4:4" ht="19.5" customHeight="1" x14ac:dyDescent="0.25">
      <c r="D710" s="39"/>
    </row>
  </sheetData>
  <mergeCells count="3">
    <mergeCell ref="B1:D1"/>
    <mergeCell ref="E1:F1"/>
    <mergeCell ref="B7:B8"/>
  </mergeCells>
  <pageMargins left="0.5" right="0.5" top="0.5" bottom="0.5" header="0" footer="0"/>
  <pageSetup scale="55" fitToWidth="2" fitToHeight="0" orientation="portrait" r:id="rId1"/>
  <headerFooter>
    <oddHeader>&amp;L&amp;"+,Regular"&amp;16&amp;K04+035Customer&amp;"-,Regular"&amp;K01+000 Contacts</oddHead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PPTO OFICIAL</vt:lpstr>
      <vt:lpstr>APUS 7 -10</vt:lpstr>
      <vt:lpstr>APU´S ELECTRICOS</vt:lpstr>
      <vt:lpstr>APUS primarios</vt:lpstr>
      <vt:lpstr> MANO DE OBRA</vt:lpstr>
      <vt:lpstr>'APU´S ELECTRICOS'!Área_de_impresión</vt:lpstr>
      <vt:lpstr>'APUS 7 -10'!Área_de_impresión</vt:lpstr>
      <vt:lpstr>'APUS primarios'!Área_de_impresión</vt:lpstr>
      <vt:lpstr>'PPTO OFICIAL'!Área_de_impresión</vt:lpstr>
      <vt:lpstr>'PPTO OFICIAL'!Títulos_a_imprimir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LOPEZ</dc:creator>
  <cp:lastModifiedBy>JOSE FERNANDO HERRERA GUZMAN</cp:lastModifiedBy>
  <cp:lastPrinted>2018-07-25T14:26:46Z</cp:lastPrinted>
  <dcterms:created xsi:type="dcterms:W3CDTF">2012-11-19T22:10:21Z</dcterms:created>
  <dcterms:modified xsi:type="dcterms:W3CDTF">2021-07-05T17:26:31Z</dcterms:modified>
</cp:coreProperties>
</file>