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RC-2021\MORALES-SAN RAFAEL\"/>
    </mc:Choice>
  </mc:AlternateContent>
  <xr:revisionPtr revIDLastSave="0" documentId="13_ncr:1_{BE178E67-7456-4CB4-9CA2-7B24D7095401}" xr6:coauthVersionLast="47" xr6:coauthVersionMax="47" xr10:uidLastSave="{00000000-0000-0000-0000-000000000000}"/>
  <bookViews>
    <workbookView xWindow="-120" yWindow="-120" windowWidth="19800" windowHeight="11760" tabRatio="890" activeTab="1" xr2:uid="{08A41CB4-057F-4DAA-99D0-1AE816B224E1}"/>
  </bookViews>
  <sheets>
    <sheet name="CANTIDADES" sheetId="1" r:id="rId1"/>
    <sheet name="PRESUPUESTO" sheetId="2" r:id="rId2"/>
    <sheet name="APUS" sheetId="3" r:id="rId3"/>
    <sheet name="BASICO CONCRETO" sheetId="8" r:id="rId4"/>
    <sheet name="CRONOGRAMA" sheetId="4" r:id="rId5"/>
    <sheet name="PRESTACIONES" sheetId="6" r:id="rId6"/>
    <sheet name="CUADRILLAS DE OBRA" sheetId="7" r:id="rId7"/>
    <sheet name="AIU " sheetId="10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a">'[2]DUB-823'!#REF!</definedName>
    <definedName name="A_impresión_IM">#REF!</definedName>
    <definedName name="aaa">#REF!</definedName>
    <definedName name="aaas">#REF!</definedName>
    <definedName name="AAC">[1]AASHTO!$A$14:$F$17</definedName>
    <definedName name="ABG">[1]AASHTO!$A$2:$F$5</definedName>
    <definedName name="ANTICIPOS">#REF!</definedName>
    <definedName name="_xlnm.Print_Area" localSheetId="2">APUS!$A$1:$H$1076</definedName>
    <definedName name="_xlnm.Print_Area" localSheetId="1">PRESUPUESTO!$A$1:$F$48</definedName>
    <definedName name="ASB">[1]AASHTO!$A$8:$F$11</definedName>
    <definedName name="BuiltIn_Print_Area">'[3]CUADRO 1 Y 7 PERS.'!$A$1:$S$43</definedName>
    <definedName name="BuiltIn_Print_Area___0">#REF!</definedName>
    <definedName name="BuiltIn_Print_Titles">#REF!</definedName>
    <definedName name="BuiltIn_Print_Titles___0">#REF!</definedName>
    <definedName name="CCTO123">[4]BASICOS!#REF!</definedName>
    <definedName name="CONSTRUCTOR">#REF!</definedName>
    <definedName name="cv">#REF!</definedName>
    <definedName name="dario">'[2]GPI 526'!#REF!</definedName>
    <definedName name="demanto">#REF!</definedName>
    <definedName name="e">#REF!</definedName>
    <definedName name="emanto">#REF!</definedName>
    <definedName name="EXC">#REF!</definedName>
    <definedName name="exCEL">#REF!</definedName>
    <definedName name="Excel_BuiltIn_Print_Area_3">#REF!</definedName>
    <definedName name="Excel_BuiltIn_Print_Area_3_X">#REF!</definedName>
    <definedName name="Excel_BuiltIn_Print_Titles_10">[2]SKJ452!#REF!</definedName>
    <definedName name="Excel_BuiltIn_Print_Titles_11">[2]ITA878!#REF!</definedName>
    <definedName name="Excel_BuiltIn_Print_Titles_12">'[2]AEA-944'!#REF!</definedName>
    <definedName name="Excel_BuiltIn_Print_Titles_13">'[2]DUB-823'!#REF!</definedName>
    <definedName name="Excel_BuiltIn_Print_Titles_14">'[2]GPI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[2]XXJ617!#REF!</definedName>
    <definedName name="Excel_BuiltIn_Print_Titles_20">#REF!</definedName>
    <definedName name="Excel_BuiltIn_Print_Titles_21">[2]SNG_855!#REF!</definedName>
    <definedName name="Excel_BuiltIn_Print_Titles_23">#REF!</definedName>
    <definedName name="Excel_BuiltIn_Print_Titles_3">#REF!</definedName>
    <definedName name="Excel_BuiltIn_Print_Titles_5">'[2]VEA 374'!#REF!</definedName>
    <definedName name="Excel_BuiltIn_Print_Titles_5_XX">'[2]VEA 374'!#REF!</definedName>
    <definedName name="Excel_BuiltIn_Print_Titles_6">#REF!</definedName>
    <definedName name="Excel_BuiltIn_Print_Titles_7">[2]HFB024!#REF!</definedName>
    <definedName name="Excel_BuiltIn_Print_Titles_8">#REF!</definedName>
    <definedName name="Excel_BuiltIn_Print_Titles_9">[2]PAJ825!#REF!</definedName>
    <definedName name="FCF">#REF!</definedName>
    <definedName name="fggggggg">#REF!</definedName>
    <definedName name="hhhhhhhh">#REF!</definedName>
    <definedName name="inf">#REF!</definedName>
    <definedName name="inf___0">#REF!</definedName>
    <definedName name="INTERVENTOR">#REF!</definedName>
    <definedName name="ITEM1">#REF!</definedName>
    <definedName name="ITEM15">#REF!</definedName>
    <definedName name="ITEM2">#REF!</definedName>
    <definedName name="ITEM3">#REF!</definedName>
    <definedName name="jjj">#REF!</definedName>
    <definedName name="kk">#REF!</definedName>
    <definedName name="kkkkkkkk">[2]PAJ825!#REF!</definedName>
    <definedName name="lhl">#REF!</definedName>
    <definedName name="MatDesp">'[5]Precios V'!$B$24:$K$306</definedName>
    <definedName name="MHJU">#REF!</definedName>
    <definedName name="MNMH">#REF!</definedName>
    <definedName name="OBJETO">#REF!</definedName>
    <definedName name="PAGODAVID">'[6]DIAS PAGOS '!$I$9</definedName>
    <definedName name="rr">#REF!</definedName>
    <definedName name="s">#REF!</definedName>
    <definedName name="_xlnm.Print_Titles" localSheetId="2">APUS!$1:$5</definedName>
    <definedName name="_xlnm.Print_Titles" localSheetId="0">CANTIDADES!$1:$6</definedName>
    <definedName name="_xlnm.Print_Titles" localSheetId="4">CRONOGRAMA!$1:$6</definedName>
    <definedName name="_xlnm.Print_Titles" localSheetId="1">PRESUPUESTO!$1:$6</definedName>
    <definedName name="valor1">#REF!</definedName>
    <definedName name="valor2">#REF!</definedName>
    <definedName name="VALOR3">#REF!</definedName>
    <definedName name="VCONTRATO">#REF!</definedName>
    <definedName name="VOTRO1">#REF!</definedName>
    <definedName name="VV">#REF!</definedName>
    <definedName name="www">[2]XXJ617!#REF!</definedName>
    <definedName name="XX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2" l="1"/>
  <c r="H34" i="2"/>
  <c r="H32" i="2"/>
  <c r="H29" i="2"/>
  <c r="H22" i="2"/>
  <c r="H12" i="2"/>
  <c r="E29" i="2"/>
  <c r="F1054" i="3"/>
  <c r="F327" i="3"/>
  <c r="E22" i="2"/>
  <c r="F22" i="2"/>
  <c r="G171" i="3"/>
  <c r="F169" i="3"/>
  <c r="A159" i="3"/>
  <c r="H158" i="3"/>
  <c r="B22" i="2"/>
  <c r="B158" i="3"/>
  <c r="D22" i="2"/>
  <c r="C22" i="2"/>
  <c r="L35" i="1"/>
  <c r="G205" i="3"/>
  <c r="G209" i="3"/>
  <c r="G206" i="3"/>
  <c r="H212" i="3"/>
  <c r="E221" i="3"/>
  <c r="G221" i="3"/>
  <c r="E222" i="3"/>
  <c r="G222" i="3"/>
  <c r="H224" i="3"/>
  <c r="G199" i="3"/>
  <c r="H202" i="3"/>
  <c r="F207" i="3"/>
  <c r="G207" i="3"/>
  <c r="G208" i="3"/>
  <c r="G210" i="3"/>
  <c r="G211" i="3"/>
  <c r="G215" i="3"/>
  <c r="H218" i="3"/>
  <c r="G227" i="3"/>
  <c r="G228" i="3"/>
  <c r="G229" i="3"/>
  <c r="H230" i="3"/>
  <c r="L42" i="1"/>
  <c r="D29" i="2"/>
  <c r="F29" i="2"/>
  <c r="D221" i="3"/>
  <c r="D222" i="3"/>
  <c r="C222" i="3"/>
  <c r="A222" i="3"/>
  <c r="A29" i="2"/>
  <c r="A195" i="3"/>
  <c r="C29" i="2"/>
  <c r="H194" i="3"/>
  <c r="B29" i="2"/>
  <c r="B194" i="3"/>
  <c r="D1065" i="3"/>
  <c r="C1065" i="3"/>
  <c r="E1065" i="3"/>
  <c r="G1065" i="3"/>
  <c r="H1068" i="3"/>
  <c r="G1048" i="3"/>
  <c r="G1049" i="3"/>
  <c r="H1051" i="3"/>
  <c r="E1054" i="3"/>
  <c r="G1054" i="3"/>
  <c r="G1055" i="3"/>
  <c r="G1056" i="3"/>
  <c r="H1057" i="3"/>
  <c r="H1062" i="3"/>
  <c r="G1071" i="3"/>
  <c r="G1072" i="3"/>
  <c r="G1073" i="3"/>
  <c r="H1074" i="3"/>
  <c r="H1076" i="3"/>
  <c r="E21" i="2"/>
  <c r="L34" i="1"/>
  <c r="D21" i="2"/>
  <c r="F21" i="2"/>
  <c r="A1044" i="3"/>
  <c r="C21" i="2"/>
  <c r="H1043" i="3"/>
  <c r="B21" i="2"/>
  <c r="B1043" i="3"/>
  <c r="D1029" i="3"/>
  <c r="C1029" i="3"/>
  <c r="E1029" i="3"/>
  <c r="G1029" i="3"/>
  <c r="H1032" i="3"/>
  <c r="G1012" i="3"/>
  <c r="G1013" i="3"/>
  <c r="H1015" i="3"/>
  <c r="E1018" i="3"/>
  <c r="F1018" i="3"/>
  <c r="G1018" i="3"/>
  <c r="G1019" i="3"/>
  <c r="G1020" i="3"/>
  <c r="H1021" i="3"/>
  <c r="H1026" i="3"/>
  <c r="G1035" i="3"/>
  <c r="G1036" i="3"/>
  <c r="G1037" i="3"/>
  <c r="H1038" i="3"/>
  <c r="H1040" i="3"/>
  <c r="E20" i="2"/>
  <c r="G33" i="1"/>
  <c r="L33" i="1"/>
  <c r="D20" i="2"/>
  <c r="F20" i="2"/>
  <c r="A1008" i="3"/>
  <c r="C20" i="2"/>
  <c r="H1007" i="3"/>
  <c r="B20" i="2"/>
  <c r="B1007" i="3"/>
  <c r="L27" i="1"/>
  <c r="D14" i="2"/>
  <c r="E261" i="3"/>
  <c r="G261" i="3"/>
  <c r="H264" i="3"/>
  <c r="G241" i="3"/>
  <c r="H245" i="3"/>
  <c r="E169" i="3"/>
  <c r="E248" i="3"/>
  <c r="F248" i="3"/>
  <c r="G248" i="3"/>
  <c r="G249" i="3"/>
  <c r="F250" i="3"/>
  <c r="G250" i="3"/>
  <c r="H252" i="3"/>
  <c r="G255" i="3"/>
  <c r="H258" i="3"/>
  <c r="G267" i="3"/>
  <c r="G268" i="3"/>
  <c r="G269" i="3"/>
  <c r="H270" i="3"/>
  <c r="H272" i="3"/>
  <c r="E14" i="2"/>
  <c r="F14" i="2"/>
  <c r="D37" i="2"/>
  <c r="E992" i="3"/>
  <c r="G992" i="3"/>
  <c r="H995" i="3"/>
  <c r="G986" i="3"/>
  <c r="H989" i="3"/>
  <c r="G980" i="3"/>
  <c r="G981" i="3"/>
  <c r="H983" i="3"/>
  <c r="G972" i="3"/>
  <c r="H977" i="3"/>
  <c r="G998" i="3"/>
  <c r="G999" i="3"/>
  <c r="G1000" i="3"/>
  <c r="H1001" i="3"/>
  <c r="H1003" i="3"/>
  <c r="E37" i="2"/>
  <c r="F37" i="2"/>
  <c r="L8" i="1"/>
  <c r="D8" i="2"/>
  <c r="E33" i="3"/>
  <c r="G33" i="3"/>
  <c r="H35" i="3"/>
  <c r="G12" i="3"/>
  <c r="H16" i="3"/>
  <c r="G19" i="3"/>
  <c r="G20" i="3"/>
  <c r="G21" i="3"/>
  <c r="G22" i="3"/>
  <c r="H24" i="3"/>
  <c r="H30" i="3"/>
  <c r="G38" i="3"/>
  <c r="G39" i="3"/>
  <c r="G40" i="3"/>
  <c r="H41" i="3"/>
  <c r="H43" i="3"/>
  <c r="E8" i="2"/>
  <c r="F8" i="2"/>
  <c r="H10" i="1"/>
  <c r="K10" i="1"/>
  <c r="L10" i="1"/>
  <c r="D10" i="2"/>
  <c r="E69" i="3"/>
  <c r="G69" i="3"/>
  <c r="H71" i="3"/>
  <c r="G52" i="3"/>
  <c r="H56" i="3"/>
  <c r="H60" i="3"/>
  <c r="H66" i="3"/>
  <c r="G74" i="3"/>
  <c r="G75" i="3"/>
  <c r="G76" i="3"/>
  <c r="H77" i="3"/>
  <c r="H79" i="3"/>
  <c r="E10" i="2"/>
  <c r="F10" i="2"/>
  <c r="H24" i="1"/>
  <c r="K24" i="1"/>
  <c r="L24" i="1"/>
  <c r="D11" i="2"/>
  <c r="E106" i="3"/>
  <c r="G106" i="3"/>
  <c r="H108" i="3"/>
  <c r="G88" i="3"/>
  <c r="G89" i="3"/>
  <c r="H92" i="3"/>
  <c r="G95" i="3"/>
  <c r="H97" i="3"/>
  <c r="H103" i="3"/>
  <c r="G111" i="3"/>
  <c r="G112" i="3"/>
  <c r="G113" i="3"/>
  <c r="H114" i="3"/>
  <c r="H116" i="3"/>
  <c r="E11" i="2"/>
  <c r="F11" i="2"/>
  <c r="L25" i="1"/>
  <c r="D12" i="2"/>
  <c r="E144" i="3"/>
  <c r="G144" i="3"/>
  <c r="H147" i="3"/>
  <c r="G125" i="3"/>
  <c r="H130" i="3"/>
  <c r="H135" i="3"/>
  <c r="G138" i="3"/>
  <c r="H141" i="3"/>
  <c r="G150" i="3"/>
  <c r="G151" i="3"/>
  <c r="G152" i="3"/>
  <c r="H153" i="3"/>
  <c r="H155" i="3"/>
  <c r="E12" i="2"/>
  <c r="F12" i="2"/>
  <c r="L28" i="1"/>
  <c r="D15" i="2"/>
  <c r="E301" i="3"/>
  <c r="G301" i="3"/>
  <c r="H304" i="3"/>
  <c r="G282" i="3"/>
  <c r="H285" i="3"/>
  <c r="E288" i="3"/>
  <c r="G288" i="3"/>
  <c r="G289" i="3"/>
  <c r="F290" i="3"/>
  <c r="G290" i="3"/>
  <c r="H292" i="3"/>
  <c r="E295" i="3"/>
  <c r="G295" i="3"/>
  <c r="H298" i="3"/>
  <c r="H312" i="3"/>
  <c r="E15" i="2"/>
  <c r="F15" i="2"/>
  <c r="L29" i="1"/>
  <c r="D16" i="2"/>
  <c r="E339" i="3"/>
  <c r="G339" i="3"/>
  <c r="H342" i="3"/>
  <c r="G321" i="3"/>
  <c r="H324" i="3"/>
  <c r="E327" i="3"/>
  <c r="G327" i="3"/>
  <c r="G328" i="3"/>
  <c r="H330" i="3"/>
  <c r="E333" i="3"/>
  <c r="G333" i="3"/>
  <c r="H336" i="3"/>
  <c r="H350" i="3"/>
  <c r="E16" i="2"/>
  <c r="F16" i="2"/>
  <c r="L30" i="1"/>
  <c r="D17" i="2"/>
  <c r="E380" i="3"/>
  <c r="G380" i="3"/>
  <c r="H383" i="3"/>
  <c r="G359" i="3"/>
  <c r="H363" i="3"/>
  <c r="G366" i="3"/>
  <c r="F367" i="3"/>
  <c r="E367" i="3"/>
  <c r="G367" i="3"/>
  <c r="F368" i="3"/>
  <c r="G368" i="3"/>
  <c r="H371" i="3"/>
  <c r="G374" i="3"/>
  <c r="H377" i="3"/>
  <c r="G386" i="3"/>
  <c r="G387" i="3"/>
  <c r="G388" i="3"/>
  <c r="H389" i="3"/>
  <c r="H391" i="3"/>
  <c r="E17" i="2"/>
  <c r="F17" i="2"/>
  <c r="L31" i="1"/>
  <c r="D18" i="2"/>
  <c r="E421" i="3"/>
  <c r="G421" i="3"/>
  <c r="H425" i="3"/>
  <c r="G400" i="3"/>
  <c r="H404" i="3"/>
  <c r="G407" i="3"/>
  <c r="F408" i="3"/>
  <c r="E408" i="3"/>
  <c r="G408" i="3"/>
  <c r="F409" i="3"/>
  <c r="G409" i="3"/>
  <c r="H413" i="3"/>
  <c r="H433" i="3"/>
  <c r="E18" i="2"/>
  <c r="F18" i="2"/>
  <c r="L32" i="1"/>
  <c r="D19" i="2"/>
  <c r="E463" i="3"/>
  <c r="G463" i="3"/>
  <c r="H467" i="3"/>
  <c r="G442" i="3"/>
  <c r="H446" i="3"/>
  <c r="G449" i="3"/>
  <c r="F450" i="3"/>
  <c r="E450" i="3"/>
  <c r="G450" i="3"/>
  <c r="F451" i="3"/>
  <c r="G451" i="3"/>
  <c r="H455" i="3"/>
  <c r="H475" i="3"/>
  <c r="E19" i="2"/>
  <c r="F19" i="2"/>
  <c r="L37" i="1"/>
  <c r="D24" i="2"/>
  <c r="E509" i="3"/>
  <c r="G509" i="3"/>
  <c r="H512" i="3"/>
  <c r="G484" i="3"/>
  <c r="H488" i="3"/>
  <c r="C491" i="3"/>
  <c r="G491" i="3"/>
  <c r="C492" i="3"/>
  <c r="G492" i="3"/>
  <c r="C493" i="3"/>
  <c r="G493" i="3"/>
  <c r="C494" i="3"/>
  <c r="G494" i="3"/>
  <c r="C495" i="3"/>
  <c r="G495" i="3"/>
  <c r="G496" i="3"/>
  <c r="G497" i="3"/>
  <c r="G498" i="3"/>
  <c r="H501" i="3"/>
  <c r="G504" i="3"/>
  <c r="H506" i="3"/>
  <c r="H520" i="3"/>
  <c r="E24" i="2"/>
  <c r="F24" i="2"/>
  <c r="L38" i="1"/>
  <c r="D25" i="2"/>
  <c r="E552" i="3"/>
  <c r="G552" i="3"/>
  <c r="H555" i="3"/>
  <c r="G529" i="3"/>
  <c r="H534" i="3"/>
  <c r="C537" i="3"/>
  <c r="G537" i="3"/>
  <c r="G539" i="3"/>
  <c r="G540" i="3"/>
  <c r="G538" i="3"/>
  <c r="H543" i="3"/>
  <c r="G546" i="3"/>
  <c r="H549" i="3"/>
  <c r="G558" i="3"/>
  <c r="G559" i="3"/>
  <c r="G560" i="3"/>
  <c r="H561" i="3"/>
  <c r="H563" i="3"/>
  <c r="E25" i="2"/>
  <c r="F25" i="2"/>
  <c r="I39" i="1"/>
  <c r="L39" i="1"/>
  <c r="D26" i="2"/>
  <c r="H578" i="3"/>
  <c r="C581" i="3"/>
  <c r="G581" i="3"/>
  <c r="G582" i="3"/>
  <c r="G583" i="3"/>
  <c r="G584" i="3"/>
  <c r="H587" i="3"/>
  <c r="G590" i="3"/>
  <c r="H593" i="3"/>
  <c r="E596" i="3"/>
  <c r="G596" i="3"/>
  <c r="H598" i="3"/>
  <c r="G601" i="3"/>
  <c r="G602" i="3"/>
  <c r="G603" i="3"/>
  <c r="H604" i="3"/>
  <c r="H606" i="3"/>
  <c r="E26" i="2"/>
  <c r="F26" i="2"/>
  <c r="I40" i="1"/>
  <c r="L40" i="1"/>
  <c r="D27" i="2"/>
  <c r="G615" i="3"/>
  <c r="H620" i="3"/>
  <c r="C623" i="3"/>
  <c r="G623" i="3"/>
  <c r="H626" i="3"/>
  <c r="G629" i="3"/>
  <c r="H632" i="3"/>
  <c r="E635" i="3"/>
  <c r="G635" i="3"/>
  <c r="H638" i="3"/>
  <c r="G641" i="3"/>
  <c r="G642" i="3"/>
  <c r="G643" i="3"/>
  <c r="H644" i="3"/>
  <c r="H646" i="3"/>
  <c r="E27" i="2"/>
  <c r="F27" i="2"/>
  <c r="I41" i="1"/>
  <c r="L41" i="1"/>
  <c r="D28" i="2"/>
  <c r="E674" i="3"/>
  <c r="G674" i="3"/>
  <c r="H677" i="3"/>
  <c r="G655" i="3"/>
  <c r="H660" i="3"/>
  <c r="G663" i="3"/>
  <c r="H665" i="3"/>
  <c r="G668" i="3"/>
  <c r="H671" i="3"/>
  <c r="G680" i="3"/>
  <c r="G681" i="3"/>
  <c r="G682" i="3"/>
  <c r="H683" i="3"/>
  <c r="H685" i="3"/>
  <c r="E28" i="2"/>
  <c r="F28" i="2"/>
  <c r="L44" i="1"/>
  <c r="D31" i="2"/>
  <c r="E754" i="3"/>
  <c r="G754" i="3"/>
  <c r="H757" i="3"/>
  <c r="G733" i="3"/>
  <c r="H738" i="3"/>
  <c r="G741" i="3"/>
  <c r="G743" i="3"/>
  <c r="H745" i="3"/>
  <c r="G748" i="3"/>
  <c r="H751" i="3"/>
  <c r="G760" i="3"/>
  <c r="G761" i="3"/>
  <c r="G762" i="3"/>
  <c r="H763" i="3"/>
  <c r="H765" i="3"/>
  <c r="E31" i="2"/>
  <c r="F31" i="2"/>
  <c r="L45" i="1"/>
  <c r="D32" i="2"/>
  <c r="E793" i="3"/>
  <c r="G793" i="3"/>
  <c r="H796" i="3"/>
  <c r="G774" i="3"/>
  <c r="H779" i="3"/>
  <c r="G782" i="3"/>
  <c r="G783" i="3"/>
  <c r="H785" i="3"/>
  <c r="G788" i="3"/>
  <c r="H790" i="3"/>
  <c r="G799" i="3"/>
  <c r="G800" i="3"/>
  <c r="G801" i="3"/>
  <c r="H802" i="3"/>
  <c r="H804" i="3"/>
  <c r="E32" i="2"/>
  <c r="F32" i="2"/>
  <c r="D48" i="1"/>
  <c r="I48" i="1"/>
  <c r="L46" i="1"/>
  <c r="D33" i="2"/>
  <c r="E33" i="2"/>
  <c r="F33" i="2"/>
  <c r="L50" i="1"/>
  <c r="D34" i="2"/>
  <c r="E870" i="3"/>
  <c r="G870" i="3"/>
  <c r="H873" i="3"/>
  <c r="G852" i="3"/>
  <c r="H857" i="3"/>
  <c r="G860" i="3"/>
  <c r="H861" i="3"/>
  <c r="G864" i="3"/>
  <c r="H867" i="3"/>
  <c r="G876" i="3"/>
  <c r="G877" i="3"/>
  <c r="G878" i="3"/>
  <c r="H879" i="3"/>
  <c r="H881" i="3"/>
  <c r="E34" i="2"/>
  <c r="F34" i="2"/>
  <c r="H52" i="1"/>
  <c r="L52" i="1"/>
  <c r="D35" i="2"/>
  <c r="E911" i="3"/>
  <c r="G911" i="3"/>
  <c r="H914" i="3"/>
  <c r="G905" i="3"/>
  <c r="H908" i="3"/>
  <c r="G898" i="3"/>
  <c r="G900" i="3"/>
  <c r="H902" i="3"/>
  <c r="G890" i="3"/>
  <c r="H895" i="3"/>
  <c r="G917" i="3"/>
  <c r="G918" i="3"/>
  <c r="G919" i="3"/>
  <c r="H920" i="3"/>
  <c r="H922" i="3"/>
  <c r="E35" i="2"/>
  <c r="F35" i="2"/>
  <c r="H53" i="1"/>
  <c r="K53" i="1"/>
  <c r="L53" i="1"/>
  <c r="D36" i="2"/>
  <c r="E952" i="3"/>
  <c r="G952" i="3"/>
  <c r="H955" i="3"/>
  <c r="G931" i="3"/>
  <c r="H936" i="3"/>
  <c r="G939" i="3"/>
  <c r="G941" i="3"/>
  <c r="H943" i="3"/>
  <c r="G946" i="3"/>
  <c r="H949" i="3"/>
  <c r="G958" i="3"/>
  <c r="G959" i="3"/>
  <c r="G960" i="3"/>
  <c r="H961" i="3"/>
  <c r="H963" i="3"/>
  <c r="E36" i="2"/>
  <c r="F36" i="2"/>
  <c r="F39" i="2"/>
  <c r="C37" i="2"/>
  <c r="A37" i="2"/>
  <c r="B37" i="2"/>
  <c r="A968" i="3"/>
  <c r="B967" i="3"/>
  <c r="F40" i="2"/>
  <c r="F43" i="2"/>
  <c r="F44" i="2"/>
  <c r="F45" i="2"/>
  <c r="H47" i="2"/>
  <c r="A32" i="2"/>
  <c r="A33" i="2"/>
  <c r="A34" i="2"/>
  <c r="A35" i="2"/>
  <c r="A36" i="2"/>
  <c r="A25" i="2"/>
  <c r="A26" i="2"/>
  <c r="A27" i="2"/>
  <c r="A28" i="2"/>
  <c r="D49" i="1"/>
  <c r="D47" i="1"/>
  <c r="A1065" i="3"/>
  <c r="F17" i="8"/>
  <c r="F15" i="8"/>
  <c r="F14" i="8"/>
  <c r="F18" i="8"/>
  <c r="G20" i="8"/>
  <c r="G35" i="8"/>
  <c r="D180" i="3"/>
  <c r="C180" i="3"/>
  <c r="E180" i="3"/>
  <c r="G180" i="3"/>
  <c r="H183" i="3"/>
  <c r="G163" i="3"/>
  <c r="G164" i="3"/>
  <c r="H166" i="3"/>
  <c r="G169" i="3"/>
  <c r="F170" i="3"/>
  <c r="G170" i="3"/>
  <c r="H172" i="3"/>
  <c r="H177" i="3"/>
  <c r="G186" i="3"/>
  <c r="G187" i="3"/>
  <c r="G188" i="3"/>
  <c r="H189" i="3"/>
  <c r="H191" i="3"/>
  <c r="C713" i="3"/>
  <c r="E713" i="3"/>
  <c r="G713" i="3"/>
  <c r="H716" i="3"/>
  <c r="G694" i="3"/>
  <c r="H699" i="3"/>
  <c r="G702" i="3"/>
  <c r="H704" i="3"/>
  <c r="G707" i="3"/>
  <c r="H710" i="3"/>
  <c r="G719" i="3"/>
  <c r="G720" i="3"/>
  <c r="G721" i="3"/>
  <c r="H722" i="3"/>
  <c r="H724" i="3"/>
  <c r="E833" i="3"/>
  <c r="G833" i="3"/>
  <c r="H835" i="3"/>
  <c r="G813" i="3"/>
  <c r="H818" i="3"/>
  <c r="G821" i="3"/>
  <c r="G822" i="3"/>
  <c r="H824" i="3"/>
  <c r="G827" i="3"/>
  <c r="H830" i="3"/>
  <c r="G838" i="3"/>
  <c r="G839" i="3"/>
  <c r="G840" i="3"/>
  <c r="H841" i="3"/>
  <c r="A1029" i="3"/>
  <c r="A278" i="3"/>
  <c r="C15" i="2"/>
  <c r="H277" i="3"/>
  <c r="B15" i="2"/>
  <c r="B277" i="3"/>
  <c r="A248" i="3"/>
  <c r="C9" i="7"/>
  <c r="C26" i="7"/>
  <c r="D26" i="7"/>
  <c r="E26" i="7"/>
  <c r="F26" i="7"/>
  <c r="G26" i="7"/>
  <c r="C833" i="3"/>
  <c r="A832" i="3"/>
  <c r="C29" i="7"/>
  <c r="D29" i="7"/>
  <c r="E29" i="7"/>
  <c r="F29" i="7"/>
  <c r="G29" i="7"/>
  <c r="C301" i="3"/>
  <c r="A886" i="3"/>
  <c r="C23" i="7"/>
  <c r="D23" i="7"/>
  <c r="E23" i="7"/>
  <c r="F23" i="7"/>
  <c r="G23" i="7"/>
  <c r="F15" i="6"/>
  <c r="F22" i="6"/>
  <c r="D28" i="6"/>
  <c r="E28" i="6"/>
  <c r="D31" i="8"/>
  <c r="F31" i="8"/>
  <c r="G33" i="8"/>
  <c r="F7" i="8"/>
  <c r="D8" i="8"/>
  <c r="F8" i="8"/>
  <c r="G10" i="8"/>
  <c r="F24" i="8"/>
  <c r="F25" i="8"/>
  <c r="F26" i="8"/>
  <c r="G27" i="8"/>
  <c r="F16" i="8"/>
  <c r="B33" i="2"/>
  <c r="C33" i="2"/>
  <c r="B34" i="2"/>
  <c r="C34" i="2"/>
  <c r="B35" i="2"/>
  <c r="C35" i="2"/>
  <c r="B36" i="2"/>
  <c r="C36" i="2"/>
  <c r="E40" i="2"/>
  <c r="F41" i="2"/>
  <c r="F42" i="2"/>
  <c r="A2" i="2"/>
  <c r="A2" i="4"/>
  <c r="A1" i="10"/>
  <c r="I32" i="10"/>
  <c r="I26" i="10"/>
  <c r="G12" i="10"/>
  <c r="G11" i="10"/>
  <c r="G10" i="10"/>
  <c r="G9" i="10"/>
  <c r="G8" i="10"/>
  <c r="G7" i="10"/>
  <c r="C31" i="8"/>
  <c r="B31" i="8"/>
  <c r="A31" i="8"/>
  <c r="C221" i="3"/>
  <c r="A221" i="3"/>
  <c r="C674" i="3"/>
  <c r="A674" i="3"/>
  <c r="A39" i="4"/>
  <c r="A35" i="4"/>
  <c r="A36" i="4"/>
  <c r="A37" i="4"/>
  <c r="A38" i="4"/>
  <c r="A33" i="4"/>
  <c r="A29" i="4"/>
  <c r="A25" i="4"/>
  <c r="A26" i="4"/>
  <c r="A27" i="4"/>
  <c r="A28" i="4"/>
  <c r="A20" i="4"/>
  <c r="A21" i="4"/>
  <c r="A22" i="4"/>
  <c r="A17" i="4"/>
  <c r="A18" i="4"/>
  <c r="A19" i="4"/>
  <c r="D674" i="3"/>
  <c r="B28" i="2"/>
  <c r="B650" i="3"/>
  <c r="B29" i="4"/>
  <c r="B28" i="4"/>
  <c r="D992" i="3"/>
  <c r="C992" i="3"/>
  <c r="A992" i="3"/>
  <c r="D952" i="3"/>
  <c r="C952" i="3"/>
  <c r="B952" i="3"/>
  <c r="D911" i="3"/>
  <c r="C911" i="3"/>
  <c r="B911" i="3"/>
  <c r="D870" i="3"/>
  <c r="C870" i="3"/>
  <c r="B870" i="3"/>
  <c r="D793" i="3"/>
  <c r="C793" i="3"/>
  <c r="A793" i="3"/>
  <c r="D754" i="3"/>
  <c r="C754" i="3"/>
  <c r="A754" i="3"/>
  <c r="D552" i="3"/>
  <c r="C552" i="3"/>
  <c r="A552" i="3"/>
  <c r="D339" i="3"/>
  <c r="C339" i="3"/>
  <c r="A339" i="3"/>
  <c r="A317" i="3"/>
  <c r="A927" i="3"/>
  <c r="B35" i="4"/>
  <c r="C28" i="2"/>
  <c r="H650" i="3"/>
  <c r="A651" i="3"/>
  <c r="C16" i="2"/>
  <c r="H316" i="3"/>
  <c r="B16" i="2"/>
  <c r="C35" i="4"/>
  <c r="C33" i="4"/>
  <c r="B22" i="4"/>
  <c r="B33" i="4"/>
  <c r="B316" i="3"/>
  <c r="B18" i="4"/>
  <c r="C28" i="4"/>
  <c r="C22" i="4"/>
  <c r="K12" i="1"/>
  <c r="A713" i="3"/>
  <c r="A635" i="3"/>
  <c r="A596" i="3"/>
  <c r="A509" i="3"/>
  <c r="A463" i="3"/>
  <c r="C18" i="2"/>
  <c r="H395" i="3"/>
  <c r="A421" i="3"/>
  <c r="A380" i="3"/>
  <c r="C17" i="2"/>
  <c r="A301" i="3"/>
  <c r="A261" i="3"/>
  <c r="A288" i="3"/>
  <c r="A367" i="3"/>
  <c r="A408" i="3"/>
  <c r="A180" i="3"/>
  <c r="A327" i="3"/>
  <c r="A144" i="3"/>
  <c r="A106" i="3"/>
  <c r="A69" i="3"/>
  <c r="A33" i="3"/>
  <c r="C144" i="3"/>
  <c r="C17" i="7"/>
  <c r="D17" i="7"/>
  <c r="E17" i="7"/>
  <c r="C16" i="7"/>
  <c r="C32" i="7"/>
  <c r="D32" i="7"/>
  <c r="E32" i="7"/>
  <c r="C15" i="7"/>
  <c r="D15" i="7"/>
  <c r="E15" i="7"/>
  <c r="C14" i="7"/>
  <c r="F14" i="7"/>
  <c r="C13" i="7"/>
  <c r="D13" i="7"/>
  <c r="E13" i="7"/>
  <c r="C12" i="7"/>
  <c r="D12" i="7"/>
  <c r="E12" i="7"/>
  <c r="C11" i="7"/>
  <c r="D11" i="7"/>
  <c r="E11" i="7"/>
  <c r="C10" i="7"/>
  <c r="F10" i="7"/>
  <c r="D9" i="7"/>
  <c r="E9" i="7"/>
  <c r="F8" i="7"/>
  <c r="G8" i="7"/>
  <c r="D8" i="7"/>
  <c r="E8" i="7"/>
  <c r="C509" i="3"/>
  <c r="C33" i="3"/>
  <c r="F9" i="7"/>
  <c r="G9" i="7"/>
  <c r="F11" i="7"/>
  <c r="G11" i="7"/>
  <c r="F13" i="7"/>
  <c r="G13" i="7"/>
  <c r="F15" i="7"/>
  <c r="G15" i="7"/>
  <c r="F17" i="7"/>
  <c r="G17" i="7"/>
  <c r="F32" i="7"/>
  <c r="G32" i="7"/>
  <c r="G10" i="7"/>
  <c r="G14" i="7"/>
  <c r="D10" i="7"/>
  <c r="E10" i="7"/>
  <c r="F12" i="7"/>
  <c r="D14" i="7"/>
  <c r="E14" i="7"/>
  <c r="F16" i="7"/>
  <c r="G16" i="7"/>
  <c r="G12" i="7"/>
  <c r="D16" i="7"/>
  <c r="E16" i="7"/>
  <c r="C28" i="6"/>
  <c r="D596" i="3"/>
  <c r="D635" i="3"/>
  <c r="D509" i="3"/>
  <c r="D463" i="3"/>
  <c r="D261" i="3"/>
  <c r="D380" i="3"/>
  <c r="D301" i="3"/>
  <c r="D421" i="3"/>
  <c r="D69" i="3"/>
  <c r="D144" i="3"/>
  <c r="D106" i="3"/>
  <c r="D33" i="3"/>
  <c r="C635" i="3"/>
  <c r="C596" i="3"/>
  <c r="C463" i="3"/>
  <c r="C421" i="3"/>
  <c r="C261" i="3"/>
  <c r="C380" i="3"/>
  <c r="C106" i="3"/>
  <c r="C69" i="3"/>
  <c r="H926" i="3"/>
  <c r="H885" i="3"/>
  <c r="B36" i="4"/>
  <c r="B34" i="4"/>
  <c r="C32" i="2"/>
  <c r="C31" i="2"/>
  <c r="A31" i="2"/>
  <c r="B31" i="2"/>
  <c r="B31" i="4"/>
  <c r="H689" i="3"/>
  <c r="C27" i="2"/>
  <c r="H610" i="3"/>
  <c r="C26" i="2"/>
  <c r="H568" i="3"/>
  <c r="C25" i="2"/>
  <c r="C24" i="2"/>
  <c r="H479" i="3"/>
  <c r="C14" i="2"/>
  <c r="A980" i="3"/>
  <c r="B39" i="4"/>
  <c r="B885" i="3"/>
  <c r="B37" i="4"/>
  <c r="B926" i="3"/>
  <c r="B38" i="4"/>
  <c r="A611" i="3"/>
  <c r="A569" i="3"/>
  <c r="B689" i="3"/>
  <c r="B27" i="2"/>
  <c r="B26" i="2"/>
  <c r="B25" i="2"/>
  <c r="A438" i="3"/>
  <c r="A396" i="3"/>
  <c r="B19" i="2"/>
  <c r="B18" i="2"/>
  <c r="B20" i="4"/>
  <c r="B17" i="2"/>
  <c r="B17" i="4"/>
  <c r="B14" i="2"/>
  <c r="B16" i="4"/>
  <c r="B15" i="4"/>
  <c r="B14" i="4"/>
  <c r="I19" i="1"/>
  <c r="B437" i="3"/>
  <c r="B21" i="4"/>
  <c r="B524" i="3"/>
  <c r="B25" i="4"/>
  <c r="B568" i="3"/>
  <c r="B26" i="4"/>
  <c r="B610" i="3"/>
  <c r="B27" i="4"/>
  <c r="K22" i="1"/>
  <c r="E32" i="1"/>
  <c r="E31" i="1"/>
  <c r="K23" i="1"/>
  <c r="K21" i="1"/>
  <c r="K20" i="1"/>
  <c r="K18" i="1"/>
  <c r="K19" i="1"/>
  <c r="K17" i="1"/>
  <c r="K14" i="1"/>
  <c r="A34" i="4"/>
  <c r="A32" i="4"/>
  <c r="A31" i="4"/>
  <c r="B30" i="4"/>
  <c r="A30" i="4"/>
  <c r="B24" i="4"/>
  <c r="A24" i="4"/>
  <c r="B23" i="4"/>
  <c r="A23" i="4"/>
  <c r="B19" i="4"/>
  <c r="A16" i="4"/>
  <c r="B13" i="4"/>
  <c r="A13" i="4"/>
  <c r="B12" i="4"/>
  <c r="A12" i="4"/>
  <c r="B11" i="4"/>
  <c r="A11" i="4"/>
  <c r="B10" i="4"/>
  <c r="A10" i="4"/>
  <c r="B9" i="4"/>
  <c r="A9" i="4"/>
  <c r="B8" i="4"/>
  <c r="B7" i="4"/>
  <c r="A7" i="4"/>
  <c r="D4" i="4"/>
  <c r="K287" i="3"/>
  <c r="K288" i="3"/>
  <c r="F16" i="1"/>
  <c r="F31" i="1"/>
  <c r="F15" i="1"/>
  <c r="E15" i="1"/>
  <c r="F13" i="1"/>
  <c r="K13" i="1"/>
  <c r="E11" i="1"/>
  <c r="K11" i="1"/>
  <c r="K15" i="1"/>
  <c r="G345" i="3"/>
  <c r="G347" i="3"/>
  <c r="G346" i="3"/>
  <c r="C18" i="4"/>
  <c r="A8" i="3"/>
  <c r="A1" i="3"/>
  <c r="A1" i="4"/>
  <c r="C11" i="4"/>
  <c r="B847" i="3"/>
  <c r="A860" i="3"/>
  <c r="A848" i="3"/>
  <c r="H808" i="3"/>
  <c r="B808" i="3"/>
  <c r="A809" i="3"/>
  <c r="H769" i="3"/>
  <c r="B32" i="2"/>
  <c r="A770" i="3"/>
  <c r="H728" i="3"/>
  <c r="B728" i="3"/>
  <c r="A729" i="3"/>
  <c r="B30" i="2"/>
  <c r="A30" i="2"/>
  <c r="B24" i="2"/>
  <c r="B479" i="3"/>
  <c r="A24" i="2"/>
  <c r="B23" i="2"/>
  <c r="A23" i="2"/>
  <c r="C19" i="2"/>
  <c r="H437" i="3"/>
  <c r="B395" i="3"/>
  <c r="H354" i="3"/>
  <c r="B354" i="3"/>
  <c r="A355" i="3"/>
  <c r="H236" i="3"/>
  <c r="B236" i="3"/>
  <c r="A237" i="3"/>
  <c r="B13" i="2"/>
  <c r="A13" i="2"/>
  <c r="C12" i="2"/>
  <c r="B12" i="2"/>
  <c r="B120" i="3"/>
  <c r="A12" i="2"/>
  <c r="C11" i="2"/>
  <c r="H83" i="3"/>
  <c r="B11" i="2"/>
  <c r="B83" i="3"/>
  <c r="A11" i="2"/>
  <c r="C10" i="2"/>
  <c r="C8" i="2"/>
  <c r="H7" i="3"/>
  <c r="A10" i="2"/>
  <c r="B10" i="2"/>
  <c r="B47" i="3"/>
  <c r="B769" i="3"/>
  <c r="B32" i="4"/>
  <c r="A525" i="3"/>
  <c r="A480" i="3"/>
  <c r="A690" i="3"/>
  <c r="B8" i="2"/>
  <c r="B7" i="3"/>
  <c r="A9" i="2"/>
  <c r="B9" i="2"/>
  <c r="B7" i="2"/>
  <c r="A7" i="2"/>
  <c r="A4" i="2"/>
  <c r="A4" i="3"/>
  <c r="A4" i="4"/>
  <c r="A2" i="3"/>
  <c r="C34" i="4"/>
  <c r="C38" i="4"/>
  <c r="C39" i="4"/>
  <c r="C37" i="4"/>
  <c r="C36" i="4"/>
  <c r="C29" i="4"/>
  <c r="C32" i="4"/>
  <c r="C31" i="4"/>
  <c r="C8" i="4"/>
  <c r="C27" i="4"/>
  <c r="C25" i="4"/>
  <c r="C26" i="4"/>
  <c r="C14" i="4"/>
  <c r="D4" i="1"/>
  <c r="K16" i="1"/>
  <c r="C10" i="4"/>
  <c r="C24" i="4"/>
  <c r="C12" i="4"/>
  <c r="G308" i="3"/>
  <c r="G307" i="3"/>
  <c r="G309" i="3"/>
  <c r="C17" i="4"/>
  <c r="C15" i="4"/>
  <c r="C16" i="4"/>
  <c r="C21" i="4"/>
  <c r="C20" i="4"/>
  <c r="C19" i="4"/>
  <c r="C41" i="4"/>
  <c r="H4" i="10"/>
  <c r="D33" i="4"/>
  <c r="I33" i="4"/>
  <c r="D35" i="4"/>
  <c r="I35" i="4"/>
  <c r="D28" i="4"/>
  <c r="J28" i="4"/>
  <c r="D22" i="4"/>
  <c r="I22" i="4"/>
  <c r="D18" i="4"/>
  <c r="H18" i="4"/>
  <c r="D11" i="4"/>
  <c r="D38" i="4"/>
  <c r="H38" i="4"/>
  <c r="D34" i="4"/>
  <c r="J34" i="4"/>
  <c r="D39" i="4"/>
  <c r="J39" i="4"/>
  <c r="D36" i="4"/>
  <c r="J36" i="4"/>
  <c r="D32" i="4"/>
  <c r="D29" i="4"/>
  <c r="J29" i="4"/>
  <c r="D37" i="4"/>
  <c r="J37" i="4"/>
  <c r="D31" i="4"/>
  <c r="H31" i="4"/>
  <c r="D25" i="4"/>
  <c r="J25" i="4"/>
  <c r="D27" i="4"/>
  <c r="J27" i="4"/>
  <c r="D26" i="4"/>
  <c r="J26" i="4"/>
  <c r="D8" i="4"/>
  <c r="D10" i="4"/>
  <c r="E10" i="4"/>
  <c r="D14" i="4"/>
  <c r="D24" i="4"/>
  <c r="I24" i="4"/>
  <c r="D17" i="4"/>
  <c r="H17" i="4"/>
  <c r="D12" i="4"/>
  <c r="J12" i="4"/>
  <c r="D15" i="4"/>
  <c r="G15" i="4"/>
  <c r="D16" i="4"/>
  <c r="H16" i="4"/>
  <c r="D21" i="4"/>
  <c r="H21" i="4"/>
  <c r="D20" i="4"/>
  <c r="H20" i="4"/>
  <c r="D19" i="4"/>
  <c r="H19" i="4"/>
  <c r="G17" i="10"/>
  <c r="H18" i="10"/>
  <c r="H7" i="10"/>
  <c r="H8" i="10"/>
  <c r="H10" i="10"/>
  <c r="H12" i="10"/>
  <c r="H9" i="10"/>
  <c r="H11" i="10"/>
  <c r="I20" i="10"/>
  <c r="G16" i="10"/>
  <c r="G15" i="10"/>
  <c r="J42" i="4"/>
  <c r="H32" i="4"/>
  <c r="H42" i="4"/>
  <c r="I32" i="4"/>
  <c r="I42" i="4"/>
  <c r="F14" i="4"/>
  <c r="G14" i="4"/>
  <c r="G42" i="4"/>
  <c r="E8" i="4"/>
  <c r="D41" i="4"/>
  <c r="E11" i="4"/>
  <c r="F11" i="4"/>
  <c r="L45" i="2"/>
  <c r="N44" i="2"/>
  <c r="I34" i="10"/>
  <c r="F42" i="4"/>
  <c r="E42" i="4"/>
  <c r="E43" i="4"/>
  <c r="F43" i="4"/>
  <c r="G43" i="4"/>
  <c r="H43" i="4"/>
  <c r="I43" i="4"/>
  <c r="J4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MiLa</author>
  </authors>
  <commentList>
    <comment ref="F248" authorId="0" shapeId="0" xr:uid="{3E1306F8-65FC-4721-9EAA-220586B9DDA9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primero sacar el volumen de la figura multiplicandolo por el espsor, para el total del concreto y luego multiplicar por .60</t>
        </r>
      </text>
    </comment>
    <comment ref="F250" authorId="0" shapeId="0" xr:uid="{DF65287B-16AE-4E29-B882-04F63B19745F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290" authorId="0" shapeId="0" xr:uid="{406F1F00-FE7A-4D54-8FBE-B8E89D3BF721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</commentList>
</comments>
</file>

<file path=xl/sharedStrings.xml><?xml version="1.0" encoding="utf-8"?>
<sst xmlns="http://schemas.openxmlformats.org/spreadsheetml/2006/main" count="1890" uniqueCount="369">
  <si>
    <t>ELABORÓ:</t>
  </si>
  <si>
    <t>ITEM No.</t>
  </si>
  <si>
    <t xml:space="preserve"> ACTIVIDAD</t>
  </si>
  <si>
    <t>UNIDAD</t>
  </si>
  <si>
    <t>LARGO</t>
  </si>
  <si>
    <t>ANCHO</t>
  </si>
  <si>
    <t>ALTO Ò ESP.</t>
  </si>
  <si>
    <t>AREA</t>
  </si>
  <si>
    <t>FACTOR</t>
  </si>
  <si>
    <t>FACTOR DE EXPANSIÓN</t>
  </si>
  <si>
    <t>SUB TOTAL</t>
  </si>
  <si>
    <t>TOTAL</t>
  </si>
  <si>
    <t>PRELIMINARES</t>
  </si>
  <si>
    <t>Localización y Replanteo</t>
  </si>
  <si>
    <t>EXCAVACIONES, RELLENOS Y RETIRO</t>
  </si>
  <si>
    <t>MOBILIARIO URBANO</t>
  </si>
  <si>
    <t>m3</t>
  </si>
  <si>
    <t>ml</t>
  </si>
  <si>
    <t>und</t>
  </si>
  <si>
    <t>m2</t>
  </si>
  <si>
    <t>ARQ. MILAGROS HERNÁNDEZ T.</t>
  </si>
  <si>
    <t>VEGETACION Y ELEMENTOS NATURALES</t>
  </si>
  <si>
    <t>Total costos directos</t>
  </si>
  <si>
    <t>Total costos Indirectos</t>
  </si>
  <si>
    <t>Administración</t>
  </si>
  <si>
    <t>Imprevistos</t>
  </si>
  <si>
    <t>Utilidad</t>
  </si>
  <si>
    <t>TOTAL PRESUPUESTO</t>
  </si>
  <si>
    <t>ACTIVIDAD:</t>
  </si>
  <si>
    <t>Unidad</t>
  </si>
  <si>
    <t>Fecha</t>
  </si>
  <si>
    <t>I. EQUIPO</t>
  </si>
  <si>
    <t>Descripción</t>
  </si>
  <si>
    <t>Rendimiento</t>
  </si>
  <si>
    <t>Tarifa</t>
  </si>
  <si>
    <t>Cantidad</t>
  </si>
  <si>
    <t>Valor/Unit</t>
  </si>
  <si>
    <t xml:space="preserve">Herramienta menor </t>
  </si>
  <si>
    <t xml:space="preserve"> </t>
  </si>
  <si>
    <t>Sub-Total</t>
  </si>
  <si>
    <t>II. MATERIALES EN OBRA</t>
  </si>
  <si>
    <t>% Desperd</t>
  </si>
  <si>
    <t>Precio-Unit.</t>
  </si>
  <si>
    <t>Clavos</t>
  </si>
  <si>
    <t>kg</t>
  </si>
  <si>
    <t>Madera</t>
  </si>
  <si>
    <t>Piola gruesa rollo x 50 m</t>
  </si>
  <si>
    <t xml:space="preserve">liston </t>
  </si>
  <si>
    <t>rollo</t>
  </si>
  <si>
    <t>III. TRANSPORTES</t>
  </si>
  <si>
    <t>Material</t>
  </si>
  <si>
    <t xml:space="preserve">Vol-peso </t>
  </si>
  <si>
    <t>Tipo</t>
  </si>
  <si>
    <t>IV. MANO DE OBRA</t>
  </si>
  <si>
    <t>Trabajador</t>
  </si>
  <si>
    <t>Cant Hom</t>
  </si>
  <si>
    <t>Val / Hora</t>
  </si>
  <si>
    <t>Pnes</t>
  </si>
  <si>
    <t>Val/H/Pnes</t>
  </si>
  <si>
    <t>Rendimi</t>
  </si>
  <si>
    <t>Ayudante</t>
  </si>
  <si>
    <t>V. COSTOS INDIRECTOS</t>
  </si>
  <si>
    <t>% Máximo</t>
  </si>
  <si>
    <t>Valor Total</t>
  </si>
  <si>
    <t>Utilidades</t>
  </si>
  <si>
    <t>Valor del Unitario</t>
  </si>
  <si>
    <t xml:space="preserve">Proyectó: Arq. Milagros Hernández. </t>
  </si>
  <si>
    <t>Transporte dentro de la obra volqueta</t>
  </si>
  <si>
    <t>m³</t>
  </si>
  <si>
    <t>Marca</t>
  </si>
  <si>
    <t>Herramienta menor</t>
  </si>
  <si>
    <t>Vibrocompacatador saltarin</t>
  </si>
  <si>
    <t>hora</t>
  </si>
  <si>
    <t xml:space="preserve">Vol-peso  </t>
  </si>
  <si>
    <t>Transporte dentro de la obra</t>
  </si>
  <si>
    <t>Transporte dentro de la obra volqueta 5m3</t>
  </si>
  <si>
    <t>viaje</t>
  </si>
  <si>
    <t>glb</t>
  </si>
  <si>
    <t>M3</t>
  </si>
  <si>
    <t>lbs</t>
  </si>
  <si>
    <t>Transporte dentro a la obra</t>
  </si>
  <si>
    <t>Puntilla 1 1/2</t>
  </si>
  <si>
    <t>liston</t>
  </si>
  <si>
    <t>Desperdicio</t>
  </si>
  <si>
    <t>unidad</t>
  </si>
  <si>
    <t>rendimiento</t>
  </si>
  <si>
    <t>pesos</t>
  </si>
  <si>
    <t>Taladro</t>
  </si>
  <si>
    <t>caladora</t>
  </si>
  <si>
    <t>Tornillo sin fin con arandelas</t>
  </si>
  <si>
    <t>Puntilla</t>
  </si>
  <si>
    <t>Alambre dulce</t>
  </si>
  <si>
    <t>Val/D/Pnes</t>
  </si>
  <si>
    <t>Tornillo sin fin galvanizado 3/8" X 1M</t>
  </si>
  <si>
    <t>Arandela galvanizada 3/8"</t>
  </si>
  <si>
    <t>Tuerca galvanizada 3/8"</t>
  </si>
  <si>
    <t>Val / hora</t>
  </si>
  <si>
    <t>IVA%</t>
  </si>
  <si>
    <t>Val / dia</t>
  </si>
  <si>
    <t>Transporte  interno</t>
  </si>
  <si>
    <t>Prado gateadora tipo</t>
  </si>
  <si>
    <t>Planta ornamental arbustiva (PROTOS)</t>
  </si>
  <si>
    <t>Triturado 3/4"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</si>
  <si>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</si>
  <si>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</si>
  <si>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</si>
  <si>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</si>
  <si>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</si>
  <si>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</si>
  <si>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</si>
  <si>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</si>
  <si>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</si>
  <si>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</si>
  <si>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</si>
  <si>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Excavacion para andenes con relleno en triturado 3/4" 5.8</t>
  </si>
  <si>
    <t>galon</t>
  </si>
  <si>
    <t>pintura epoxica para exteriores, diferentes colores, tres manos</t>
  </si>
  <si>
    <t>Suministro e instalacion de tierra negra mejorada y esterilizada para siembra de prado, materas, arboles, arbustos .</t>
  </si>
  <si>
    <t xml:space="preserve">Basuero3 puestos en madera plastica </t>
  </si>
  <si>
    <t>VR. TOTAL            $</t>
  </si>
  <si>
    <t>% sobre el V/r T.</t>
  </si>
  <si>
    <t>SEM 1</t>
  </si>
  <si>
    <t>SEM 3</t>
  </si>
  <si>
    <t>SEM 5</t>
  </si>
  <si>
    <t>SEM 2</t>
  </si>
  <si>
    <t>SEM 4</t>
  </si>
  <si>
    <t>SEM 6</t>
  </si>
  <si>
    <t xml:space="preserve">Porcentaje (%) de ejecución programado </t>
  </si>
  <si>
    <t>SEMANAL</t>
  </si>
  <si>
    <t>Porcentaje (%) de ejecución programado acumul.</t>
  </si>
  <si>
    <t>Acumul.</t>
  </si>
  <si>
    <t>Excavacion para losa en concreto, juegos infantiles-textura de piso 3.5</t>
  </si>
  <si>
    <t>2.1.12</t>
  </si>
  <si>
    <t>Excavacion para bases en concreto - puntos ecologicos 3.7</t>
  </si>
  <si>
    <t>Excavacion para bases en concreto - bancas  3.7</t>
  </si>
  <si>
    <t>Excavacion para contenedor de raices en ladrillo circulares 3.8</t>
  </si>
  <si>
    <t>DIAMETRO</t>
  </si>
  <si>
    <t>Excavacion para bases en concreto - juegos infantiles y burritos 3.6</t>
  </si>
  <si>
    <t>Excavacion para instalacion de llantas reutilizadas</t>
  </si>
  <si>
    <t>Excavacion para instalacion de piedra de colores</t>
  </si>
  <si>
    <t>2.1.13</t>
  </si>
  <si>
    <t>3.1</t>
  </si>
  <si>
    <t>3.2</t>
  </si>
  <si>
    <t>3.3</t>
  </si>
  <si>
    <t>3.4</t>
  </si>
  <si>
    <t>Bases en concreto para instalaciòn de  bancas   E= 15cm,  .3000PSI -21MP</t>
  </si>
  <si>
    <t>3.6</t>
  </si>
  <si>
    <t>3.7</t>
  </si>
  <si>
    <t>3.8</t>
  </si>
  <si>
    <t>Suministro e instalacion de juegos infantiles en madera plastica burrito balancin.</t>
  </si>
  <si>
    <t>Excavacion para siembra de arboles (guayacan: lila y amarillo; tulipan)  5.5, 5.6</t>
  </si>
  <si>
    <t>5.1</t>
  </si>
  <si>
    <t>5.2</t>
  </si>
  <si>
    <t>5.4</t>
  </si>
  <si>
    <t>5.6</t>
  </si>
  <si>
    <t>Und</t>
  </si>
  <si>
    <t>4.1</t>
  </si>
  <si>
    <t>4.2</t>
  </si>
  <si>
    <t>4.3</t>
  </si>
  <si>
    <t>4.4</t>
  </si>
  <si>
    <t>4.5</t>
  </si>
  <si>
    <t>CÁLCULO DEL FACTOR PRESTACIONAL</t>
  </si>
  <si>
    <t>1.-</t>
  </si>
  <si>
    <t>DIAS PAGADOS POR DURACIÓN DEL CONTRATO</t>
  </si>
  <si>
    <t>PRESTACIONES SOCIALES</t>
  </si>
  <si>
    <t>CANTIDAD</t>
  </si>
  <si>
    <t>Jornales</t>
  </si>
  <si>
    <t>DIAS</t>
  </si>
  <si>
    <t xml:space="preserve">Cesantías </t>
  </si>
  <si>
    <t>Intereses por cesantías (12% sobre las cesantías)</t>
  </si>
  <si>
    <t xml:space="preserve">Prima de servicios </t>
  </si>
  <si>
    <t>Salud 12%</t>
  </si>
  <si>
    <t>Pensión 15,5%</t>
  </si>
  <si>
    <t>Aporte caja de compensación 4%</t>
  </si>
  <si>
    <t>SENA 2%</t>
  </si>
  <si>
    <t>I.C.B.F. 3%</t>
  </si>
  <si>
    <t>TOTAL DIAS PAGADOS</t>
  </si>
  <si>
    <t>2.-</t>
  </si>
  <si>
    <t>DIAS TRABAJADOS</t>
  </si>
  <si>
    <t>DIAS TRABAJADOS DURANTE EL AÑO</t>
  </si>
  <si>
    <t>Calendario</t>
  </si>
  <si>
    <t>Domingos</t>
  </si>
  <si>
    <t>Festivos</t>
  </si>
  <si>
    <t>TOTAL DIAS TRABAJADOS</t>
  </si>
  <si>
    <t>Por lo tanto:</t>
  </si>
  <si>
    <t>% de Recargo Real =</t>
  </si>
  <si>
    <t>VALOR DEL PERSONAL POR FUNCIONES</t>
  </si>
  <si>
    <t>DISCRIMINACION DE PERSONAL</t>
  </si>
  <si>
    <t>DESCRIPCIÓN</t>
  </si>
  <si>
    <t>VALOR MENSUAL</t>
  </si>
  <si>
    <t>JORNAL</t>
  </si>
  <si>
    <t>H-h</t>
  </si>
  <si>
    <t xml:space="preserve">Prestaciones 89,52% </t>
  </si>
  <si>
    <t>Total con prestaciones</t>
  </si>
  <si>
    <t>Oficial mampostero</t>
  </si>
  <si>
    <t>Oficial pavimentos</t>
  </si>
  <si>
    <t>Maestro de obra</t>
  </si>
  <si>
    <t>Carpintero</t>
  </si>
  <si>
    <t>Operario de soldadura</t>
  </si>
  <si>
    <t>Operario de maquinaria</t>
  </si>
  <si>
    <t>Conductor</t>
  </si>
  <si>
    <t>Oficial especializado</t>
  </si>
  <si>
    <t>Ayudante especializado</t>
  </si>
  <si>
    <t>DISCRIMINACIÓN POR CUADRILLAS</t>
  </si>
  <si>
    <t>Total H-h con prestaciones</t>
  </si>
  <si>
    <t>CUADRILLA 1</t>
  </si>
  <si>
    <t>1 Oficial + 1 Ayudante</t>
  </si>
  <si>
    <t>CUADRILLA 2</t>
  </si>
  <si>
    <t>2 Ayudantes + 1 Oficial</t>
  </si>
  <si>
    <t>CUADRILLA 3</t>
  </si>
  <si>
    <t>4 Ayudantes + 1 Oficial</t>
  </si>
  <si>
    <t>CUADRILLA ESPECIAL</t>
  </si>
  <si>
    <t>1 oficial especial + a 1 ayudante especial</t>
  </si>
  <si>
    <t>DESCRIPCIÓN DE LA CUADRILLA</t>
  </si>
  <si>
    <t>ok</t>
  </si>
  <si>
    <t>Material de relleno. Tierra amarilla</t>
  </si>
  <si>
    <t>Básico concreto clase D (21 Mpa)</t>
  </si>
  <si>
    <r>
      <t>piedra tamaño maximo 6</t>
    </r>
    <r>
      <rPr>
        <b/>
        <sz val="11"/>
        <color rgb="FF000000"/>
        <rFont val="Arial"/>
        <family val="2"/>
      </rPr>
      <t>"</t>
    </r>
  </si>
  <si>
    <t xml:space="preserve">DESCRIPCIÓN </t>
  </si>
  <si>
    <t>OK</t>
  </si>
  <si>
    <t>Transporte fuera de la obra</t>
  </si>
  <si>
    <t>buriito balancin</t>
  </si>
  <si>
    <t>Bancas prefabricadas en madera plàstica con espaldar</t>
  </si>
  <si>
    <t>Excavacion para bordillo a nivel de piso) H=15CM, B= 12CM</t>
  </si>
  <si>
    <t>Suministro e instalacion de prado gateadora o trenza</t>
  </si>
  <si>
    <t xml:space="preserve">ESTRUCTURAS EN CONCRETOS </t>
  </si>
  <si>
    <t>Suministro e instalacion de piedra dolomita para adecuacion de jardinera.</t>
  </si>
  <si>
    <t>Agua</t>
  </si>
  <si>
    <t>iva</t>
  </si>
  <si>
    <t>Tierra negra abonada apta para sembrar</t>
  </si>
  <si>
    <t>Kg</t>
  </si>
  <si>
    <t>Piedra blanca de 1"1/2</t>
  </si>
  <si>
    <t>Suministro e instalacion de juegoss individuales en llantas decoradas según diseños y especificaciones tecnicas</t>
  </si>
  <si>
    <t>Suministro de juegos en llantas de animales según diseños especificos con todos sus acabados</t>
  </si>
  <si>
    <t>Revisó y aprobó: Ing. Jaime Alberto Martinez B.</t>
  </si>
  <si>
    <t xml:space="preserve">Proyectó: Arq. Milagros Hernández T. </t>
  </si>
  <si>
    <t>Costo Directo Accion obra</t>
  </si>
  <si>
    <t xml:space="preserve">Suministro, instalación, compactación y nivelación de material de prestamo (tierra amarilla) para conformación de Relleno </t>
  </si>
  <si>
    <r>
      <t xml:space="preserve">Excavacion para sardinel trapezoidal de materas </t>
    </r>
    <r>
      <rPr>
        <sz val="11"/>
        <color rgb="FFFF0000"/>
        <rFont val="Arial"/>
        <family val="2"/>
      </rPr>
      <t>3.4</t>
    </r>
  </si>
  <si>
    <r>
      <t xml:space="preserve">Excavacion para huellas en concreto ciclopeo </t>
    </r>
    <r>
      <rPr>
        <sz val="11"/>
        <color rgb="FFFF0000"/>
        <rFont val="Arial"/>
        <family val="2"/>
      </rPr>
      <t>3.3</t>
    </r>
  </si>
  <si>
    <r>
      <t xml:space="preserve">Excavacion para siembra de duranta </t>
    </r>
    <r>
      <rPr>
        <sz val="11"/>
        <color rgb="FFFF0000"/>
        <rFont val="Arial"/>
        <family val="2"/>
      </rPr>
      <t>5.3, 5.4</t>
    </r>
  </si>
  <si>
    <t>Retiro de material sobrante hasta sitio autorizado</t>
  </si>
  <si>
    <t>Bases en concreto para instalaciòn de juegos en llanta, Diametro=1,5m, E= 15 cm; 3000PSI -21MP</t>
  </si>
  <si>
    <t>Bases en concreto para instalaciòn de juegos infantiles   45 cm x 45 cm x 45 cm, 3000PSI -21MP</t>
  </si>
  <si>
    <t>Bases en concreto simple para instalaciòn de   puntos ecologicos L= 1.60 m X Ancho= 70 cm, E= 15 cm,  .3000PSI -21MP</t>
  </si>
  <si>
    <t>Suministro e instalacion de Triturado tamaño 3/4", para relleno de sendero peatonal, Ancho 1m, Alto= 20 cm</t>
  </si>
  <si>
    <t xml:space="preserve">MEMORIA DE CANTIDADES DE OBRA </t>
  </si>
  <si>
    <t xml:space="preserve">ITEM </t>
  </si>
  <si>
    <t>VALOR UNITÁRIO</t>
  </si>
  <si>
    <t>VALOR TOTAL</t>
  </si>
  <si>
    <t>IVA (Sobre la utilidad)</t>
  </si>
  <si>
    <t>m</t>
  </si>
  <si>
    <t>FECHA:</t>
  </si>
  <si>
    <t>I.- EQUIPO</t>
  </si>
  <si>
    <t>DESCRIPCION</t>
  </si>
  <si>
    <t>TIPO</t>
  </si>
  <si>
    <t>TARIFA/H</t>
  </si>
  <si>
    <t>RENDIMIENTO</t>
  </si>
  <si>
    <t>VUNITARIO</t>
  </si>
  <si>
    <t>menor</t>
  </si>
  <si>
    <t>1 saco</t>
  </si>
  <si>
    <t>SUBTOTAL</t>
  </si>
  <si>
    <t>$</t>
  </si>
  <si>
    <t>II.- MATERIALES</t>
  </si>
  <si>
    <t>VALOR</t>
  </si>
  <si>
    <t>Desperdicio 3%</t>
  </si>
  <si>
    <t>III.- TRANSPORTE</t>
  </si>
  <si>
    <t>VOL. O PESO</t>
  </si>
  <si>
    <t>DISTANCIA</t>
  </si>
  <si>
    <t>M3/KM</t>
  </si>
  <si>
    <t>TARIFA</t>
  </si>
  <si>
    <t>IV.- MANO DE OBRA</t>
  </si>
  <si>
    <t>PRESTACIONES</t>
  </si>
  <si>
    <t>TOTAL   COSTO   DIRECTO</t>
  </si>
  <si>
    <t>Mezcladora de concreto de 1 saco</t>
  </si>
  <si>
    <t>Triturado Tamaño Maximo 3/4" (cargado en planta)</t>
  </si>
  <si>
    <t>Arena gruesa</t>
  </si>
  <si>
    <t>Cemento gris</t>
  </si>
  <si>
    <t>L</t>
  </si>
  <si>
    <t>CONSULTE PRECIO DE TRITURADO</t>
  </si>
  <si>
    <t>CONSULTE PRECIO DE ARENA</t>
  </si>
  <si>
    <t>CONSULTE PRECIO DE CEMENTO</t>
  </si>
  <si>
    <r>
      <t>ITEM                : Concreto clase D</t>
    </r>
    <r>
      <rPr>
        <sz val="9"/>
        <rFont val="Arial"/>
        <family val="2"/>
      </rPr>
      <t xml:space="preserve"> (21 MPA)</t>
    </r>
  </si>
  <si>
    <t>UNIDAD           : m3</t>
  </si>
  <si>
    <t>Vibrador a gasolina</t>
  </si>
  <si>
    <t>Formaleta en madera</t>
  </si>
  <si>
    <t xml:space="preserve">Formaleta </t>
  </si>
  <si>
    <t>CÁLCULO DE ADMINISTRACION - UTILIDAD E IMPREVISTOS: AUI</t>
  </si>
  <si>
    <t>COSTO DIRECTO DEL PROYECTO</t>
  </si>
  <si>
    <t>1. GASTOS TECNICOS Y AMINISTRATIVOS</t>
  </si>
  <si>
    <t>VALOR/MES</t>
  </si>
  <si>
    <t>PERMANENCIA EN OBRA</t>
  </si>
  <si>
    <t># DE MESES</t>
  </si>
  <si>
    <t>PORCENTAJE RESPECTO A LOS COSTOS DIRECTOS</t>
  </si>
  <si>
    <t>Ingeniero Residente</t>
  </si>
  <si>
    <t>Permanente</t>
  </si>
  <si>
    <t>Servicios de oficina</t>
  </si>
  <si>
    <t>Papelería</t>
  </si>
  <si>
    <t>Servicios de comunicación</t>
  </si>
  <si>
    <t>Equipos de oficina</t>
  </si>
  <si>
    <t>Transporte</t>
  </si>
  <si>
    <t>2. GASTOS DE IMPUESTOS ASOCIADOS A LA ATIVIDAD DELA CONSTRUCCION</t>
  </si>
  <si>
    <t>Perfeccionamiento y legalización del contrato</t>
  </si>
  <si>
    <t>Deducciones y retenciones CRC (2% Retefuente, 5% Mininterior)</t>
  </si>
  <si>
    <t>Estampilla Unicauca</t>
  </si>
  <si>
    <t>Papeleria ($ 15.000,oo)</t>
  </si>
  <si>
    <t>COSTOS TOTALES DE ADMINISTRACION:</t>
  </si>
  <si>
    <t>GASTOS POR IMPREVISTOS:</t>
  </si>
  <si>
    <t>COSTOS TOTALES POR IMPREVISTOS</t>
  </si>
  <si>
    <t>COSTOS POR UTILIDAD</t>
  </si>
  <si>
    <t>Por cumplimiento pleno de plazo</t>
  </si>
  <si>
    <t>Por balanceo de organización y control de obra periodico</t>
  </si>
  <si>
    <t>Por descuentos por pagos oportunos</t>
  </si>
  <si>
    <t>COSTOS TOTALES POR UTILIDAD</t>
  </si>
  <si>
    <t>COSTOS TOTALES POR ADMINISTARACION, UTILIDAD E IMPREVISTOS</t>
  </si>
  <si>
    <t>Incremento en el costo de materiales</t>
  </si>
  <si>
    <t>Dificultad en el suministro oportuno de materiales</t>
  </si>
  <si>
    <t>Costos adicionales para cubrir procesos constructivos alternativos por periodo de lluvia</t>
  </si>
  <si>
    <t>Suministro e instalacion de puntos ecologicos  en madera plastica según especificaciones técnicas.</t>
  </si>
  <si>
    <t>Revisó y aprobó: Ing. Alberto Molano Piamba.</t>
  </si>
  <si>
    <t>Revisó: Ing. Alberto Molano Piamba.</t>
  </si>
  <si>
    <t>Suministro e instalacion de juegos infantiles en madera plastica según especificaciones técnicas.</t>
  </si>
  <si>
    <t>Suministro e instalacion de bancas con espaldar en madera plastica  según especificaciones técnicas.</t>
  </si>
  <si>
    <t>Huellas en concreto ciclopeo 3000 PSI-21Mpa, ANCHO= 35 cm x L= 1,2 E= 15 cm a nivel del piso sobre zona verde para protección de la misma</t>
  </si>
  <si>
    <t>Excavacion a mano en material común prof hasta 0,60m</t>
  </si>
  <si>
    <t>3.5</t>
  </si>
  <si>
    <t>PASAMANOS</t>
  </si>
  <si>
    <t>CULUMPIOS</t>
  </si>
  <si>
    <t>ARAÑA</t>
  </si>
  <si>
    <t>Suministro y siembra de especies ornamentales (jazmines azules)  Altura: (40 -50) cm</t>
  </si>
  <si>
    <t>Suministro y siembra de especies ornamentales (jazmines blancos)  Altura: (40 -50) cm</t>
  </si>
  <si>
    <t>Suministro y siembra de especies ornamentales (jazmines azules, jazmines blancos, hortensias)  Altura: (40 -50) cm</t>
  </si>
  <si>
    <t>5.5,1</t>
  </si>
  <si>
    <t>5.5,2</t>
  </si>
  <si>
    <t>Suministro y siembra de especies ornamentales (hortensias)  Altura: (40 -50) cm</t>
  </si>
  <si>
    <t>5.5,3</t>
  </si>
  <si>
    <t>Malla electrosoldada de 4mm</t>
  </si>
  <si>
    <t>Cuneta, canuela Conc.3000PSI.A=40CM E=5CM</t>
  </si>
  <si>
    <t>RESBALADOR</t>
  </si>
  <si>
    <t xml:space="preserve">TORRE CON PLATAFORMA </t>
  </si>
  <si>
    <t>Suministro y siembra de especies arboreas Altura: 80 - 90 cm (CARBONEROS Y FLOR DE MAYO)</t>
  </si>
  <si>
    <t>5.3</t>
  </si>
  <si>
    <t>5.5</t>
  </si>
  <si>
    <t>PRESUPUESTO OFICIAL DE OBRA VEREDA SAN RAFAEL- MUNICIPIO DE MORALES</t>
  </si>
  <si>
    <t>EJECUCIÓN DE ACCIÓN DE MEJORAMIENTO AMBIENTAL Y PAISAJÍSTICO DE LA ZONA VERDE COMPLEMENTARIA AL ESPACIO PÚBLICO DEL ESCENARIO DEPORTIVO EXISTENTE EN LA VEREDA SAN RAFAEL, MUNICIPIO DE MORALES, DEPARTAMENTO DEL CAUCA</t>
  </si>
  <si>
    <t>FECHA: 09-JUNIO-2021</t>
  </si>
  <si>
    <t>Suministro y siembra de especies arboreas Altura: 80 - 90 cm ( FLOR DE MAYO)</t>
  </si>
  <si>
    <t>Piedra promedio 6" pintada de color blanco para confirmacion de sendero</t>
  </si>
  <si>
    <t>5.7</t>
  </si>
  <si>
    <t>pintura en aceite para exteriores blanca + disolventes</t>
  </si>
  <si>
    <t>Losa en concreto de 21 MPA para kiosko  E= .15CM</t>
  </si>
  <si>
    <t>4.6</t>
  </si>
  <si>
    <t>Tubo galvanizado de 2" , L=1,5m, varilla de 3/8"</t>
  </si>
  <si>
    <t>TEJA TRAPEZOIDAL 3,6M</t>
  </si>
  <si>
    <t>INMUNIZANTE PARA GUADUA</t>
  </si>
  <si>
    <t>ARANDELAS Y TUERCAS 3/8"</t>
  </si>
  <si>
    <t>VIRUTA, VARNIZ, TINNER</t>
  </si>
  <si>
    <t>GLOBAL</t>
  </si>
  <si>
    <t>VARILLAS ROSCADAS DE 3/8" 3M</t>
  </si>
  <si>
    <t>TUBOS HG DE 2" PARA CONCRETOS</t>
  </si>
  <si>
    <t>UND</t>
  </si>
  <si>
    <t>TUBO</t>
  </si>
  <si>
    <t>GUADUA L=6M, APTA PARA ESTRUCTURAS</t>
  </si>
  <si>
    <t>3.9</t>
  </si>
  <si>
    <t xml:space="preserve">Pintura en aceite de colores </t>
  </si>
  <si>
    <t>1/4 de</t>
  </si>
  <si>
    <t>Bancos en concreto pintados  de colores 0.50mx 0.50mx 0.5m</t>
  </si>
  <si>
    <t>Pedestales en concreto 0,80m, 0,2m bajo el nivel de losa, y 0,40 sobre nivel de losa, 0,4m de diametro</t>
  </si>
  <si>
    <t>Kiosco en guadua hexagonal L=6M, (Incluye cubierta)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</si>
</sst>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#,##0.0"/>
    <numFmt numFmtId="166" formatCode="0.000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-&quot;$&quot;\ * #,##0.00_-;\-&quot;$&quot;\ * #,##0.00_-;_-&quot;$&quot;\ * &quot;-&quot;_-;_-@_-"/>
    <numFmt numFmtId="170" formatCode="_-[$$-240A]* #,##0.00_-;\-[$$-240A]* #,##0.00_-;_-[$$-240A]* &quot;-&quot;??_-;_-@_-"/>
    <numFmt numFmtId="171" formatCode="#,##0.0000"/>
    <numFmt numFmtId="172" formatCode="_-* #,##0.0_-;\-* #,##0.0_-;_-* &quot;-&quot;??_-;_-@_-"/>
    <numFmt numFmtId="173" formatCode="_-* #,##0\ _€_-;\-* #,##0\ _€_-;_-* &quot;-&quot;\ _€_-;_-@_-"/>
    <numFmt numFmtId="174" formatCode="_(&quot;$&quot;\ * #,##0.00_);_(&quot;$&quot;\ * \(#,##0.00\);_(&quot;$&quot;\ * &quot;-&quot;??_);_(@_)"/>
    <numFmt numFmtId="175" formatCode="0.0%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2"/>
      <color rgb="FF5454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sz val="10"/>
      <color rgb="FFFFFF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168" fontId="8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9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justify"/>
    </xf>
    <xf numFmtId="44" fontId="3" fillId="2" borderId="1" xfId="1" applyFont="1" applyFill="1" applyBorder="1" applyAlignment="1">
      <alignment horizontal="center" vertical="justify"/>
    </xf>
    <xf numFmtId="44" fontId="3" fillId="2" borderId="1" xfId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42" fontId="0" fillId="0" borderId="15" xfId="2" applyFont="1" applyBorder="1"/>
    <xf numFmtId="42" fontId="0" fillId="0" borderId="16" xfId="2" applyFont="1" applyBorder="1"/>
    <xf numFmtId="0" fontId="5" fillId="5" borderId="8" xfId="0" applyFont="1" applyFill="1" applyBorder="1" applyAlignment="1">
      <alignment vertical="center"/>
    </xf>
    <xf numFmtId="42" fontId="6" fillId="5" borderId="10" xfId="2" applyFont="1" applyFill="1" applyBorder="1" applyAlignment="1">
      <alignment vertical="center"/>
    </xf>
    <xf numFmtId="42" fontId="6" fillId="5" borderId="20" xfId="2" applyFont="1" applyFill="1" applyBorder="1" applyAlignment="1">
      <alignment horizontal="center" vertical="center"/>
    </xf>
    <xf numFmtId="4" fontId="5" fillId="5" borderId="8" xfId="0" applyNumberFormat="1" applyFont="1" applyFill="1" applyBorder="1" applyAlignment="1">
      <alignment horizontal="left" vertical="center"/>
    </xf>
    <xf numFmtId="42" fontId="6" fillId="5" borderId="22" xfId="2" applyFont="1" applyFill="1" applyBorder="1" applyAlignment="1">
      <alignment vertical="center"/>
    </xf>
    <xf numFmtId="42" fontId="6" fillId="5" borderId="16" xfId="2" applyFont="1" applyFill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2" fontId="7" fillId="0" borderId="0" xfId="2" applyFont="1" applyBorder="1" applyAlignment="1">
      <alignment vertical="center"/>
    </xf>
    <xf numFmtId="42" fontId="7" fillId="0" borderId="24" xfId="2" applyFont="1" applyBorder="1" applyAlignment="1">
      <alignment vertical="center"/>
    </xf>
    <xf numFmtId="42" fontId="6" fillId="0" borderId="0" xfId="2" applyFont="1" applyBorder="1" applyAlignment="1">
      <alignment vertical="center"/>
    </xf>
    <xf numFmtId="42" fontId="6" fillId="0" borderId="24" xfId="2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42" fontId="6" fillId="0" borderId="1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2" fontId="6" fillId="0" borderId="13" xfId="2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42" fontId="6" fillId="0" borderId="29" xfId="2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42" fontId="6" fillId="0" borderId="8" xfId="2" applyFont="1" applyBorder="1" applyAlignment="1">
      <alignment vertical="center"/>
    </xf>
    <xf numFmtId="0" fontId="6" fillId="0" borderId="10" xfId="0" applyFont="1" applyBorder="1" applyAlignment="1">
      <alignment horizontal="centerContinuous" vertical="center"/>
    </xf>
    <xf numFmtId="42" fontId="6" fillId="0" borderId="30" xfId="2" applyFont="1" applyBorder="1" applyAlignment="1">
      <alignment horizontal="center" vertical="center"/>
    </xf>
    <xf numFmtId="42" fontId="6" fillId="0" borderId="2" xfId="2" applyFont="1" applyBorder="1" applyAlignment="1">
      <alignment vertical="center"/>
    </xf>
    <xf numFmtId="42" fontId="6" fillId="0" borderId="33" xfId="2" applyFont="1" applyBorder="1" applyAlignment="1">
      <alignment vertical="center"/>
    </xf>
    <xf numFmtId="42" fontId="6" fillId="0" borderId="34" xfId="2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2" fontId="6" fillId="0" borderId="2" xfId="2" applyFont="1" applyFill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35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9" fillId="0" borderId="1" xfId="4" applyNumberFormat="1" applyFont="1" applyBorder="1" applyAlignment="1">
      <alignment horizontal="center"/>
    </xf>
    <xf numFmtId="0" fontId="6" fillId="0" borderId="36" xfId="0" applyFont="1" applyBorder="1" applyAlignment="1">
      <alignment vertical="center"/>
    </xf>
    <xf numFmtId="0" fontId="6" fillId="0" borderId="40" xfId="0" applyFont="1" applyBorder="1" applyAlignment="1">
      <alignment horizontal="center" vertical="center" wrapText="1"/>
    </xf>
    <xf numFmtId="42" fontId="6" fillId="0" borderId="40" xfId="2" applyFont="1" applyBorder="1" applyAlignment="1">
      <alignment horizontal="center" vertical="center" wrapText="1"/>
    </xf>
    <xf numFmtId="10" fontId="6" fillId="0" borderId="45" xfId="0" applyNumberFormat="1" applyFont="1" applyFill="1" applyBorder="1" applyAlignment="1">
      <alignment horizontal="center" vertical="center"/>
    </xf>
    <xf numFmtId="42" fontId="6" fillId="0" borderId="45" xfId="2" applyFont="1" applyFill="1" applyBorder="1" applyAlignment="1">
      <alignment vertical="center"/>
    </xf>
    <xf numFmtId="10" fontId="6" fillId="0" borderId="49" xfId="0" applyNumberFormat="1" applyFont="1" applyFill="1" applyBorder="1" applyAlignment="1">
      <alignment horizontal="center" vertical="center"/>
    </xf>
    <xf numFmtId="42" fontId="6" fillId="0" borderId="49" xfId="2" applyFont="1" applyFill="1" applyBorder="1" applyAlignment="1">
      <alignment vertical="center"/>
    </xf>
    <xf numFmtId="42" fontId="6" fillId="5" borderId="8" xfId="2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2" fontId="6" fillId="0" borderId="0" xfId="2" applyFont="1" applyFill="1" applyBorder="1" applyAlignment="1">
      <alignment horizontal="left" vertical="center"/>
    </xf>
    <xf numFmtId="42" fontId="6" fillId="0" borderId="0" xfId="2" applyFont="1" applyFill="1" applyBorder="1" applyAlignment="1">
      <alignment vertical="center"/>
    </xf>
    <xf numFmtId="42" fontId="0" fillId="0" borderId="1" xfId="2" applyFont="1" applyBorder="1"/>
    <xf numFmtId="42" fontId="6" fillId="0" borderId="0" xfId="2" applyFont="1" applyFill="1" applyBorder="1" applyAlignment="1">
      <alignment horizontal="center" vertical="center"/>
    </xf>
    <xf numFmtId="0" fontId="5" fillId="6" borderId="8" xfId="0" applyFont="1" applyFill="1" applyBorder="1" applyAlignment="1">
      <alignment vertical="center"/>
    </xf>
    <xf numFmtId="42" fontId="6" fillId="6" borderId="10" xfId="2" applyFont="1" applyFill="1" applyBorder="1" applyAlignment="1">
      <alignment vertical="center"/>
    </xf>
    <xf numFmtId="42" fontId="6" fillId="0" borderId="1" xfId="2" applyFont="1" applyBorder="1" applyAlignment="1">
      <alignment horizontal="center" vertical="center"/>
    </xf>
    <xf numFmtId="4" fontId="5" fillId="6" borderId="34" xfId="0" applyNumberFormat="1" applyFont="1" applyFill="1" applyBorder="1" applyAlignment="1">
      <alignment horizontal="left" vertical="center"/>
    </xf>
    <xf numFmtId="42" fontId="6" fillId="6" borderId="22" xfId="2" applyFont="1" applyFill="1" applyBorder="1" applyAlignment="1">
      <alignment vertical="center"/>
    </xf>
    <xf numFmtId="42" fontId="6" fillId="6" borderId="16" xfId="2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0" xfId="0" applyFont="1"/>
    <xf numFmtId="0" fontId="6" fillId="0" borderId="51" xfId="0" applyFont="1" applyBorder="1" applyAlignment="1">
      <alignment horizontal="center" vertical="center"/>
    </xf>
    <xf numFmtId="42" fontId="6" fillId="0" borderId="1" xfId="2" applyFont="1" applyFill="1" applyBorder="1" applyAlignment="1">
      <alignment vertical="center"/>
    </xf>
    <xf numFmtId="42" fontId="6" fillId="0" borderId="8" xfId="2" applyFont="1" applyFill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5" fillId="6" borderId="31" xfId="0" applyFont="1" applyFill="1" applyBorder="1" applyAlignment="1">
      <alignment vertical="center"/>
    </xf>
    <xf numFmtId="42" fontId="6" fillId="6" borderId="8" xfId="2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Continuous" vertical="center"/>
    </xf>
    <xf numFmtId="9" fontId="6" fillId="0" borderId="1" xfId="3" applyFont="1" applyBorder="1" applyAlignment="1">
      <alignment vertical="center"/>
    </xf>
    <xf numFmtId="0" fontId="6" fillId="0" borderId="57" xfId="0" applyFont="1" applyBorder="1" applyAlignment="1">
      <alignment vertical="center"/>
    </xf>
    <xf numFmtId="0" fontId="6" fillId="0" borderId="57" xfId="0" applyFont="1" applyBorder="1" applyAlignment="1">
      <alignment horizontal="center" vertical="center"/>
    </xf>
    <xf numFmtId="2" fontId="6" fillId="0" borderId="57" xfId="0" applyNumberFormat="1" applyFont="1" applyBorder="1" applyAlignment="1">
      <alignment horizontal="center" vertical="center"/>
    </xf>
    <xf numFmtId="3" fontId="0" fillId="0" borderId="0" xfId="0" applyNumberFormat="1"/>
    <xf numFmtId="4" fontId="11" fillId="6" borderId="34" xfId="0" applyNumberFormat="1" applyFont="1" applyFill="1" applyBorder="1" applyAlignment="1">
      <alignment horizontal="left" vertical="center"/>
    </xf>
    <xf numFmtId="9" fontId="6" fillId="0" borderId="1" xfId="3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2" fontId="0" fillId="0" borderId="0" xfId="2" applyFont="1"/>
    <xf numFmtId="42" fontId="6" fillId="0" borderId="1" xfId="2" applyFont="1" applyFill="1" applyBorder="1" applyAlignment="1">
      <alignment horizontal="center" vertical="center"/>
    </xf>
    <xf numFmtId="42" fontId="9" fillId="0" borderId="8" xfId="2" applyFont="1" applyFill="1" applyBorder="1" applyAlignment="1">
      <alignment vertical="center"/>
    </xf>
    <xf numFmtId="42" fontId="7" fillId="0" borderId="0" xfId="2" applyFont="1"/>
    <xf numFmtId="0" fontId="5" fillId="2" borderId="8" xfId="0" applyFont="1" applyFill="1" applyBorder="1" applyAlignment="1">
      <alignment vertical="center"/>
    </xf>
    <xf numFmtId="42" fontId="6" fillId="2" borderId="10" xfId="2" applyFont="1" applyFill="1" applyBorder="1" applyAlignment="1">
      <alignment vertical="center"/>
    </xf>
    <xf numFmtId="4" fontId="5" fillId="2" borderId="34" xfId="0" applyNumberFormat="1" applyFont="1" applyFill="1" applyBorder="1" applyAlignment="1">
      <alignment horizontal="left" vertical="center"/>
    </xf>
    <xf numFmtId="42" fontId="6" fillId="2" borderId="22" xfId="2" applyFont="1" applyFill="1" applyBorder="1" applyAlignment="1">
      <alignment vertical="center"/>
    </xf>
    <xf numFmtId="42" fontId="6" fillId="2" borderId="16" xfId="2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42" fontId="6" fillId="0" borderId="11" xfId="2" applyFont="1" applyFill="1" applyBorder="1" applyAlignment="1">
      <alignment horizontal="center" vertical="center"/>
    </xf>
    <xf numFmtId="42" fontId="6" fillId="0" borderId="13" xfId="2" applyFont="1" applyFill="1" applyBorder="1" applyAlignment="1">
      <alignment vertical="center"/>
    </xf>
    <xf numFmtId="42" fontId="6" fillId="0" borderId="29" xfId="2" applyFont="1" applyFill="1" applyBorder="1" applyAlignment="1">
      <alignment vertical="center"/>
    </xf>
    <xf numFmtId="42" fontId="6" fillId="0" borderId="24" xfId="2" applyFont="1" applyFill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42" fontId="6" fillId="0" borderId="56" xfId="2" applyFont="1" applyBorder="1" applyAlignment="1">
      <alignment horizontal="center" vertical="center"/>
    </xf>
    <xf numFmtId="0" fontId="7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42" fontId="7" fillId="0" borderId="0" xfId="2" applyFont="1" applyFill="1" applyBorder="1" applyAlignment="1">
      <alignment vertical="center"/>
    </xf>
    <xf numFmtId="42" fontId="7" fillId="0" borderId="24" xfId="2" applyFont="1" applyFill="1" applyBorder="1" applyAlignment="1">
      <alignment vertical="center"/>
    </xf>
    <xf numFmtId="44" fontId="9" fillId="0" borderId="1" xfId="4" applyNumberFormat="1" applyFont="1" applyBorder="1" applyAlignment="1">
      <alignment horizontal="center"/>
    </xf>
    <xf numFmtId="42" fontId="6" fillId="0" borderId="1" xfId="0" applyNumberFormat="1" applyFont="1" applyFill="1" applyBorder="1" applyAlignment="1">
      <alignment horizontal="center" vertical="center"/>
    </xf>
    <xf numFmtId="42" fontId="6" fillId="7" borderId="8" xfId="2" applyFont="1" applyFill="1" applyBorder="1" applyAlignment="1">
      <alignment vertical="center"/>
    </xf>
    <xf numFmtId="0" fontId="6" fillId="6" borderId="0" xfId="0" applyFont="1" applyFill="1" applyBorder="1" applyAlignment="1">
      <alignment vertical="center"/>
    </xf>
    <xf numFmtId="0" fontId="1" fillId="0" borderId="0" xfId="0" applyFont="1"/>
    <xf numFmtId="4" fontId="5" fillId="5" borderId="34" xfId="0" applyNumberFormat="1" applyFont="1" applyFill="1" applyBorder="1" applyAlignment="1">
      <alignment horizontal="left" vertical="center"/>
    </xf>
    <xf numFmtId="0" fontId="5" fillId="5" borderId="31" xfId="0" applyFont="1" applyFill="1" applyBorder="1" applyAlignment="1">
      <alignment vertical="center"/>
    </xf>
    <xf numFmtId="42" fontId="1" fillId="0" borderId="0" xfId="2" applyFont="1"/>
    <xf numFmtId="0" fontId="5" fillId="9" borderId="8" xfId="0" applyFont="1" applyFill="1" applyBorder="1" applyAlignment="1">
      <alignment vertical="center"/>
    </xf>
    <xf numFmtId="42" fontId="6" fillId="9" borderId="10" xfId="2" applyFont="1" applyFill="1" applyBorder="1" applyAlignment="1">
      <alignment vertical="center"/>
    </xf>
    <xf numFmtId="42" fontId="6" fillId="9" borderId="1" xfId="2" applyFont="1" applyFill="1" applyBorder="1" applyAlignment="1">
      <alignment horizontal="center" vertical="center"/>
    </xf>
    <xf numFmtId="4" fontId="5" fillId="9" borderId="34" xfId="0" applyNumberFormat="1" applyFont="1" applyFill="1" applyBorder="1" applyAlignment="1">
      <alignment horizontal="left" vertical="center"/>
    </xf>
    <xf numFmtId="42" fontId="6" fillId="9" borderId="22" xfId="2" applyFont="1" applyFill="1" applyBorder="1" applyAlignment="1">
      <alignment vertical="center"/>
    </xf>
    <xf numFmtId="42" fontId="6" fillId="9" borderId="16" xfId="2" applyFont="1" applyFill="1" applyBorder="1" applyAlignment="1">
      <alignment vertical="center"/>
    </xf>
    <xf numFmtId="0" fontId="5" fillId="9" borderId="31" xfId="0" applyFont="1" applyFill="1" applyBorder="1" applyAlignment="1">
      <alignment vertical="center"/>
    </xf>
    <xf numFmtId="0" fontId="6" fillId="9" borderId="0" xfId="0" applyFont="1" applyFill="1" applyBorder="1" applyAlignment="1">
      <alignment vertical="center"/>
    </xf>
    <xf numFmtId="42" fontId="9" fillId="0" borderId="1" xfId="2" applyFont="1" applyBorder="1" applyAlignment="1">
      <alignment horizontal="center"/>
    </xf>
    <xf numFmtId="42" fontId="6" fillId="9" borderId="8" xfId="2" applyFont="1" applyFill="1" applyBorder="1" applyAlignment="1">
      <alignment vertical="center"/>
    </xf>
    <xf numFmtId="42" fontId="6" fillId="0" borderId="10" xfId="2" applyFont="1" applyBorder="1" applyAlignment="1">
      <alignment horizontal="center" vertical="center"/>
    </xf>
    <xf numFmtId="42" fontId="6" fillId="0" borderId="1" xfId="2" applyFont="1" applyBorder="1" applyAlignment="1">
      <alignment vertical="center"/>
    </xf>
    <xf numFmtId="42" fontId="6" fillId="0" borderId="28" xfId="2" applyFont="1" applyBorder="1" applyAlignment="1">
      <alignment vertical="center"/>
    </xf>
    <xf numFmtId="42" fontId="6" fillId="0" borderId="10" xfId="2" applyFont="1" applyBorder="1" applyAlignment="1">
      <alignment horizontal="center" vertical="center" wrapText="1"/>
    </xf>
    <xf numFmtId="42" fontId="6" fillId="0" borderId="51" xfId="2" applyFont="1" applyBorder="1" applyAlignment="1">
      <alignment horizontal="center" vertical="center"/>
    </xf>
    <xf numFmtId="42" fontId="6" fillId="0" borderId="57" xfId="2" applyFont="1" applyBorder="1" applyAlignment="1">
      <alignment horizontal="center" vertical="center"/>
    </xf>
    <xf numFmtId="42" fontId="6" fillId="0" borderId="57" xfId="2" applyFont="1" applyBorder="1" applyAlignment="1">
      <alignment vertical="center"/>
    </xf>
    <xf numFmtId="42" fontId="6" fillId="0" borderId="10" xfId="2" applyFont="1" applyFill="1" applyBorder="1" applyAlignment="1">
      <alignment horizontal="center" vertical="center"/>
    </xf>
    <xf numFmtId="42" fontId="6" fillId="0" borderId="28" xfId="2" applyFont="1" applyFill="1" applyBorder="1" applyAlignment="1">
      <alignment vertical="center"/>
    </xf>
    <xf numFmtId="42" fontId="6" fillId="0" borderId="51" xfId="2" applyFont="1" applyBorder="1" applyAlignment="1">
      <alignment horizontal="center" vertical="center" wrapText="1"/>
    </xf>
    <xf numFmtId="42" fontId="9" fillId="0" borderId="1" xfId="2" applyFont="1" applyBorder="1" applyAlignment="1">
      <alignment vertical="center"/>
    </xf>
    <xf numFmtId="42" fontId="6" fillId="0" borderId="58" xfId="2" applyFont="1" applyBorder="1" applyAlignment="1">
      <alignment vertical="center"/>
    </xf>
    <xf numFmtId="42" fontId="6" fillId="0" borderId="0" xfId="2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10" fontId="4" fillId="2" borderId="60" xfId="3" applyNumberFormat="1" applyFont="1" applyFill="1" applyBorder="1" applyAlignment="1">
      <alignment horizontal="center" vertical="justify"/>
    </xf>
    <xf numFmtId="0" fontId="2" fillId="3" borderId="51" xfId="0" applyFont="1" applyFill="1" applyBorder="1" applyAlignment="1">
      <alignment wrapText="1"/>
    </xf>
    <xf numFmtId="0" fontId="4" fillId="2" borderId="8" xfId="0" applyFont="1" applyFill="1" applyBorder="1" applyAlignment="1">
      <alignment horizontal="center" vertical="justify" wrapText="1"/>
    </xf>
    <xf numFmtId="0" fontId="2" fillId="3" borderId="5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justify"/>
    </xf>
    <xf numFmtId="42" fontId="4" fillId="2" borderId="31" xfId="2" applyFont="1" applyFill="1" applyBorder="1" applyAlignment="1">
      <alignment horizontal="center" vertical="justify"/>
    </xf>
    <xf numFmtId="0" fontId="14" fillId="0" borderId="61" xfId="0" applyFont="1" applyBorder="1" applyAlignment="1">
      <alignment vertical="center"/>
    </xf>
    <xf numFmtId="10" fontId="15" fillId="0" borderId="62" xfId="3" applyNumberFormat="1" applyFont="1" applyBorder="1" applyAlignment="1">
      <alignment horizontal="center" vertical="center" wrapText="1"/>
    </xf>
    <xf numFmtId="10" fontId="18" fillId="0" borderId="16" xfId="3" applyNumberFormat="1" applyFont="1" applyBorder="1" applyAlignment="1">
      <alignment horizontal="center" vertical="center" wrapText="1"/>
    </xf>
    <xf numFmtId="42" fontId="0" fillId="0" borderId="1" xfId="2" applyFont="1" applyBorder="1" applyAlignment="1">
      <alignment horizontal="center"/>
    </xf>
    <xf numFmtId="42" fontId="0" fillId="3" borderId="1" xfId="2" applyFont="1" applyFill="1" applyBorder="1"/>
    <xf numFmtId="42" fontId="15" fillId="0" borderId="62" xfId="2" applyFont="1" applyBorder="1" applyAlignment="1">
      <alignment horizontal="right" vertical="center"/>
    </xf>
    <xf numFmtId="10" fontId="0" fillId="0" borderId="0" xfId="3" applyNumberFormat="1" applyFont="1" applyAlignment="1">
      <alignment horizontal="center"/>
    </xf>
    <xf numFmtId="10" fontId="0" fillId="3" borderId="1" xfId="3" applyNumberFormat="1" applyFont="1" applyFill="1" applyBorder="1" applyAlignment="1">
      <alignment horizontal="center"/>
    </xf>
    <xf numFmtId="10" fontId="0" fillId="0" borderId="1" xfId="3" applyNumberFormat="1" applyFont="1" applyBorder="1" applyAlignment="1">
      <alignment horizontal="center"/>
    </xf>
    <xf numFmtId="10" fontId="0" fillId="0" borderId="0" xfId="3" applyNumberFormat="1" applyFont="1"/>
    <xf numFmtId="10" fontId="0" fillId="3" borderId="1" xfId="3" applyNumberFormat="1" applyFont="1" applyFill="1" applyBorder="1"/>
    <xf numFmtId="10" fontId="0" fillId="0" borderId="1" xfId="3" applyNumberFormat="1" applyFont="1" applyBorder="1"/>
    <xf numFmtId="10" fontId="16" fillId="0" borderId="62" xfId="3" applyNumberFormat="1" applyFont="1" applyBorder="1" applyAlignment="1">
      <alignment horizontal="center" vertical="center"/>
    </xf>
    <xf numFmtId="10" fontId="19" fillId="0" borderId="16" xfId="3" applyNumberFormat="1" applyFont="1" applyBorder="1" applyAlignment="1">
      <alignment horizontal="right" vertical="center"/>
    </xf>
    <xf numFmtId="10" fontId="19" fillId="0" borderId="16" xfId="3" applyNumberFormat="1" applyFont="1" applyBorder="1" applyAlignment="1">
      <alignment horizontal="right" vertical="center" wrapText="1"/>
    </xf>
    <xf numFmtId="10" fontId="16" fillId="0" borderId="62" xfId="3" applyNumberFormat="1" applyFont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justify"/>
    </xf>
    <xf numFmtId="0" fontId="8" fillId="0" borderId="0" xfId="5"/>
    <xf numFmtId="0" fontId="23" fillId="0" borderId="0" xfId="5" applyFont="1"/>
    <xf numFmtId="0" fontId="24" fillId="0" borderId="0" xfId="5" applyFont="1"/>
    <xf numFmtId="0" fontId="23" fillId="10" borderId="1" xfId="5" applyFont="1" applyFill="1" applyBorder="1" applyAlignment="1">
      <alignment horizontal="center" vertical="center"/>
    </xf>
    <xf numFmtId="0" fontId="23" fillId="10" borderId="1" xfId="5" applyFont="1" applyFill="1" applyBorder="1" applyAlignment="1">
      <alignment horizontal="center" vertical="justify"/>
    </xf>
    <xf numFmtId="167" fontId="7" fillId="0" borderId="1" xfId="6" applyFont="1" applyBorder="1" applyAlignment="1">
      <alignment horizontal="center" vertical="center"/>
    </xf>
    <xf numFmtId="1" fontId="7" fillId="0" borderId="1" xfId="7" applyNumberFormat="1" applyFont="1" applyBorder="1" applyAlignment="1">
      <alignment horizontal="right"/>
    </xf>
    <xf numFmtId="1" fontId="7" fillId="0" borderId="1" xfId="6" applyNumberFormat="1" applyFont="1" applyBorder="1" applyAlignment="1">
      <alignment horizontal="center"/>
    </xf>
    <xf numFmtId="1" fontId="8" fillId="0" borderId="1" xfId="5" applyNumberFormat="1" applyBorder="1"/>
    <xf numFmtId="0" fontId="25" fillId="0" borderId="0" xfId="5" applyFont="1"/>
    <xf numFmtId="2" fontId="7" fillId="0" borderId="1" xfId="7" applyNumberFormat="1" applyFont="1" applyBorder="1" applyAlignment="1">
      <alignment horizontal="right"/>
    </xf>
    <xf numFmtId="2" fontId="23" fillId="0" borderId="1" xfId="7" applyNumberFormat="1" applyFont="1" applyBorder="1" applyAlignment="1">
      <alignment horizontal="right"/>
    </xf>
    <xf numFmtId="10" fontId="7" fillId="0" borderId="0" xfId="7" applyNumberFormat="1" applyFont="1" applyAlignment="1">
      <alignment horizontal="center"/>
    </xf>
    <xf numFmtId="10" fontId="23" fillId="11" borderId="1" xfId="5" applyNumberFormat="1" applyFont="1" applyFill="1" applyBorder="1" applyAlignment="1">
      <alignment horizontal="center"/>
    </xf>
    <xf numFmtId="9" fontId="7" fillId="0" borderId="0" xfId="7" applyFont="1" applyAlignment="1">
      <alignment horizontal="center"/>
    </xf>
    <xf numFmtId="9" fontId="23" fillId="0" borderId="0" xfId="5" applyNumberFormat="1" applyFont="1" applyAlignment="1">
      <alignment horizontal="center"/>
    </xf>
    <xf numFmtId="0" fontId="8" fillId="0" borderId="0" xfId="5" applyAlignment="1">
      <alignment horizontal="center"/>
    </xf>
    <xf numFmtId="14" fontId="8" fillId="0" borderId="0" xfId="5" applyNumberFormat="1"/>
    <xf numFmtId="0" fontId="23" fillId="11" borderId="1" xfId="5" applyFont="1" applyFill="1" applyBorder="1" applyAlignment="1">
      <alignment horizontal="center" vertical="justify"/>
    </xf>
    <xf numFmtId="0" fontId="23" fillId="11" borderId="1" xfId="5" applyFont="1" applyFill="1" applyBorder="1" applyAlignment="1">
      <alignment horizontal="center" vertical="center"/>
    </xf>
    <xf numFmtId="168" fontId="26" fillId="12" borderId="1" xfId="8" applyFont="1" applyFill="1" applyBorder="1" applyAlignment="1">
      <alignment horizontal="left"/>
    </xf>
    <xf numFmtId="168" fontId="7" fillId="0" borderId="1" xfId="8" applyFont="1" applyBorder="1"/>
    <xf numFmtId="168" fontId="7" fillId="0" borderId="1" xfId="8" applyFont="1" applyBorder="1" applyAlignment="1">
      <alignment horizontal="center"/>
    </xf>
    <xf numFmtId="168" fontId="7" fillId="0" borderId="1" xfId="8" applyFont="1" applyBorder="1" applyAlignment="1">
      <alignment vertical="center"/>
    </xf>
    <xf numFmtId="168" fontId="8" fillId="0" borderId="1" xfId="8" applyBorder="1" applyAlignment="1">
      <alignment horizontal="center"/>
    </xf>
    <xf numFmtId="0" fontId="8" fillId="0" borderId="1" xfId="5" applyBorder="1"/>
    <xf numFmtId="168" fontId="23" fillId="0" borderId="1" xfId="8" applyFont="1" applyBorder="1" applyAlignment="1">
      <alignment horizontal="center"/>
    </xf>
    <xf numFmtId="168" fontId="7" fillId="0" borderId="0" xfId="8" applyFont="1"/>
    <xf numFmtId="168" fontId="7" fillId="0" borderId="65" xfId="8" applyFont="1" applyBorder="1"/>
    <xf numFmtId="168" fontId="7" fillId="0" borderId="57" xfId="8" applyFont="1" applyBorder="1"/>
    <xf numFmtId="168" fontId="23" fillId="0" borderId="58" xfId="8" applyFont="1" applyBorder="1" applyAlignment="1">
      <alignment horizontal="center"/>
    </xf>
    <xf numFmtId="168" fontId="7" fillId="0" borderId="51" xfId="8" applyFont="1" applyBorder="1"/>
    <xf numFmtId="168" fontId="23" fillId="0" borderId="51" xfId="8" applyFont="1" applyBorder="1" applyAlignment="1">
      <alignment horizontal="center"/>
    </xf>
    <xf numFmtId="8" fontId="12" fillId="0" borderId="0" xfId="0" applyNumberFormat="1" applyFont="1" applyFill="1"/>
    <xf numFmtId="10" fontId="6" fillId="0" borderId="1" xfId="0" applyNumberFormat="1" applyFont="1" applyFill="1" applyBorder="1" applyAlignment="1">
      <alignment vertical="center"/>
    </xf>
    <xf numFmtId="0" fontId="0" fillId="8" borderId="0" xfId="0" applyFill="1"/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44" fontId="6" fillId="0" borderId="1" xfId="1" applyFont="1" applyBorder="1" applyAlignment="1">
      <alignment vertical="center"/>
    </xf>
    <xf numFmtId="0" fontId="0" fillId="0" borderId="15" xfId="0" applyBorder="1" applyAlignment="1">
      <alignment horizont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0" fontId="6" fillId="0" borderId="51" xfId="0" applyNumberFormat="1" applyFont="1" applyFill="1" applyBorder="1" applyAlignment="1">
      <alignment vertical="center"/>
    </xf>
    <xf numFmtId="0" fontId="6" fillId="0" borderId="23" xfId="0" applyNumberFormat="1" applyFont="1" applyFill="1" applyBorder="1" applyAlignment="1">
      <alignment vertical="center"/>
    </xf>
    <xf numFmtId="10" fontId="6" fillId="0" borderId="51" xfId="0" applyNumberFormat="1" applyFont="1" applyBorder="1" applyAlignment="1">
      <alignment horizontal="right" vertical="center"/>
    </xf>
    <xf numFmtId="0" fontId="20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42" fontId="6" fillId="0" borderId="51" xfId="2" applyFont="1" applyBorder="1" applyAlignment="1">
      <alignment horizontal="centerContinuous" vertical="center"/>
    </xf>
    <xf numFmtId="10" fontId="6" fillId="0" borderId="51" xfId="0" applyNumberFormat="1" applyFont="1" applyBorder="1" applyAlignment="1">
      <alignment horizontal="center" vertical="center"/>
    </xf>
    <xf numFmtId="42" fontId="6" fillId="0" borderId="51" xfId="0" applyNumberFormat="1" applyFont="1" applyBorder="1" applyAlignment="1">
      <alignment horizontal="centerContinuous" vertical="center"/>
    </xf>
    <xf numFmtId="42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42" fontId="7" fillId="0" borderId="0" xfId="2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2" fontId="6" fillId="0" borderId="0" xfId="2" applyFont="1" applyAlignment="1">
      <alignment vertical="center"/>
    </xf>
    <xf numFmtId="42" fontId="6" fillId="0" borderId="0" xfId="2" applyFont="1" applyAlignment="1">
      <alignment vertical="center" wrapText="1"/>
    </xf>
    <xf numFmtId="0" fontId="6" fillId="5" borderId="0" xfId="0" applyFont="1" applyFill="1" applyAlignment="1">
      <alignment vertical="center"/>
    </xf>
    <xf numFmtId="0" fontId="6" fillId="0" borderId="35" xfId="0" applyFont="1" applyBorder="1" applyAlignment="1">
      <alignment vertical="center"/>
    </xf>
    <xf numFmtId="42" fontId="9" fillId="0" borderId="1" xfId="4" applyNumberFormat="1" applyFont="1" applyBorder="1" applyAlignment="1">
      <alignment horizontal="center"/>
    </xf>
    <xf numFmtId="42" fontId="6" fillId="0" borderId="1" xfId="0" applyNumberFormat="1" applyFont="1" applyBorder="1" applyAlignment="1">
      <alignment horizontal="center" vertical="center"/>
    </xf>
    <xf numFmtId="10" fontId="6" fillId="0" borderId="45" xfId="0" applyNumberFormat="1" applyFont="1" applyBorder="1" applyAlignment="1">
      <alignment horizontal="center" vertical="center"/>
    </xf>
    <xf numFmtId="42" fontId="6" fillId="0" borderId="45" xfId="2" applyFont="1" applyBorder="1" applyAlignment="1">
      <alignment vertical="center"/>
    </xf>
    <xf numFmtId="10" fontId="6" fillId="0" borderId="49" xfId="0" applyNumberFormat="1" applyFont="1" applyBorder="1" applyAlignment="1">
      <alignment horizontal="center" vertical="center"/>
    </xf>
    <xf numFmtId="42" fontId="6" fillId="0" borderId="49" xfId="2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0" borderId="0" xfId="0" applyFont="1" applyFill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1" fillId="8" borderId="0" xfId="0" applyFont="1" applyFill="1"/>
    <xf numFmtId="0" fontId="7" fillId="0" borderId="0" xfId="0" applyFont="1" applyFill="1"/>
    <xf numFmtId="0" fontId="7" fillId="0" borderId="0" xfId="0" applyFont="1" applyFill="1" applyAlignment="1">
      <alignment vertical="center"/>
    </xf>
    <xf numFmtId="2" fontId="6" fillId="0" borderId="1" xfId="0" applyNumberFormat="1" applyFont="1" applyBorder="1" applyAlignment="1">
      <alignment vertical="center"/>
    </xf>
    <xf numFmtId="10" fontId="6" fillId="0" borderId="1" xfId="0" applyNumberFormat="1" applyFont="1" applyBorder="1" applyAlignment="1">
      <alignment vertical="center"/>
    </xf>
    <xf numFmtId="0" fontId="0" fillId="13" borderId="0" xfId="0" applyFill="1"/>
    <xf numFmtId="17" fontId="6" fillId="6" borderId="16" xfId="0" applyNumberFormat="1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166" fontId="6" fillId="0" borderId="1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9" fillId="0" borderId="1" xfId="4" applyFont="1" applyBorder="1" applyAlignment="1">
      <alignment horizontal="center"/>
    </xf>
    <xf numFmtId="3" fontId="6" fillId="0" borderId="8" xfId="0" applyNumberFormat="1" applyFont="1" applyBorder="1" applyAlignment="1">
      <alignment vertical="center"/>
    </xf>
    <xf numFmtId="10" fontId="0" fillId="0" borderId="1" xfId="3" applyNumberFormat="1" applyFont="1" applyFill="1" applyBorder="1"/>
    <xf numFmtId="10" fontId="21" fillId="14" borderId="1" xfId="3" applyNumberFormat="1" applyFont="1" applyFill="1" applyBorder="1"/>
    <xf numFmtId="10" fontId="0" fillId="14" borderId="1" xfId="3" applyNumberFormat="1" applyFont="1" applyFill="1" applyBorder="1"/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0" fillId="8" borderId="0" xfId="0" applyFont="1" applyFill="1"/>
    <xf numFmtId="0" fontId="7" fillId="0" borderId="1" xfId="0" applyFont="1" applyBorder="1" applyAlignment="1">
      <alignment horizontal="center"/>
    </xf>
    <xf numFmtId="0" fontId="30" fillId="3" borderId="1" xfId="0" applyFont="1" applyFill="1" applyBorder="1"/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7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justify" wrapText="1"/>
    </xf>
    <xf numFmtId="0" fontId="9" fillId="0" borderId="0" xfId="0" applyFont="1"/>
    <xf numFmtId="0" fontId="31" fillId="3" borderId="1" xfId="0" applyFont="1" applyFill="1" applyBorder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32" fillId="0" borderId="1" xfId="0" applyFont="1" applyBorder="1"/>
    <xf numFmtId="2" fontId="7" fillId="0" borderId="1" xfId="0" applyNumberFormat="1" applyFont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Border="1"/>
    <xf numFmtId="0" fontId="29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30" fillId="3" borderId="1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42" fontId="30" fillId="2" borderId="1" xfId="2" applyFont="1" applyFill="1" applyBorder="1" applyAlignment="1">
      <alignment horizontal="center" vertical="center"/>
    </xf>
    <xf numFmtId="44" fontId="30" fillId="2" borderId="1" xfId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vertical="center"/>
    </xf>
    <xf numFmtId="42" fontId="30" fillId="3" borderId="1" xfId="2" applyFont="1" applyFill="1" applyBorder="1" applyAlignment="1">
      <alignment vertical="center"/>
    </xf>
    <xf numFmtId="0" fontId="30" fillId="0" borderId="0" xfId="0" applyFont="1" applyAlignment="1">
      <alignment vertical="center"/>
    </xf>
    <xf numFmtId="42" fontId="30" fillId="0" borderId="0" xfId="2" applyFont="1" applyAlignment="1">
      <alignment vertical="center"/>
    </xf>
    <xf numFmtId="0" fontId="30" fillId="0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horizontal="right" vertical="center"/>
    </xf>
    <xf numFmtId="169" fontId="7" fillId="0" borderId="1" xfId="2" applyNumberFormat="1" applyFont="1" applyBorder="1" applyAlignment="1">
      <alignment vertical="center"/>
    </xf>
    <xf numFmtId="42" fontId="7" fillId="0" borderId="0" xfId="0" applyNumberFormat="1" applyFont="1" applyAlignment="1">
      <alignment vertical="center"/>
    </xf>
    <xf numFmtId="44" fontId="7" fillId="0" borderId="0" xfId="0" applyNumberFormat="1" applyFont="1" applyFill="1" applyAlignment="1">
      <alignment vertical="center"/>
    </xf>
    <xf numFmtId="2" fontId="30" fillId="3" borderId="1" xfId="0" applyNumberFormat="1" applyFont="1" applyFill="1" applyBorder="1" applyAlignment="1">
      <alignment horizontal="right" vertical="center"/>
    </xf>
    <xf numFmtId="169" fontId="30" fillId="3" borderId="1" xfId="2" applyNumberFormat="1" applyFont="1" applyFill="1" applyBorder="1" applyAlignment="1">
      <alignment vertical="center"/>
    </xf>
    <xf numFmtId="169" fontId="30" fillId="3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2" fontId="7" fillId="0" borderId="1" xfId="0" applyNumberFormat="1" applyFont="1" applyFill="1" applyBorder="1" applyAlignment="1">
      <alignment horizontal="right" vertical="center"/>
    </xf>
    <xf numFmtId="169" fontId="7" fillId="0" borderId="1" xfId="2" applyNumberFormat="1" applyFont="1" applyFill="1" applyBorder="1" applyAlignment="1">
      <alignment vertical="center"/>
    </xf>
    <xf numFmtId="42" fontId="7" fillId="0" borderId="0" xfId="2" applyFont="1" applyFill="1" applyAlignment="1">
      <alignment vertical="center"/>
    </xf>
    <xf numFmtId="169" fontId="9" fillId="0" borderId="1" xfId="2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2" fontId="9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42" fontId="9" fillId="0" borderId="0" xfId="2" applyFont="1" applyAlignment="1">
      <alignment vertical="center"/>
    </xf>
    <xf numFmtId="44" fontId="9" fillId="0" borderId="0" xfId="0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70" fontId="30" fillId="2" borderId="1" xfId="0" applyNumberFormat="1" applyFont="1" applyFill="1" applyBorder="1" applyAlignment="1">
      <alignment vertical="center"/>
    </xf>
    <xf numFmtId="0" fontId="30" fillId="2" borderId="1" xfId="0" applyFont="1" applyFill="1" applyBorder="1" applyAlignment="1">
      <alignment vertical="center" wrapText="1"/>
    </xf>
    <xf numFmtId="170" fontId="30" fillId="2" borderId="1" xfId="0" applyNumberFormat="1" applyFont="1" applyFill="1" applyBorder="1" applyAlignment="1">
      <alignment horizontal="center" vertical="center" wrapText="1"/>
    </xf>
    <xf numFmtId="9" fontId="30" fillId="2" borderId="1" xfId="2" applyNumberFormat="1" applyFont="1" applyFill="1" applyBorder="1" applyAlignment="1">
      <alignment horizontal="center" vertical="center"/>
    </xf>
    <xf numFmtId="9" fontId="7" fillId="4" borderId="1" xfId="3" applyFont="1" applyFill="1" applyBorder="1" applyAlignment="1">
      <alignment horizontal="center" vertical="center"/>
    </xf>
    <xf numFmtId="170" fontId="7" fillId="4" borderId="1" xfId="0" applyNumberFormat="1" applyFont="1" applyFill="1" applyBorder="1" applyAlignment="1">
      <alignment vertical="center"/>
    </xf>
    <xf numFmtId="0" fontId="7" fillId="4" borderId="2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170" fontId="7" fillId="0" borderId="0" xfId="0" applyNumberFormat="1" applyFont="1" applyAlignment="1">
      <alignment vertical="center"/>
    </xf>
    <xf numFmtId="9" fontId="7" fillId="4" borderId="1" xfId="2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/>
    </xf>
    <xf numFmtId="0" fontId="34" fillId="0" borderId="57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4" fontId="35" fillId="0" borderId="1" xfId="0" applyNumberFormat="1" applyFont="1" applyBorder="1" applyAlignment="1">
      <alignment horizontal="right"/>
    </xf>
    <xf numFmtId="0" fontId="35" fillId="0" borderId="59" xfId="0" applyFont="1" applyBorder="1"/>
    <xf numFmtId="0" fontId="35" fillId="0" borderId="1" xfId="0" applyFont="1" applyBorder="1"/>
    <xf numFmtId="0" fontId="35" fillId="0" borderId="51" xfId="0" applyFont="1" applyBorder="1"/>
    <xf numFmtId="0" fontId="35" fillId="0" borderId="0" xfId="0" applyFont="1"/>
    <xf numFmtId="0" fontId="35" fillId="0" borderId="0" xfId="0" applyFont="1" applyAlignment="1">
      <alignment horizontal="right"/>
    </xf>
    <xf numFmtId="0" fontId="34" fillId="0" borderId="0" xfId="0" applyFont="1"/>
    <xf numFmtId="171" fontId="35" fillId="0" borderId="1" xfId="0" applyNumberFormat="1" applyFont="1" applyBorder="1" applyAlignment="1">
      <alignment horizontal="right"/>
    </xf>
    <xf numFmtId="165" fontId="35" fillId="0" borderId="1" xfId="0" applyNumberFormat="1" applyFont="1" applyBorder="1" applyAlignment="1">
      <alignment horizontal="right"/>
    </xf>
    <xf numFmtId="0" fontId="34" fillId="0" borderId="1" xfId="0" applyFont="1" applyBorder="1" applyAlignment="1">
      <alignment horizontal="left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0" fontId="35" fillId="0" borderId="0" xfId="0" applyFont="1" applyAlignment="1">
      <alignment horizontal="left"/>
    </xf>
    <xf numFmtId="172" fontId="35" fillId="0" borderId="1" xfId="9" applyNumberFormat="1" applyFont="1" applyBorder="1"/>
    <xf numFmtId="43" fontId="35" fillId="0" borderId="1" xfId="9" applyFont="1" applyBorder="1"/>
    <xf numFmtId="9" fontId="35" fillId="0" borderId="1" xfId="3" applyFont="1" applyBorder="1" applyAlignment="1">
      <alignment horizontal="center"/>
    </xf>
    <xf numFmtId="3" fontId="35" fillId="0" borderId="1" xfId="0" applyNumberFormat="1" applyFont="1" applyBorder="1" applyAlignment="1">
      <alignment horizontal="right"/>
    </xf>
    <xf numFmtId="0" fontId="36" fillId="0" borderId="0" xfId="0" applyFont="1"/>
    <xf numFmtId="14" fontId="36" fillId="0" borderId="0" xfId="0" applyNumberFormat="1" applyFont="1"/>
    <xf numFmtId="42" fontId="36" fillId="0" borderId="0" xfId="2" applyFont="1"/>
    <xf numFmtId="0" fontId="6" fillId="0" borderId="57" xfId="0" applyFont="1" applyBorder="1" applyAlignment="1">
      <alignment horizontal="left" vertical="center" wrapText="1"/>
    </xf>
    <xf numFmtId="9" fontId="6" fillId="0" borderId="57" xfId="0" applyNumberFormat="1" applyFont="1" applyBorder="1" applyAlignment="1">
      <alignment vertical="center"/>
    </xf>
    <xf numFmtId="42" fontId="6" fillId="0" borderId="58" xfId="2" applyFont="1" applyFill="1" applyBorder="1" applyAlignment="1">
      <alignment vertical="center"/>
    </xf>
    <xf numFmtId="0" fontId="6" fillId="0" borderId="73" xfId="0" applyFont="1" applyBorder="1" applyAlignment="1">
      <alignment horizontal="left" vertical="center"/>
    </xf>
    <xf numFmtId="169" fontId="9" fillId="4" borderId="1" xfId="2" applyNumberFormat="1" applyFont="1" applyFill="1" applyBorder="1" applyAlignment="1">
      <alignment vertical="center"/>
    </xf>
    <xf numFmtId="0" fontId="8" fillId="0" borderId="0" xfId="11"/>
    <xf numFmtId="0" fontId="23" fillId="0" borderId="0" xfId="10" applyFont="1" applyAlignment="1">
      <alignment horizontal="center"/>
    </xf>
    <xf numFmtId="168" fontId="23" fillId="10" borderId="1" xfId="12" applyFont="1" applyFill="1" applyBorder="1" applyAlignment="1">
      <alignment horizontal="center" vertical="center"/>
    </xf>
    <xf numFmtId="0" fontId="1" fillId="0" borderId="0" xfId="10"/>
    <xf numFmtId="0" fontId="23" fillId="0" borderId="0" xfId="10" applyFont="1" applyAlignment="1">
      <alignment vertical="center"/>
    </xf>
    <xf numFmtId="0" fontId="33" fillId="0" borderId="0" xfId="10" applyFont="1" applyAlignment="1">
      <alignment vertical="center"/>
    </xf>
    <xf numFmtId="0" fontId="23" fillId="0" borderId="0" xfId="10" applyFont="1" applyAlignment="1">
      <alignment horizontal="center" vertical="center"/>
    </xf>
    <xf numFmtId="0" fontId="23" fillId="0" borderId="0" xfId="10" applyFont="1" applyAlignment="1">
      <alignment horizontal="left" vertical="center" wrapText="1"/>
    </xf>
    <xf numFmtId="0" fontId="33" fillId="0" borderId="0" xfId="10" applyFont="1" applyAlignment="1">
      <alignment horizontal="justify" vertical="center" wrapText="1"/>
    </xf>
    <xf numFmtId="0" fontId="7" fillId="0" borderId="0" xfId="10" applyFont="1"/>
    <xf numFmtId="0" fontId="38" fillId="0" borderId="0" xfId="10" applyFont="1" applyAlignment="1">
      <alignment vertical="center"/>
    </xf>
    <xf numFmtId="168" fontId="8" fillId="0" borderId="0" xfId="12" applyFont="1" applyAlignment="1">
      <alignment horizontal="center" vertical="center"/>
    </xf>
    <xf numFmtId="168" fontId="8" fillId="0" borderId="0" xfId="12" applyFont="1" applyAlignment="1">
      <alignment horizontal="left" vertical="center"/>
    </xf>
    <xf numFmtId="2" fontId="38" fillId="0" borderId="0" xfId="13" applyNumberFormat="1" applyFont="1" applyAlignment="1">
      <alignment vertical="center"/>
    </xf>
    <xf numFmtId="174" fontId="38" fillId="0" borderId="0" xfId="13" applyNumberFormat="1" applyFont="1" applyAlignment="1">
      <alignment vertical="center"/>
    </xf>
    <xf numFmtId="10" fontId="38" fillId="0" borderId="0" xfId="14" applyNumberFormat="1" applyFont="1" applyAlignment="1">
      <alignment vertical="center"/>
    </xf>
    <xf numFmtId="0" fontId="38" fillId="0" borderId="0" xfId="10" applyFont="1"/>
    <xf numFmtId="168" fontId="38" fillId="0" borderId="0" xfId="12" applyFont="1" applyAlignment="1">
      <alignment vertical="center"/>
    </xf>
    <xf numFmtId="0" fontId="38" fillId="0" borderId="0" xfId="10" applyFont="1" applyAlignment="1">
      <alignment vertical="center" wrapText="1"/>
    </xf>
    <xf numFmtId="174" fontId="38" fillId="0" borderId="0" xfId="10" applyNumberFormat="1" applyFont="1"/>
    <xf numFmtId="0" fontId="8" fillId="0" borderId="0" xfId="13" applyNumberFormat="1" applyFont="1"/>
    <xf numFmtId="174" fontId="8" fillId="0" borderId="0" xfId="13" applyNumberFormat="1" applyFont="1"/>
    <xf numFmtId="10" fontId="38" fillId="0" borderId="0" xfId="14" applyNumberFormat="1" applyFont="1"/>
    <xf numFmtId="0" fontId="23" fillId="0" borderId="0" xfId="10" applyFont="1"/>
    <xf numFmtId="10" fontId="8" fillId="0" borderId="0" xfId="14" applyNumberFormat="1" applyFont="1"/>
    <xf numFmtId="9" fontId="38" fillId="0" borderId="0" xfId="10" applyNumberFormat="1" applyFont="1"/>
    <xf numFmtId="168" fontId="38" fillId="0" borderId="0" xfId="12" applyFont="1"/>
    <xf numFmtId="0" fontId="23" fillId="0" borderId="2" xfId="10" applyFont="1" applyBorder="1"/>
    <xf numFmtId="0" fontId="38" fillId="0" borderId="3" xfId="10" applyFont="1" applyBorder="1"/>
    <xf numFmtId="9" fontId="23" fillId="0" borderId="3" xfId="10" applyNumberFormat="1" applyFont="1" applyBorder="1"/>
    <xf numFmtId="10" fontId="23" fillId="0" borderId="4" xfId="10" applyNumberFormat="1" applyFont="1" applyBorder="1"/>
    <xf numFmtId="10" fontId="38" fillId="0" borderId="0" xfId="10" applyNumberFormat="1" applyFont="1"/>
    <xf numFmtId="9" fontId="23" fillId="0" borderId="0" xfId="10" applyNumberFormat="1" applyFont="1"/>
    <xf numFmtId="175" fontId="38" fillId="0" borderId="0" xfId="10" applyNumberFormat="1" applyFont="1"/>
    <xf numFmtId="0" fontId="8" fillId="0" borderId="0" xfId="10" applyFont="1"/>
    <xf numFmtId="10" fontId="23" fillId="0" borderId="1" xfId="10" applyNumberFormat="1" applyFont="1" applyBorder="1"/>
    <xf numFmtId="0" fontId="7" fillId="0" borderId="0" xfId="11" applyFont="1" applyAlignment="1">
      <alignment horizontal="left"/>
    </xf>
    <xf numFmtId="0" fontId="9" fillId="0" borderId="0" xfId="11" applyFont="1" applyAlignment="1">
      <alignment horizontal="justify"/>
    </xf>
    <xf numFmtId="0" fontId="9" fillId="0" borderId="0" xfId="1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2" fontId="7" fillId="0" borderId="0" xfId="0" applyNumberFormat="1" applyFont="1" applyAlignment="1">
      <alignment vertical="center"/>
    </xf>
    <xf numFmtId="169" fontId="7" fillId="0" borderId="0" xfId="0" applyNumberFormat="1" applyFont="1" applyAlignment="1">
      <alignment vertical="center"/>
    </xf>
    <xf numFmtId="3" fontId="13" fillId="0" borderId="0" xfId="0" applyNumberFormat="1" applyFont="1"/>
    <xf numFmtId="42" fontId="9" fillId="0" borderId="0" xfId="0" applyNumberFormat="1" applyFont="1" applyAlignment="1">
      <alignment vertical="center"/>
    </xf>
    <xf numFmtId="169" fontId="9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2" fontId="7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9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justify" wrapText="1"/>
    </xf>
    <xf numFmtId="0" fontId="9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9" fontId="9" fillId="0" borderId="1" xfId="2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justify" vertical="center" wrapText="1"/>
    </xf>
    <xf numFmtId="2" fontId="9" fillId="0" borderId="1" xfId="0" applyNumberFormat="1" applyFont="1" applyFill="1" applyBorder="1" applyAlignment="1">
      <alignment horizontal="right" vertical="center"/>
    </xf>
    <xf numFmtId="42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42" fontId="9" fillId="0" borderId="0" xfId="2" applyFont="1" applyFill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9" fontId="6" fillId="0" borderId="13" xfId="2" applyNumberFormat="1" applyFont="1" applyBorder="1" applyAlignment="1">
      <alignment vertical="center"/>
    </xf>
    <xf numFmtId="42" fontId="6" fillId="0" borderId="51" xfId="2" applyFont="1" applyFill="1" applyBorder="1" applyAlignment="1">
      <alignment horizontal="centerContinuous" vertical="center"/>
    </xf>
    <xf numFmtId="0" fontId="6" fillId="0" borderId="51" xfId="0" applyFont="1" applyFill="1" applyBorder="1" applyAlignment="1">
      <alignment horizontal="center" vertical="center"/>
    </xf>
    <xf numFmtId="42" fontId="6" fillId="0" borderId="51" xfId="2" applyFont="1" applyFill="1" applyBorder="1" applyAlignment="1">
      <alignment horizontal="center" vertical="center"/>
    </xf>
    <xf numFmtId="42" fontId="9" fillId="0" borderId="1" xfId="2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horizontal="center" vertical="center"/>
    </xf>
    <xf numFmtId="44" fontId="7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2" fontId="6" fillId="0" borderId="24" xfId="2" applyFont="1" applyBorder="1" applyAlignment="1">
      <alignment horizontal="left" vertical="center"/>
    </xf>
    <xf numFmtId="42" fontId="6" fillId="0" borderId="74" xfId="2" applyFont="1" applyBorder="1" applyAlignment="1">
      <alignment horizontal="center" vertical="center"/>
    </xf>
    <xf numFmtId="16" fontId="6" fillId="0" borderId="28" xfId="0" applyNumberFormat="1" applyFont="1" applyBorder="1" applyAlignment="1">
      <alignment horizontal="center" vertical="center"/>
    </xf>
    <xf numFmtId="169" fontId="9" fillId="0" borderId="8" xfId="2" applyNumberFormat="1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7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8" xfId="0" applyFont="1" applyFill="1" applyBorder="1" applyAlignment="1">
      <alignment horizontal="center" vertical="center"/>
    </xf>
    <xf numFmtId="0" fontId="7" fillId="0" borderId="74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left" vertical="center" wrapText="1"/>
    </xf>
    <xf numFmtId="0" fontId="30" fillId="2" borderId="3" xfId="0" applyFont="1" applyFill="1" applyBorder="1" applyAlignment="1">
      <alignment horizontal="left" vertical="center" wrapText="1"/>
    </xf>
    <xf numFmtId="0" fontId="30" fillId="2" borderId="4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3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2" fontId="6" fillId="0" borderId="31" xfId="2" applyFont="1" applyBorder="1" applyAlignment="1">
      <alignment horizontal="left" vertical="center"/>
    </xf>
    <xf numFmtId="42" fontId="6" fillId="0" borderId="32" xfId="2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6" borderId="17" xfId="0" applyFont="1" applyFill="1" applyBorder="1" applyAlignment="1">
      <alignment horizontal="left" vertical="center"/>
    </xf>
    <xf numFmtId="0" fontId="5" fillId="6" borderId="25" xfId="0" applyFont="1" applyFill="1" applyBorder="1" applyAlignment="1">
      <alignment horizontal="left" vertical="center"/>
    </xf>
    <xf numFmtId="42" fontId="6" fillId="0" borderId="34" xfId="2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52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42" fontId="6" fillId="0" borderId="31" xfId="2" applyFont="1" applyBorder="1" applyAlignment="1">
      <alignment horizontal="center" vertical="center"/>
    </xf>
    <xf numFmtId="42" fontId="6" fillId="0" borderId="32" xfId="2" applyFont="1" applyBorder="1" applyAlignment="1">
      <alignment horizontal="center" vertical="center"/>
    </xf>
    <xf numFmtId="42" fontId="6" fillId="0" borderId="34" xfId="2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3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42" fontId="6" fillId="0" borderId="41" xfId="2" applyFont="1" applyBorder="1" applyAlignment="1">
      <alignment horizontal="center" vertical="center"/>
    </xf>
    <xf numFmtId="42" fontId="6" fillId="0" borderId="46" xfId="2" applyFont="1" applyBorder="1" applyAlignment="1">
      <alignment horizontal="center" vertical="center"/>
    </xf>
    <xf numFmtId="42" fontId="6" fillId="0" borderId="50" xfId="2" applyFont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/>
    </xf>
    <xf numFmtId="42" fontId="6" fillId="0" borderId="16" xfId="2" applyFont="1" applyBorder="1" applyAlignment="1">
      <alignment horizontal="left" vertical="center"/>
    </xf>
    <xf numFmtId="0" fontId="6" fillId="0" borderId="54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0" fontId="6" fillId="0" borderId="1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4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66" xfId="0" applyFont="1" applyBorder="1" applyAlignment="1">
      <alignment horizontal="left" vertical="center"/>
    </xf>
    <xf numFmtId="0" fontId="6" fillId="0" borderId="26" xfId="0" applyNumberFormat="1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6" fillId="0" borderId="26" xfId="0" applyFont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3" xfId="0" applyNumberFormat="1" applyFont="1" applyFill="1" applyBorder="1" applyAlignment="1">
      <alignment horizontal="left" vertical="center"/>
    </xf>
    <xf numFmtId="0" fontId="6" fillId="0" borderId="66" xfId="0" applyNumberFormat="1" applyFont="1" applyFill="1" applyBorder="1" applyAlignment="1">
      <alignment horizontal="left" vertical="center"/>
    </xf>
    <xf numFmtId="42" fontId="6" fillId="0" borderId="25" xfId="2" applyFont="1" applyBorder="1" applyAlignment="1">
      <alignment horizontal="center" vertical="center"/>
    </xf>
    <xf numFmtId="42" fontId="6" fillId="0" borderId="24" xfId="2" applyFont="1" applyBorder="1" applyAlignment="1">
      <alignment horizontal="center" vertical="center"/>
    </xf>
    <xf numFmtId="42" fontId="6" fillId="0" borderId="16" xfId="2" applyFont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left" vertical="center" wrapText="1"/>
    </xf>
    <xf numFmtId="0" fontId="6" fillId="0" borderId="66" xfId="0" applyNumberFormat="1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/>
    </xf>
    <xf numFmtId="0" fontId="6" fillId="4" borderId="26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23" xfId="0" applyNumberFormat="1" applyFont="1" applyFill="1" applyBorder="1" applyAlignment="1">
      <alignment horizontal="center" vertical="center"/>
    </xf>
    <xf numFmtId="0" fontId="6" fillId="0" borderId="66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left" vertical="center"/>
    </xf>
    <xf numFmtId="0" fontId="6" fillId="7" borderId="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6" fillId="4" borderId="26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42" fontId="6" fillId="0" borderId="31" xfId="2" applyFont="1" applyFill="1" applyBorder="1" applyAlignment="1">
      <alignment horizontal="center" vertical="center"/>
    </xf>
    <xf numFmtId="42" fontId="6" fillId="0" borderId="32" xfId="2" applyFont="1" applyFill="1" applyBorder="1" applyAlignment="1">
      <alignment horizontal="center" vertical="center"/>
    </xf>
    <xf numFmtId="42" fontId="6" fillId="0" borderId="34" xfId="2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7" fillId="0" borderId="67" xfId="0" applyFont="1" applyBorder="1" applyAlignment="1">
      <alignment horizontal="left" wrapText="1"/>
    </xf>
    <xf numFmtId="0" fontId="7" fillId="0" borderId="53" xfId="0" applyFont="1" applyBorder="1" applyAlignment="1">
      <alignment horizontal="left" wrapText="1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5" borderId="17" xfId="0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9" fillId="0" borderId="12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left" vertical="center"/>
    </xf>
    <xf numFmtId="0" fontId="5" fillId="9" borderId="7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9" borderId="17" xfId="0" applyFont="1" applyFill="1" applyBorder="1" applyAlignment="1">
      <alignment horizontal="left" vertical="center"/>
    </xf>
    <xf numFmtId="0" fontId="5" fillId="9" borderId="25" xfId="0" applyFont="1" applyFill="1" applyBorder="1" applyAlignment="1">
      <alignment horizontal="left" vertical="center"/>
    </xf>
    <xf numFmtId="0" fontId="6" fillId="9" borderId="5" xfId="0" applyFont="1" applyFill="1" applyBorder="1" applyAlignment="1">
      <alignment horizontal="left" vertical="center"/>
    </xf>
    <xf numFmtId="0" fontId="6" fillId="9" borderId="6" xfId="0" applyFont="1" applyFill="1" applyBorder="1" applyAlignment="1">
      <alignment horizontal="left" vertical="center"/>
    </xf>
    <xf numFmtId="0" fontId="6" fillId="9" borderId="7" xfId="0" applyFont="1" applyFill="1" applyBorder="1" applyAlignment="1">
      <alignment horizontal="left" vertical="center"/>
    </xf>
    <xf numFmtId="0" fontId="6" fillId="0" borderId="70" xfId="0" applyFont="1" applyBorder="1" applyAlignment="1">
      <alignment horizontal="left" vertical="center"/>
    </xf>
    <xf numFmtId="0" fontId="6" fillId="0" borderId="71" xfId="0" applyFont="1" applyBorder="1" applyAlignment="1">
      <alignment horizontal="left" vertical="center"/>
    </xf>
    <xf numFmtId="0" fontId="6" fillId="0" borderId="68" xfId="0" applyNumberFormat="1" applyFont="1" applyFill="1" applyBorder="1" applyAlignment="1">
      <alignment horizontal="center" vertical="center"/>
    </xf>
    <xf numFmtId="0" fontId="6" fillId="0" borderId="69" xfId="0" applyNumberFormat="1" applyFont="1" applyFill="1" applyBorder="1" applyAlignment="1">
      <alignment horizontal="center" vertical="center"/>
    </xf>
    <xf numFmtId="0" fontId="35" fillId="0" borderId="1" xfId="0" applyFont="1" applyBorder="1"/>
    <xf numFmtId="0" fontId="35" fillId="0" borderId="1" xfId="0" applyFont="1" applyBorder="1" applyAlignment="1">
      <alignment wrapText="1"/>
    </xf>
    <xf numFmtId="0" fontId="35" fillId="0" borderId="65" xfId="0" applyFont="1" applyBorder="1"/>
    <xf numFmtId="0" fontId="34" fillId="0" borderId="0" xfId="0" applyFont="1" applyAlignment="1">
      <alignment horizontal="center"/>
    </xf>
    <xf numFmtId="0" fontId="34" fillId="15" borderId="0" xfId="0" applyFont="1" applyFill="1" applyAlignment="1">
      <alignment horizontal="left"/>
    </xf>
    <xf numFmtId="0" fontId="34" fillId="0" borderId="72" xfId="0" applyFont="1" applyBorder="1"/>
    <xf numFmtId="0" fontId="34" fillId="0" borderId="1" xfId="0" applyFont="1" applyBorder="1" applyAlignment="1">
      <alignment horizontal="center"/>
    </xf>
    <xf numFmtId="0" fontId="35" fillId="0" borderId="0" xfId="0" applyFont="1"/>
    <xf numFmtId="0" fontId="2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3" fillId="0" borderId="2" xfId="5" applyFont="1" applyBorder="1" applyAlignment="1">
      <alignment horizontal="center"/>
    </xf>
    <xf numFmtId="0" fontId="23" fillId="0" borderId="3" xfId="5" applyFont="1" applyBorder="1" applyAlignment="1">
      <alignment horizontal="center"/>
    </xf>
    <xf numFmtId="0" fontId="23" fillId="0" borderId="4" xfId="5" applyFont="1" applyBorder="1" applyAlignment="1">
      <alignment horizontal="center"/>
    </xf>
    <xf numFmtId="0" fontId="11" fillId="0" borderId="0" xfId="5" applyFont="1" applyAlignment="1">
      <alignment horizontal="center" vertical="center"/>
    </xf>
    <xf numFmtId="0" fontId="23" fillId="10" borderId="2" xfId="5" applyFont="1" applyFill="1" applyBorder="1" applyAlignment="1">
      <alignment horizontal="center" vertical="center"/>
    </xf>
    <xf numFmtId="0" fontId="23" fillId="10" borderId="3" xfId="5" applyFont="1" applyFill="1" applyBorder="1" applyAlignment="1">
      <alignment horizontal="center" vertical="center"/>
    </xf>
    <xf numFmtId="0" fontId="23" fillId="10" borderId="4" xfId="5" applyFont="1" applyFill="1" applyBorder="1" applyAlignment="1">
      <alignment horizontal="center" vertical="center"/>
    </xf>
    <xf numFmtId="0" fontId="8" fillId="0" borderId="2" xfId="5" applyBorder="1"/>
    <xf numFmtId="0" fontId="8" fillId="0" borderId="3" xfId="5" applyBorder="1"/>
    <xf numFmtId="0" fontId="8" fillId="0" borderId="4" xfId="5" applyBorder="1"/>
    <xf numFmtId="0" fontId="8" fillId="0" borderId="2" xfId="5" applyBorder="1" applyAlignment="1">
      <alignment horizontal="left"/>
    </xf>
    <xf numFmtId="0" fontId="8" fillId="0" borderId="3" xfId="5" applyBorder="1" applyAlignment="1">
      <alignment horizontal="left"/>
    </xf>
    <xf numFmtId="0" fontId="8" fillId="0" borderId="4" xfId="5" applyBorder="1" applyAlignment="1">
      <alignment horizontal="left"/>
    </xf>
    <xf numFmtId="0" fontId="8" fillId="0" borderId="1" xfId="5" applyBorder="1"/>
    <xf numFmtId="0" fontId="11" fillId="0" borderId="63" xfId="5" applyFont="1" applyBorder="1" applyAlignment="1">
      <alignment horizontal="center"/>
    </xf>
    <xf numFmtId="0" fontId="11" fillId="0" borderId="0" xfId="5" applyFont="1" applyAlignment="1">
      <alignment horizontal="center"/>
    </xf>
    <xf numFmtId="0" fontId="11" fillId="0" borderId="64" xfId="5" applyFont="1" applyBorder="1" applyAlignment="1">
      <alignment horizontal="center"/>
    </xf>
    <xf numFmtId="0" fontId="23" fillId="11" borderId="1" xfId="5" applyFont="1" applyFill="1" applyBorder="1" applyAlignment="1">
      <alignment horizontal="center" vertical="center"/>
    </xf>
    <xf numFmtId="0" fontId="8" fillId="0" borderId="2" xfId="5" applyBorder="1" applyAlignment="1">
      <alignment horizontal="left" wrapText="1"/>
    </xf>
    <xf numFmtId="0" fontId="8" fillId="0" borderId="4" xfId="5" applyBorder="1" applyAlignment="1">
      <alignment horizontal="left" wrapText="1"/>
    </xf>
    <xf numFmtId="0" fontId="8" fillId="0" borderId="1" xfId="5" applyBorder="1" applyAlignment="1">
      <alignment horizontal="left"/>
    </xf>
    <xf numFmtId="0" fontId="30" fillId="0" borderId="0" xfId="10" applyFont="1" applyAlignment="1">
      <alignment horizontal="center" vertical="center" wrapText="1"/>
    </xf>
    <xf numFmtId="0" fontId="37" fillId="0" borderId="0" xfId="10" applyFont="1" applyAlignment="1">
      <alignment horizontal="center" vertical="center"/>
    </xf>
    <xf numFmtId="0" fontId="23" fillId="0" borderId="2" xfId="10" applyFont="1" applyBorder="1" applyAlignment="1">
      <alignment horizontal="center" vertical="center"/>
    </xf>
    <xf numFmtId="0" fontId="23" fillId="0" borderId="3" xfId="10" applyFont="1" applyBorder="1" applyAlignment="1">
      <alignment horizontal="center" vertical="center"/>
    </xf>
    <xf numFmtId="0" fontId="23" fillId="0" borderId="4" xfId="10" applyFont="1" applyBorder="1" applyAlignment="1">
      <alignment horizontal="center" vertical="center"/>
    </xf>
    <xf numFmtId="0" fontId="7" fillId="0" borderId="0" xfId="11" applyFont="1" applyAlignment="1">
      <alignment horizontal="left" vertical="center"/>
    </xf>
    <xf numFmtId="0" fontId="30" fillId="0" borderId="0" xfId="10" applyFont="1" applyAlignment="1">
      <alignment horizontal="center"/>
    </xf>
    <xf numFmtId="169" fontId="7" fillId="0" borderId="0" xfId="0" applyNumberFormat="1" applyFont="1" applyFill="1" applyAlignment="1">
      <alignment vertical="center"/>
    </xf>
  </cellXfs>
  <cellStyles count="15">
    <cellStyle name="Millares" xfId="9" builtinId="3"/>
    <cellStyle name="Millares [0] 2 2" xfId="13" xr:uid="{69840808-A1BE-475D-B302-E0284A269D7A}"/>
    <cellStyle name="Millares 2" xfId="6" xr:uid="{05B0797D-18E1-4A5B-90F0-54240F336673}"/>
    <cellStyle name="Moneda" xfId="1" builtinId="4"/>
    <cellStyle name="Moneda [0]" xfId="2" builtinId="7"/>
    <cellStyle name="Moneda 2" xfId="8" xr:uid="{AA774E86-AF0F-4B7E-B9F4-BB7DF3D29FB0}"/>
    <cellStyle name="Moneda 2 2 3" xfId="12" xr:uid="{CC5054BB-966A-4931-A7CA-676E611D9C00}"/>
    <cellStyle name="Normal" xfId="0" builtinId="0"/>
    <cellStyle name="Normal 2" xfId="5" xr:uid="{1AAF0DDE-C26A-45CA-BE4A-140B9017C2A6}"/>
    <cellStyle name="Normal 2 2 2 2" xfId="11" xr:uid="{22325D28-6854-4931-8E4B-A874F5BC8AAE}"/>
    <cellStyle name="Normal 6 3" xfId="10" xr:uid="{E0D5892F-C68B-4CAA-8B0D-F319E6F96123}"/>
    <cellStyle name="Normal_UNIT" xfId="4" xr:uid="{BA881A85-ACAE-4B17-8A90-67D6582D0ABF}"/>
    <cellStyle name="Porcentaje" xfId="3" builtinId="5"/>
    <cellStyle name="Porcentaje 2" xfId="7" xr:uid="{1F9A3CE8-6E41-473D-ABDB-364DF5E64665}"/>
    <cellStyle name="Porcentual 4" xfId="14" xr:uid="{E6B23F2E-719F-44B7-A571-B509ED61E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2358017</xdr:colOff>
      <xdr:row>45</xdr:row>
      <xdr:rowOff>-1</xdr:rowOff>
    </xdr:from>
    <xdr:to>
      <xdr:col>2</xdr:col>
      <xdr:colOff>649569</xdr:colOff>
      <xdr:row>47</xdr:row>
      <xdr:rowOff>92926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412BBF-8C34-43CB-88C5-B5A9CBF88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6188" y="18922225"/>
          <a:ext cx="916735" cy="4646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_2\varios%20(e)\Documents%20and%20Settings\morfeo\Mis%20documentos\Diego%20Zapata\INTERVENTORIA%20PADILLA\INFORMES\Informe%20Mes%20de%20Junio\Modelos%20Informes\Info%20La%20Lupa\CUADROS%20NO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NK/Interventorias/Aulas%20Tarabira/Documents%20and%20Settings/Equipo2/Escritorio/Santa%20Barbara/Alcantarillado%20Pluvial%20Santa%20Barbara/Alcantarillado%20Santa%20Barbar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MART~1\AppData\Local\Temp\Users\USUARI~1\AppData\Local\Temp\fintr%202012\Ferias%20propuesta%20Alcaldia%2033.86M2%20-%20%20FINAL%20JULIO%20DEFINITIVO%20presentacion%20ministerio%2015%20jul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D\SkyDrive\CONTABILIDAD-CA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RC-2018/PARQUE%20LA%20VEGA-MORALES/PROYECTO/presupuesto-parque-guayaba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%20ALCALDIA%20DE%20SOTARA/PROYECTOS%202018/Cancha%20sintetica%20La%20Esperanza%20y%20Buenavista/APU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"/>
      <sheetName val="Varios"/>
      <sheetName val="proveedores"/>
    </sheetNames>
    <sheetDataSet>
      <sheetData sheetId="0">
        <row r="5">
          <cell r="B5" t="str">
            <v>T1</v>
          </cell>
        </row>
      </sheetData>
      <sheetData sheetId="1">
        <row r="2">
          <cell r="B2">
            <v>100</v>
          </cell>
        </row>
      </sheetData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A"/>
      <sheetName val="CUADRO B"/>
      <sheetName val="CUADRO C"/>
      <sheetName val="CUADRO 1 Y 7 PERS."/>
      <sheetName val="CUAD 2 EQUIPO CONT."/>
      <sheetName val="CUADRO 3"/>
      <sheetName val="CUADRO 4"/>
      <sheetName val="CUADRO 4A"/>
      <sheetName val="CUADRO 4B"/>
      <sheetName val="CUADRO 5 INF. MENSUAL"/>
      <sheetName val="CUAD.6 ESTADO TIEMPO"/>
      <sheetName val="CUAD 8 EQUIPO INT. "/>
      <sheetName val="CUAD 9 INF FINAN INTER "/>
      <sheetName val="CUAD 10. PRO INV"/>
      <sheetName val="FORMATO 008 (B)"/>
    </sheetNames>
    <sheetDataSet>
      <sheetData sheetId="0"/>
      <sheetData sheetId="1"/>
      <sheetData sheetId="2"/>
      <sheetData sheetId="3" refreshError="1">
        <row r="1">
          <cell r="A1" t="str">
            <v xml:space="preserve">      CUADRO 1.  PERSONAL DEL CONTRATISTA </v>
          </cell>
        </row>
        <row r="3">
          <cell r="A3" t="str">
            <v xml:space="preserve">      Control Programa Generacion de Empleo</v>
          </cell>
        </row>
        <row r="5">
          <cell r="A5" t="str">
            <v>CONTRATO N° 248-03</v>
          </cell>
        </row>
        <row r="6">
          <cell r="A6" t="str">
            <v xml:space="preserve">             MEJORAMIENTO Y PAVIMENTACION DE LA CARRETERA LA LUPA-BOLIVAR-SANTIAGO, RUTA 12 TRAMO 1203</v>
          </cell>
        </row>
        <row r="11">
          <cell r="B11" t="str">
            <v>PERIODO  DE  EJECUCION  DEL  CONTRATO</v>
          </cell>
        </row>
        <row r="12">
          <cell r="A12" t="str">
            <v>ACTIVIDAD</v>
          </cell>
          <cell r="B12" t="str">
            <v>MES 1</v>
          </cell>
          <cell r="D12" t="str">
            <v>MES 2</v>
          </cell>
          <cell r="F12" t="str">
            <v>MES 3</v>
          </cell>
          <cell r="H12" t="str">
            <v>MES 4</v>
          </cell>
          <cell r="J12" t="str">
            <v>MES 5</v>
          </cell>
          <cell r="L12" t="str">
            <v>MES 6</v>
          </cell>
          <cell r="N12" t="str">
            <v>MES 7</v>
          </cell>
          <cell r="P12" t="str">
            <v>MES 8</v>
          </cell>
          <cell r="R12" t="str">
            <v>MES 9</v>
          </cell>
        </row>
        <row r="13">
          <cell r="B13" t="str">
            <v>DICIEMBRE</v>
          </cell>
          <cell r="D13" t="str">
            <v>ENERO</v>
          </cell>
          <cell r="F13" t="str">
            <v>FEBRERO</v>
          </cell>
          <cell r="H13" t="str">
            <v>MARZO</v>
          </cell>
          <cell r="J13" t="str">
            <v>ABRIL</v>
          </cell>
          <cell r="L13" t="str">
            <v>MAYO</v>
          </cell>
          <cell r="N13" t="str">
            <v>JUNIO</v>
          </cell>
          <cell r="P13" t="str">
            <v>JULIO</v>
          </cell>
          <cell r="R13" t="str">
            <v>AGOSTO</v>
          </cell>
        </row>
        <row r="14">
          <cell r="B14" t="str">
            <v>PROPUESTOS</v>
          </cell>
          <cell r="C14" t="str">
            <v>CONTRATADO</v>
          </cell>
          <cell r="D14" t="str">
            <v>PROPUESTOS</v>
          </cell>
          <cell r="E14" t="str">
            <v>CONTRATADO</v>
          </cell>
          <cell r="F14" t="str">
            <v>PROPUESTOS</v>
          </cell>
          <cell r="G14" t="str">
            <v>CONTRATADO</v>
          </cell>
          <cell r="H14" t="str">
            <v>PROPUESTOS</v>
          </cell>
          <cell r="I14" t="str">
            <v>CONTRATADO</v>
          </cell>
          <cell r="J14" t="str">
            <v>PROPUESTOS</v>
          </cell>
          <cell r="K14" t="str">
            <v>CONTRATADO</v>
          </cell>
          <cell r="L14" t="str">
            <v>PROPUESTOS</v>
          </cell>
          <cell r="M14" t="str">
            <v>CONTRATADO</v>
          </cell>
          <cell r="N14" t="str">
            <v>PROPUESTOS</v>
          </cell>
          <cell r="O14" t="str">
            <v>CONTRATADO</v>
          </cell>
          <cell r="P14" t="str">
            <v>PROPUESTOS</v>
          </cell>
          <cell r="Q14" t="str">
            <v>CONTRATADO</v>
          </cell>
          <cell r="R14" t="str">
            <v>PROPUESTOS</v>
          </cell>
          <cell r="S14" t="str">
            <v>CONTRATADO</v>
          </cell>
        </row>
        <row r="15">
          <cell r="A15" t="str">
            <v>1. Personal de Campo</v>
          </cell>
        </row>
        <row r="16">
          <cell r="A16" t="str">
            <v>Ingeniero auxiliar</v>
          </cell>
          <cell r="C16">
            <v>1</v>
          </cell>
          <cell r="E16">
            <v>1</v>
          </cell>
          <cell r="G16">
            <v>1</v>
          </cell>
          <cell r="I16">
            <v>1</v>
          </cell>
          <cell r="K16">
            <v>1</v>
          </cell>
          <cell r="M16">
            <v>1</v>
          </cell>
          <cell r="O16">
            <v>1</v>
          </cell>
          <cell r="Q16">
            <v>1</v>
          </cell>
          <cell r="S16">
            <v>0.5</v>
          </cell>
        </row>
        <row r="17">
          <cell r="A17" t="str">
            <v>Ingeniero Auxiliar en Planta</v>
          </cell>
          <cell r="S17">
            <v>1</v>
          </cell>
        </row>
        <row r="18">
          <cell r="A18" t="str">
            <v>Inspector de obra</v>
          </cell>
          <cell r="C18">
            <v>1</v>
          </cell>
          <cell r="E18">
            <v>1</v>
          </cell>
          <cell r="I18">
            <v>1</v>
          </cell>
          <cell r="K18">
            <v>1</v>
          </cell>
          <cell r="M18">
            <v>1</v>
          </cell>
          <cell r="O18">
            <v>1</v>
          </cell>
          <cell r="Q18">
            <v>1</v>
          </cell>
        </row>
        <row r="19">
          <cell r="A19" t="str">
            <v>Especialista ambiental</v>
          </cell>
          <cell r="C19">
            <v>1</v>
          </cell>
          <cell r="E19">
            <v>1</v>
          </cell>
        </row>
        <row r="20">
          <cell r="A20" t="str">
            <v>Especialista en geotecnia y pavimentos</v>
          </cell>
          <cell r="C20">
            <v>1</v>
          </cell>
          <cell r="E20">
            <v>1</v>
          </cell>
        </row>
        <row r="21">
          <cell r="A21" t="str">
            <v>Especialista en aseguramiento y calidad</v>
          </cell>
          <cell r="E21">
            <v>1</v>
          </cell>
          <cell r="G21">
            <v>1</v>
          </cell>
          <cell r="I21">
            <v>1</v>
          </cell>
          <cell r="K21">
            <v>1</v>
          </cell>
          <cell r="M21">
            <v>1</v>
          </cell>
          <cell r="O21">
            <v>1</v>
          </cell>
          <cell r="Q21">
            <v>1</v>
          </cell>
          <cell r="S21">
            <v>1</v>
          </cell>
        </row>
        <row r="22">
          <cell r="A22" t="str">
            <v>Topografo</v>
          </cell>
          <cell r="E22">
            <v>1</v>
          </cell>
          <cell r="G22">
            <v>1</v>
          </cell>
          <cell r="I22">
            <v>1</v>
          </cell>
          <cell r="O22">
            <v>1</v>
          </cell>
          <cell r="Q22">
            <v>1</v>
          </cell>
          <cell r="S22">
            <v>1</v>
          </cell>
        </row>
        <row r="23">
          <cell r="A23" t="str">
            <v>Ayudante de topografia</v>
          </cell>
          <cell r="I23">
            <v>3</v>
          </cell>
          <cell r="K23">
            <v>3</v>
          </cell>
          <cell r="M23">
            <v>3</v>
          </cell>
          <cell r="O23">
            <v>3</v>
          </cell>
          <cell r="Q23">
            <v>1</v>
          </cell>
        </row>
        <row r="24">
          <cell r="A24" t="str">
            <v>Ayudantes PARE Y SIGA</v>
          </cell>
          <cell r="I24">
            <v>2</v>
          </cell>
          <cell r="K24">
            <v>2</v>
          </cell>
          <cell r="M24">
            <v>3</v>
          </cell>
          <cell r="O24">
            <v>4</v>
          </cell>
          <cell r="Q24">
            <v>3</v>
          </cell>
          <cell r="S24">
            <v>2</v>
          </cell>
        </row>
        <row r="25">
          <cell r="A25" t="str">
            <v>2. Personal Administrativo</v>
          </cell>
        </row>
        <row r="26">
          <cell r="A26" t="str">
            <v>Ingeniero residente de obra</v>
          </cell>
          <cell r="E26">
            <v>1</v>
          </cell>
          <cell r="G26">
            <v>1</v>
          </cell>
          <cell r="I26">
            <v>1</v>
          </cell>
          <cell r="K26">
            <v>1</v>
          </cell>
          <cell r="M26">
            <v>1</v>
          </cell>
          <cell r="O26">
            <v>1</v>
          </cell>
          <cell r="Q26">
            <v>1</v>
          </cell>
          <cell r="S26">
            <v>1</v>
          </cell>
        </row>
        <row r="27">
          <cell r="A27" t="str">
            <v>Administrador de empresas</v>
          </cell>
          <cell r="C27">
            <v>1</v>
          </cell>
          <cell r="E27">
            <v>1</v>
          </cell>
          <cell r="G27">
            <v>1</v>
          </cell>
          <cell r="I27">
            <v>0.5</v>
          </cell>
        </row>
        <row r="28">
          <cell r="A28" t="str">
            <v>Contador publico</v>
          </cell>
          <cell r="C28">
            <v>1</v>
          </cell>
          <cell r="E28">
            <v>1</v>
          </cell>
          <cell r="G28">
            <v>1</v>
          </cell>
          <cell r="I28">
            <v>0.5</v>
          </cell>
        </row>
        <row r="29">
          <cell r="A29" t="str">
            <v>Contadora-administradora</v>
          </cell>
          <cell r="I29">
            <v>0.5</v>
          </cell>
          <cell r="K29">
            <v>1</v>
          </cell>
          <cell r="M29">
            <v>1</v>
          </cell>
          <cell r="O29">
            <v>1</v>
          </cell>
          <cell r="Q29">
            <v>1</v>
          </cell>
          <cell r="S29">
            <v>1</v>
          </cell>
        </row>
        <row r="30">
          <cell r="A30" t="str">
            <v>Abogada</v>
          </cell>
          <cell r="C30">
            <v>1</v>
          </cell>
          <cell r="E30">
            <v>1</v>
          </cell>
        </row>
        <row r="31">
          <cell r="A31" t="str">
            <v>Auditor interno de calidad</v>
          </cell>
          <cell r="C31">
            <v>1</v>
          </cell>
          <cell r="E31">
            <v>1</v>
          </cell>
        </row>
        <row r="32">
          <cell r="A32" t="str">
            <v>trabajadora social</v>
          </cell>
          <cell r="C32">
            <v>1</v>
          </cell>
          <cell r="E32">
            <v>1</v>
          </cell>
        </row>
        <row r="33">
          <cell r="A33" t="str">
            <v>Secretaria (Popayan)</v>
          </cell>
          <cell r="C33">
            <v>1</v>
          </cell>
          <cell r="E33">
            <v>1</v>
          </cell>
          <cell r="G33">
            <v>1</v>
          </cell>
          <cell r="I33">
            <v>1</v>
          </cell>
        </row>
        <row r="34">
          <cell r="A34" t="str">
            <v>Secretaria ( Bordo)</v>
          </cell>
          <cell r="E34">
            <v>1</v>
          </cell>
          <cell r="G34">
            <v>1</v>
          </cell>
          <cell r="I34">
            <v>1</v>
          </cell>
          <cell r="K34">
            <v>1</v>
          </cell>
          <cell r="M34">
            <v>1</v>
          </cell>
          <cell r="O34">
            <v>1</v>
          </cell>
          <cell r="Q34">
            <v>1</v>
          </cell>
          <cell r="S34">
            <v>1</v>
          </cell>
        </row>
        <row r="35">
          <cell r="A35" t="str">
            <v>Conductor</v>
          </cell>
          <cell r="C35">
            <v>1</v>
          </cell>
          <cell r="E35">
            <v>1</v>
          </cell>
          <cell r="G35">
            <v>1</v>
          </cell>
          <cell r="I35">
            <v>1</v>
          </cell>
          <cell r="K35">
            <v>1</v>
          </cell>
          <cell r="M35">
            <v>1</v>
          </cell>
          <cell r="O35">
            <v>1</v>
          </cell>
          <cell r="Q35">
            <v>1</v>
          </cell>
          <cell r="S35">
            <v>1</v>
          </cell>
        </row>
        <row r="36">
          <cell r="A36" t="str">
            <v>Mensajero (Popayan)</v>
          </cell>
          <cell r="C36">
            <v>1</v>
          </cell>
          <cell r="E36">
            <v>1</v>
          </cell>
          <cell r="O36">
            <v>1</v>
          </cell>
          <cell r="S36">
            <v>1</v>
          </cell>
        </row>
        <row r="37">
          <cell r="A37" t="str">
            <v>Servicios generales (Popayan)</v>
          </cell>
          <cell r="C37">
            <v>1</v>
          </cell>
          <cell r="E37">
            <v>1</v>
          </cell>
          <cell r="G37">
            <v>1</v>
          </cell>
          <cell r="I37">
            <v>1</v>
          </cell>
          <cell r="K37">
            <v>1</v>
          </cell>
          <cell r="M37">
            <v>1</v>
          </cell>
        </row>
        <row r="38">
          <cell r="A38" t="str">
            <v>Servicios generales (Bordo)</v>
          </cell>
          <cell r="E38">
            <v>1</v>
          </cell>
          <cell r="G38">
            <v>1</v>
          </cell>
          <cell r="I38">
            <v>1</v>
          </cell>
          <cell r="K38">
            <v>1</v>
          </cell>
          <cell r="M38">
            <v>1</v>
          </cell>
          <cell r="O38">
            <v>1</v>
          </cell>
          <cell r="Q38">
            <v>1</v>
          </cell>
          <cell r="S38">
            <v>1</v>
          </cell>
        </row>
        <row r="40">
          <cell r="A40" t="str">
            <v>TOTAL CONTRATADOS</v>
          </cell>
          <cell r="C40">
            <v>13</v>
          </cell>
          <cell r="E40">
            <v>18</v>
          </cell>
          <cell r="G40">
            <v>11</v>
          </cell>
          <cell r="I40">
            <v>16.5</v>
          </cell>
          <cell r="K40">
            <v>14</v>
          </cell>
          <cell r="M40">
            <v>15</v>
          </cell>
          <cell r="O40">
            <v>17</v>
          </cell>
          <cell r="Q40">
            <v>13</v>
          </cell>
          <cell r="S40">
            <v>11.5</v>
          </cell>
        </row>
        <row r="43">
          <cell r="A43" t="str">
            <v>INSTITUTO NACIONAL DE VÍAS</v>
          </cell>
          <cell r="D43" t="str">
            <v>Interventor:  INTERSA S.A.</v>
          </cell>
          <cell r="H43" t="str">
            <v xml:space="preserve">Contratista: Ingenieros Constructores  </v>
          </cell>
          <cell r="M43" t="str">
            <v>Informe Mensual No.9</v>
          </cell>
          <cell r="O43" t="str">
            <v>No 10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ICIAL OBRA 16"/>
      <sheetName val="PRESUPUESTOS OFICIALES"/>
      <sheetName val="Formato 2 Experiencia"/>
      <sheetName val="Form 4 Propuesta presentada"/>
      <sheetName val="Presupuesto"/>
      <sheetName val="A.P.U."/>
      <sheetName val=" FORMATOS SI.CD 02-06 "/>
      <sheetName val="Materiales y Equipo"/>
      <sheetName val="BASICOS"/>
      <sheetName val="PRESTACIONES"/>
      <sheetName val="JORNALES"/>
      <sheetName val="CALCULO AUI"/>
      <sheetName val="Cronograma"/>
      <sheetName val="Manejo Anticipo"/>
      <sheetName val="Org De la Obra"/>
      <sheetName val="Cantidades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V"/>
      <sheetName val="Cncto"/>
      <sheetName val=" M.O. "/>
      <sheetName val="CUnit"/>
      <sheetName val="RCtosUnit"/>
      <sheetName val="Calculo de cant"/>
      <sheetName val="Vivienda 33,86 M2"/>
      <sheetName val="resumen vivienda 33,86M2"/>
      <sheetName val="Cierre Financiero120"/>
      <sheetName val="39"/>
      <sheetName val="CRONOGRAMA"/>
    </sheetNames>
    <sheetDataSet>
      <sheetData sheetId="0">
        <row r="24">
          <cell r="D24" t="str">
            <v>Decuento</v>
          </cell>
        </row>
        <row r="29">
          <cell r="D29" t="str">
            <v>LISTADO DE PRECIOS DE MATERIALES PARA VIVIENDA</v>
          </cell>
        </row>
        <row r="31">
          <cell r="D31" t="str">
            <v>MATERIAL</v>
          </cell>
          <cell r="E31" t="str">
            <v>UND</v>
          </cell>
          <cell r="F31" t="str">
            <v>VALOR UNITARIO</v>
          </cell>
          <cell r="G31" t="str">
            <v>precio mostrador 17 de feb</v>
          </cell>
          <cell r="H31" t="str">
            <v>precio mostrador feb 12 - 08</v>
          </cell>
          <cell r="I31" t="str">
            <v>precio desc feb 12 - 08</v>
          </cell>
          <cell r="J31" t="str">
            <v>05/25/2011</v>
          </cell>
        </row>
        <row r="33">
          <cell r="F33" t="str">
            <v>DESCUENTO</v>
          </cell>
        </row>
        <row r="34">
          <cell r="B34" t="str">
            <v>Ac</v>
          </cell>
          <cell r="D34" t="str">
            <v>ACERO, HIERROS,ALAMBRES</v>
          </cell>
        </row>
        <row r="35">
          <cell r="B35" t="str">
            <v>Ac-2</v>
          </cell>
          <cell r="C35" t="str">
            <v>Mat</v>
          </cell>
          <cell r="D35" t="str">
            <v>ALAMBRE NEGRO</v>
          </cell>
          <cell r="E35" t="str">
            <v>Klg</v>
          </cell>
          <cell r="F35">
            <v>2204</v>
          </cell>
          <cell r="G35">
            <v>2600</v>
          </cell>
          <cell r="H35">
            <v>3300</v>
          </cell>
          <cell r="I35">
            <v>2514</v>
          </cell>
          <cell r="J35">
            <v>3104</v>
          </cell>
          <cell r="K35">
            <v>0.15230769230769226</v>
          </cell>
        </row>
        <row r="36">
          <cell r="B36" t="str">
            <v>Ac-3</v>
          </cell>
          <cell r="C36" t="str">
            <v>Mat</v>
          </cell>
          <cell r="D36" t="str">
            <v>HIERRO</v>
          </cell>
          <cell r="E36" t="str">
            <v>Klg</v>
          </cell>
          <cell r="F36">
            <v>2041</v>
          </cell>
          <cell r="G36">
            <v>2350</v>
          </cell>
          <cell r="H36">
            <v>2350</v>
          </cell>
          <cell r="I36">
            <v>1984</v>
          </cell>
          <cell r="J36">
            <v>2104.9</v>
          </cell>
          <cell r="K36">
            <v>0.13148936170212766</v>
          </cell>
        </row>
        <row r="37">
          <cell r="B37" t="str">
            <v>Ac-5</v>
          </cell>
          <cell r="C37" t="str">
            <v>Mat</v>
          </cell>
          <cell r="D37" t="str">
            <v>PUNTILLAS</v>
          </cell>
          <cell r="E37" t="str">
            <v>Lb</v>
          </cell>
          <cell r="F37">
            <v>1488</v>
          </cell>
          <cell r="G37">
            <v>1600</v>
          </cell>
          <cell r="H37">
            <v>1400</v>
          </cell>
          <cell r="I37">
            <v>1195</v>
          </cell>
          <cell r="J37">
            <v>1552</v>
          </cell>
          <cell r="K37">
            <v>6.9999999999999951E-2</v>
          </cell>
        </row>
        <row r="39">
          <cell r="B39" t="str">
            <v>ADM</v>
          </cell>
          <cell r="D39" t="str">
            <v>ADMINISTRACION DE OBRA VIVIENDA</v>
          </cell>
        </row>
        <row r="40">
          <cell r="B40" t="str">
            <v>Adm-1</v>
          </cell>
          <cell r="C40" t="str">
            <v>OTR</v>
          </cell>
          <cell r="D40" t="str">
            <v>CERRAMIENTO</v>
          </cell>
          <cell r="E40" t="str">
            <v>Und</v>
          </cell>
          <cell r="F40">
            <v>2187.5</v>
          </cell>
          <cell r="G40">
            <v>2187.5</v>
          </cell>
          <cell r="H40">
            <v>2187.5</v>
          </cell>
          <cell r="I40">
            <v>2187.5</v>
          </cell>
          <cell r="J40">
            <v>1183</v>
          </cell>
          <cell r="K40">
            <v>0</v>
          </cell>
        </row>
        <row r="41">
          <cell r="B41" t="str">
            <v>Adm-2</v>
          </cell>
          <cell r="C41" t="str">
            <v>OTR</v>
          </cell>
          <cell r="D41" t="str">
            <v>CAMPAMENTO</v>
          </cell>
          <cell r="E41" t="str">
            <v>Und</v>
          </cell>
          <cell r="F41">
            <v>9375</v>
          </cell>
          <cell r="G41">
            <v>9375</v>
          </cell>
          <cell r="H41">
            <v>9375</v>
          </cell>
          <cell r="I41">
            <v>9375</v>
          </cell>
          <cell r="J41">
            <v>4433</v>
          </cell>
          <cell r="K41">
            <v>0</v>
          </cell>
        </row>
        <row r="42">
          <cell r="B42" t="str">
            <v>Adm-3</v>
          </cell>
          <cell r="C42" t="str">
            <v>OTR</v>
          </cell>
          <cell r="D42" t="str">
            <v>INGENIERO RESIDENTE</v>
          </cell>
          <cell r="E42" t="str">
            <v>Und</v>
          </cell>
          <cell r="F42">
            <v>9375</v>
          </cell>
          <cell r="G42">
            <v>9375</v>
          </cell>
          <cell r="H42">
            <v>9375</v>
          </cell>
          <cell r="I42">
            <v>9375</v>
          </cell>
          <cell r="J42">
            <v>7150</v>
          </cell>
          <cell r="K42">
            <v>0</v>
          </cell>
        </row>
        <row r="43">
          <cell r="B43" t="str">
            <v>Adm-4</v>
          </cell>
          <cell r="C43" t="str">
            <v>OTR</v>
          </cell>
          <cell r="D43" t="str">
            <v>GEOTECNOLOGOS</v>
          </cell>
          <cell r="E43" t="str">
            <v>Und</v>
          </cell>
          <cell r="F43">
            <v>4687.5</v>
          </cell>
          <cell r="G43">
            <v>4687.5</v>
          </cell>
          <cell r="H43">
            <v>4687.5</v>
          </cell>
          <cell r="I43">
            <v>4687.5</v>
          </cell>
          <cell r="J43">
            <v>7150</v>
          </cell>
          <cell r="K43">
            <v>0</v>
          </cell>
        </row>
        <row r="44">
          <cell r="B44" t="str">
            <v>Adm-5</v>
          </cell>
          <cell r="C44" t="str">
            <v>OTR</v>
          </cell>
          <cell r="D44" t="str">
            <v>OFICINA Y CONTABILIDAD</v>
          </cell>
          <cell r="E44" t="str">
            <v>Und</v>
          </cell>
          <cell r="F44">
            <v>4687.5</v>
          </cell>
          <cell r="G44">
            <v>4687.5</v>
          </cell>
          <cell r="H44">
            <v>4687.5</v>
          </cell>
          <cell r="I44">
            <v>4687.5</v>
          </cell>
          <cell r="J44">
            <v>3575</v>
          </cell>
          <cell r="K44">
            <v>0</v>
          </cell>
        </row>
        <row r="45">
          <cell r="B45" t="str">
            <v>Adm-6</v>
          </cell>
          <cell r="C45" t="str">
            <v>OTR</v>
          </cell>
          <cell r="D45" t="str">
            <v>VIGILANCIA</v>
          </cell>
          <cell r="E45" t="str">
            <v>Und</v>
          </cell>
          <cell r="F45">
            <v>9375</v>
          </cell>
          <cell r="G45">
            <v>9375</v>
          </cell>
          <cell r="H45">
            <v>9375</v>
          </cell>
          <cell r="I45">
            <v>9375</v>
          </cell>
          <cell r="J45">
            <v>7150</v>
          </cell>
          <cell r="K45">
            <v>0</v>
          </cell>
        </row>
        <row r="46">
          <cell r="B46" t="str">
            <v>Adm-7</v>
          </cell>
          <cell r="C46" t="str">
            <v>OTR</v>
          </cell>
          <cell r="D46" t="str">
            <v>PAPELERIA</v>
          </cell>
          <cell r="E46" t="str">
            <v>Und</v>
          </cell>
          <cell r="F46">
            <v>1250</v>
          </cell>
          <cell r="G46">
            <v>1250</v>
          </cell>
          <cell r="H46">
            <v>1250</v>
          </cell>
          <cell r="I46">
            <v>1250</v>
          </cell>
          <cell r="J46">
            <v>1183</v>
          </cell>
          <cell r="K46">
            <v>0</v>
          </cell>
        </row>
        <row r="47">
          <cell r="B47" t="str">
            <v>Adm-8</v>
          </cell>
          <cell r="C47" t="str">
            <v>OTR</v>
          </cell>
          <cell r="D47" t="str">
            <v>VEHICULO - CONDUCTOR</v>
          </cell>
          <cell r="E47" t="str">
            <v>Und</v>
          </cell>
          <cell r="F47">
            <v>10937.5</v>
          </cell>
          <cell r="G47">
            <v>10937.5</v>
          </cell>
          <cell r="H47">
            <v>10937.5</v>
          </cell>
          <cell r="I47">
            <v>10937.5</v>
          </cell>
          <cell r="J47">
            <v>8450</v>
          </cell>
          <cell r="K47">
            <v>0</v>
          </cell>
        </row>
        <row r="48">
          <cell r="B48" t="str">
            <v>Adm-9</v>
          </cell>
          <cell r="C48" t="str">
            <v>OTR</v>
          </cell>
          <cell r="D48" t="str">
            <v>ALMACENISTA</v>
          </cell>
          <cell r="E48" t="str">
            <v>Und</v>
          </cell>
          <cell r="F48">
            <v>3750</v>
          </cell>
          <cell r="G48">
            <v>3750</v>
          </cell>
          <cell r="H48">
            <v>3750</v>
          </cell>
          <cell r="I48">
            <v>3750</v>
          </cell>
          <cell r="J48">
            <v>2860</v>
          </cell>
          <cell r="K48">
            <v>0</v>
          </cell>
        </row>
        <row r="49">
          <cell r="B49" t="str">
            <v>Adm-10</v>
          </cell>
          <cell r="C49" t="str">
            <v>OTR</v>
          </cell>
          <cell r="D49" t="str">
            <v>AYUDANTE DE ALMACEN</v>
          </cell>
          <cell r="E49" t="str">
            <v>Und</v>
          </cell>
          <cell r="F49">
            <v>2343.75</v>
          </cell>
          <cell r="G49">
            <v>2343.75</v>
          </cell>
          <cell r="H49">
            <v>2343.75</v>
          </cell>
          <cell r="I49">
            <v>2343.75</v>
          </cell>
          <cell r="J49">
            <v>1950</v>
          </cell>
          <cell r="K49">
            <v>0</v>
          </cell>
        </row>
        <row r="50">
          <cell r="B50" t="str">
            <v>Adm-11</v>
          </cell>
          <cell r="C50" t="str">
            <v>OTR</v>
          </cell>
          <cell r="D50" t="str">
            <v>DIRECTOR DE OBRA DEL PROYECTO</v>
          </cell>
          <cell r="E50" t="str">
            <v>Und</v>
          </cell>
          <cell r="F50">
            <v>11962.96875</v>
          </cell>
          <cell r="G50">
            <v>11962.96875</v>
          </cell>
          <cell r="H50">
            <v>11962.96875</v>
          </cell>
          <cell r="I50">
            <v>11962.96875</v>
          </cell>
          <cell r="J50">
            <v>11830</v>
          </cell>
          <cell r="K50">
            <v>0</v>
          </cell>
        </row>
        <row r="51">
          <cell r="B51" t="str">
            <v>Adm-12</v>
          </cell>
          <cell r="C51" t="str">
            <v>OTR</v>
          </cell>
          <cell r="D51" t="str">
            <v>LABORATORIOS</v>
          </cell>
          <cell r="E51" t="str">
            <v>Und</v>
          </cell>
          <cell r="I51">
            <v>1200</v>
          </cell>
          <cell r="J51">
            <v>1560</v>
          </cell>
        </row>
        <row r="53">
          <cell r="B53" t="str">
            <v>Ag</v>
          </cell>
          <cell r="D53" t="str">
            <v>AGREGADOS</v>
          </cell>
        </row>
        <row r="54">
          <cell r="B54" t="str">
            <v>Ag-1</v>
          </cell>
          <cell r="C54" t="str">
            <v>Mat</v>
          </cell>
          <cell r="D54" t="str">
            <v>AGUA</v>
          </cell>
          <cell r="E54" t="str">
            <v>Lt</v>
          </cell>
          <cell r="F54">
            <v>10</v>
          </cell>
          <cell r="G54">
            <v>10</v>
          </cell>
          <cell r="H54">
            <v>10</v>
          </cell>
          <cell r="I54">
            <v>10</v>
          </cell>
          <cell r="J54">
            <v>19.399999999999999</v>
          </cell>
          <cell r="K54">
            <v>0</v>
          </cell>
        </row>
        <row r="55">
          <cell r="B55" t="str">
            <v>Ag-2</v>
          </cell>
          <cell r="C55" t="str">
            <v>Mat</v>
          </cell>
          <cell r="D55" t="str">
            <v xml:space="preserve">ARENA DE RIO </v>
          </cell>
          <cell r="E55" t="str">
            <v>M 3</v>
          </cell>
          <cell r="F55">
            <v>40000</v>
          </cell>
          <cell r="G55">
            <v>41000</v>
          </cell>
          <cell r="H55">
            <v>38000</v>
          </cell>
          <cell r="I55">
            <v>38000</v>
          </cell>
          <cell r="J55">
            <v>36860</v>
          </cell>
          <cell r="K55">
            <v>2.4390243902439046E-2</v>
          </cell>
        </row>
        <row r="56">
          <cell r="B56" t="str">
            <v>Ag-3</v>
          </cell>
          <cell r="C56" t="str">
            <v>Mat</v>
          </cell>
          <cell r="D56" t="str">
            <v xml:space="preserve">GRAVA DE RIO  </v>
          </cell>
          <cell r="E56" t="str">
            <v>M 3</v>
          </cell>
          <cell r="F56">
            <v>48000</v>
          </cell>
          <cell r="G56">
            <v>49000</v>
          </cell>
          <cell r="H56">
            <v>45000</v>
          </cell>
          <cell r="I56">
            <v>45000</v>
          </cell>
          <cell r="J56">
            <v>46560</v>
          </cell>
          <cell r="K56">
            <v>2.0408163265306145E-2</v>
          </cell>
        </row>
        <row r="57">
          <cell r="B57" t="str">
            <v>Ag-4</v>
          </cell>
          <cell r="C57" t="str">
            <v>Mat</v>
          </cell>
          <cell r="D57" t="str">
            <v>PIEDRA</v>
          </cell>
          <cell r="E57" t="str">
            <v>M 3</v>
          </cell>
          <cell r="F57">
            <v>45000</v>
          </cell>
          <cell r="G57">
            <v>46000</v>
          </cell>
          <cell r="H57">
            <v>45000</v>
          </cell>
          <cell r="I57">
            <v>45000</v>
          </cell>
          <cell r="J57">
            <v>48500</v>
          </cell>
          <cell r="K57">
            <v>2.1739130434782594E-2</v>
          </cell>
        </row>
        <row r="58">
          <cell r="B58" t="str">
            <v>Ag-5</v>
          </cell>
          <cell r="C58" t="str">
            <v>Mat</v>
          </cell>
          <cell r="D58" t="str">
            <v xml:space="preserve">TIERRA AMARILLA  </v>
          </cell>
          <cell r="E58" t="str">
            <v>M 3</v>
          </cell>
          <cell r="F58">
            <v>8000</v>
          </cell>
          <cell r="G58">
            <v>9000</v>
          </cell>
          <cell r="H58">
            <v>10000</v>
          </cell>
          <cell r="I58">
            <v>10000</v>
          </cell>
          <cell r="J58">
            <v>11543</v>
          </cell>
          <cell r="K58">
            <v>0.11111111111111116</v>
          </cell>
        </row>
        <row r="59">
          <cell r="B59" t="str">
            <v>Ag-6</v>
          </cell>
          <cell r="C59" t="str">
            <v>Mat</v>
          </cell>
          <cell r="D59" t="str">
            <v xml:space="preserve">TRITURADO </v>
          </cell>
          <cell r="E59" t="str">
            <v>M 3</v>
          </cell>
          <cell r="F59">
            <v>48000</v>
          </cell>
          <cell r="G59">
            <v>49000</v>
          </cell>
          <cell r="H59">
            <v>65000</v>
          </cell>
          <cell r="I59">
            <v>58000</v>
          </cell>
          <cell r="J59">
            <v>63050</v>
          </cell>
          <cell r="K59">
            <v>2.0408163265306145E-2</v>
          </cell>
        </row>
        <row r="61">
          <cell r="B61" t="str">
            <v>Ap</v>
          </cell>
          <cell r="D61" t="str">
            <v>APARATOS</v>
          </cell>
        </row>
        <row r="62">
          <cell r="B62" t="str">
            <v>Ap-1</v>
          </cell>
          <cell r="C62" t="str">
            <v>Mat</v>
          </cell>
          <cell r="D62" t="str">
            <v xml:space="preserve">COMBO SANITARIO LAVAMANOS  </v>
          </cell>
          <cell r="E62" t="str">
            <v>Und</v>
          </cell>
          <cell r="F62">
            <v>162000</v>
          </cell>
          <cell r="G62">
            <v>205000</v>
          </cell>
          <cell r="H62">
            <v>185000</v>
          </cell>
          <cell r="I62">
            <v>152000</v>
          </cell>
          <cell r="J62">
            <v>150350</v>
          </cell>
          <cell r="K62">
            <v>0.20975609756097557</v>
          </cell>
        </row>
        <row r="63">
          <cell r="B63" t="str">
            <v>Ap-2</v>
          </cell>
          <cell r="C63" t="str">
            <v>Mat</v>
          </cell>
          <cell r="D63" t="str">
            <v xml:space="preserve">DUCHA  </v>
          </cell>
          <cell r="E63" t="str">
            <v>Und</v>
          </cell>
          <cell r="F63">
            <v>14051</v>
          </cell>
          <cell r="G63">
            <v>21617</v>
          </cell>
          <cell r="H63">
            <v>22800</v>
          </cell>
          <cell r="I63">
            <v>22500</v>
          </cell>
          <cell r="J63">
            <v>24250</v>
          </cell>
          <cell r="K63">
            <v>0.35000231299440254</v>
          </cell>
        </row>
        <row r="64">
          <cell r="B64" t="str">
            <v>Ap-4</v>
          </cell>
          <cell r="C64" t="str">
            <v>Mat</v>
          </cell>
          <cell r="D64" t="str">
            <v>LAVADERO</v>
          </cell>
          <cell r="E64" t="str">
            <v>Und</v>
          </cell>
          <cell r="F64">
            <v>45000</v>
          </cell>
          <cell r="G64">
            <v>60000</v>
          </cell>
          <cell r="H64">
            <v>80000</v>
          </cell>
          <cell r="I64">
            <v>50000</v>
          </cell>
          <cell r="J64">
            <v>33659</v>
          </cell>
          <cell r="K64">
            <v>0.25</v>
          </cell>
        </row>
        <row r="65">
          <cell r="B65" t="str">
            <v>Ap-6</v>
          </cell>
          <cell r="C65" t="str">
            <v>Mat</v>
          </cell>
          <cell r="D65" t="str">
            <v xml:space="preserve">LAVAPLATOS  </v>
          </cell>
          <cell r="E65" t="str">
            <v>Und</v>
          </cell>
          <cell r="F65">
            <v>49100</v>
          </cell>
          <cell r="G65">
            <v>69500</v>
          </cell>
          <cell r="H65">
            <v>119000</v>
          </cell>
          <cell r="I65">
            <v>60000</v>
          </cell>
          <cell r="J65">
            <v>67900</v>
          </cell>
          <cell r="K65">
            <v>0.29352517985611515</v>
          </cell>
        </row>
        <row r="67">
          <cell r="B67" t="str">
            <v>CMa</v>
          </cell>
          <cell r="D67" t="str">
            <v>CARP DE MADERA</v>
          </cell>
        </row>
        <row r="68">
          <cell r="B68" t="str">
            <v>Cma-1</v>
          </cell>
          <cell r="C68" t="str">
            <v>Mat</v>
          </cell>
          <cell r="D68" t="str">
            <v>BASTIDOR</v>
          </cell>
          <cell r="E68" t="str">
            <v>M L</v>
          </cell>
          <cell r="F68">
            <v>1800</v>
          </cell>
          <cell r="G68">
            <v>2000</v>
          </cell>
          <cell r="H68">
            <v>900</v>
          </cell>
          <cell r="I68">
            <v>200</v>
          </cell>
          <cell r="J68">
            <v>1212.5</v>
          </cell>
          <cell r="K68">
            <v>9.9999999999999978E-2</v>
          </cell>
        </row>
        <row r="69">
          <cell r="B69" t="str">
            <v>Cma-3</v>
          </cell>
          <cell r="C69" t="str">
            <v>Mat</v>
          </cell>
          <cell r="D69" t="str">
            <v>FORMALETA CIMIENTOS</v>
          </cell>
          <cell r="E69" t="str">
            <v>Gbl</v>
          </cell>
          <cell r="F69">
            <v>45500</v>
          </cell>
          <cell r="G69">
            <v>52325</v>
          </cell>
          <cell r="H69">
            <v>52325</v>
          </cell>
          <cell r="I69">
            <v>55500</v>
          </cell>
          <cell r="J69">
            <v>53835</v>
          </cell>
          <cell r="K69">
            <v>0.13043478260869568</v>
          </cell>
        </row>
        <row r="70">
          <cell r="B70" t="str">
            <v>Cma-4</v>
          </cell>
          <cell r="C70" t="str">
            <v>Mat</v>
          </cell>
          <cell r="D70" t="str">
            <v>FORMALETA COLUMNAS</v>
          </cell>
          <cell r="E70" t="str">
            <v>Gbl</v>
          </cell>
          <cell r="F70">
            <v>31800</v>
          </cell>
          <cell r="G70">
            <v>36570</v>
          </cell>
          <cell r="H70">
            <v>36570</v>
          </cell>
          <cell r="I70">
            <v>21800</v>
          </cell>
          <cell r="J70">
            <v>21146</v>
          </cell>
          <cell r="K70">
            <v>0.13043478260869568</v>
          </cell>
        </row>
        <row r="71">
          <cell r="B71" t="str">
            <v>Cma-7</v>
          </cell>
          <cell r="C71" t="str">
            <v>Mat</v>
          </cell>
          <cell r="D71" t="str">
            <v>FORMALETA SENCILLA - V. amarre</v>
          </cell>
          <cell r="E71" t="str">
            <v>Gbl</v>
          </cell>
          <cell r="F71">
            <v>21000</v>
          </cell>
          <cell r="G71">
            <v>25000</v>
          </cell>
          <cell r="H71">
            <v>25000</v>
          </cell>
          <cell r="I71">
            <v>31000</v>
          </cell>
          <cell r="J71">
            <v>30070</v>
          </cell>
          <cell r="K71">
            <v>0.16000000000000003</v>
          </cell>
        </row>
        <row r="72">
          <cell r="B72" t="str">
            <v>Cma-8</v>
          </cell>
          <cell r="C72" t="str">
            <v>Mat</v>
          </cell>
          <cell r="D72" t="str">
            <v>FORMALETA SENCILLA 1 - Meson, Cinta</v>
          </cell>
          <cell r="E72" t="str">
            <v>Gbl</v>
          </cell>
          <cell r="F72">
            <v>5000</v>
          </cell>
          <cell r="G72">
            <v>5750</v>
          </cell>
          <cell r="H72">
            <v>5750</v>
          </cell>
          <cell r="I72">
            <v>6000</v>
          </cell>
          <cell r="J72">
            <v>5820</v>
          </cell>
          <cell r="K72">
            <v>0.13043478260869568</v>
          </cell>
        </row>
        <row r="73">
          <cell r="B73" t="str">
            <v>Cma-11</v>
          </cell>
          <cell r="C73" t="str">
            <v>Mat</v>
          </cell>
          <cell r="D73" t="str">
            <v>TACO DE GUADUA</v>
          </cell>
          <cell r="E73" t="str">
            <v>Und</v>
          </cell>
          <cell r="F73">
            <v>3200</v>
          </cell>
          <cell r="G73">
            <v>3200</v>
          </cell>
          <cell r="H73">
            <v>3200</v>
          </cell>
          <cell r="I73">
            <v>4200</v>
          </cell>
          <cell r="J73">
            <v>3492</v>
          </cell>
          <cell r="K73">
            <v>0</v>
          </cell>
        </row>
        <row r="74">
          <cell r="B74" t="str">
            <v>Cma-13</v>
          </cell>
          <cell r="C74" t="str">
            <v>Mat</v>
          </cell>
          <cell r="D74" t="str">
            <v>CUARTONES</v>
          </cell>
          <cell r="E74" t="str">
            <v>Und</v>
          </cell>
          <cell r="F74">
            <v>4500</v>
          </cell>
          <cell r="G74">
            <v>5000</v>
          </cell>
          <cell r="H74">
            <v>4000</v>
          </cell>
          <cell r="I74">
            <v>4800</v>
          </cell>
          <cell r="J74">
            <v>4656</v>
          </cell>
          <cell r="K74">
            <v>9.9999999999999978E-2</v>
          </cell>
        </row>
        <row r="75">
          <cell r="B75" t="str">
            <v>Cma-14</v>
          </cell>
          <cell r="C75" t="str">
            <v>Mat</v>
          </cell>
          <cell r="D75" t="str">
            <v>FORMALETA CICLOPEO</v>
          </cell>
          <cell r="E75" t="str">
            <v>Gbl</v>
          </cell>
          <cell r="F75">
            <v>4700</v>
          </cell>
          <cell r="G75">
            <v>4800</v>
          </cell>
          <cell r="H75">
            <v>4800</v>
          </cell>
          <cell r="I75">
            <v>5700</v>
          </cell>
          <cell r="J75">
            <v>5529</v>
          </cell>
          <cell r="K75">
            <v>2.083333333333337E-2</v>
          </cell>
        </row>
        <row r="76">
          <cell r="B76" t="str">
            <v>Cma-15</v>
          </cell>
          <cell r="C76" t="str">
            <v>Mat</v>
          </cell>
          <cell r="D76" t="str">
            <v>TACO METALICO</v>
          </cell>
          <cell r="E76" t="str">
            <v>Und</v>
          </cell>
          <cell r="F76">
            <v>70</v>
          </cell>
          <cell r="G76">
            <v>70</v>
          </cell>
          <cell r="H76">
            <v>2500</v>
          </cell>
          <cell r="I76">
            <v>3200</v>
          </cell>
          <cell r="J76">
            <v>3104</v>
          </cell>
          <cell r="K76">
            <v>0</v>
          </cell>
        </row>
        <row r="77">
          <cell r="B77" t="str">
            <v>Cma-16</v>
          </cell>
          <cell r="C77" t="str">
            <v>Mat</v>
          </cell>
          <cell r="D77" t="str">
            <v>FORMALETA VIGA DINTEL - ALFAJIA</v>
          </cell>
          <cell r="E77" t="str">
            <v>Gbl</v>
          </cell>
          <cell r="F77">
            <v>5755</v>
          </cell>
          <cell r="G77">
            <v>5750</v>
          </cell>
          <cell r="H77">
            <v>5760</v>
          </cell>
          <cell r="I77">
            <v>6750</v>
          </cell>
          <cell r="J77">
            <v>6547.5</v>
          </cell>
          <cell r="K77">
            <v>-8.6956521739134374E-4</v>
          </cell>
        </row>
        <row r="78">
          <cell r="B78" t="str">
            <v>Cma-17</v>
          </cell>
          <cell r="C78" t="str">
            <v>Mat</v>
          </cell>
          <cell r="D78" t="str">
            <v>FORMALETA LOSA MACIZA ENTREPISO</v>
          </cell>
          <cell r="E78" t="str">
            <v>Gbl</v>
          </cell>
          <cell r="I78">
            <v>3720</v>
          </cell>
          <cell r="J78">
            <v>3608.4</v>
          </cell>
          <cell r="K78" t="e">
            <v>#DIV/0!</v>
          </cell>
        </row>
        <row r="80">
          <cell r="B80" t="str">
            <v>CMe</v>
          </cell>
          <cell r="D80" t="str">
            <v>CARP METALICA</v>
          </cell>
        </row>
        <row r="81">
          <cell r="B81" t="str">
            <v>Cme-4</v>
          </cell>
          <cell r="C81" t="str">
            <v>Mat</v>
          </cell>
          <cell r="D81" t="str">
            <v>PUERTA  PPAL METALICA INCLUYE MARCO 1x2</v>
          </cell>
          <cell r="E81" t="str">
            <v>Und</v>
          </cell>
          <cell r="F81">
            <v>135000</v>
          </cell>
          <cell r="G81">
            <v>150000</v>
          </cell>
          <cell r="H81">
            <v>160000</v>
          </cell>
          <cell r="I81">
            <v>145000</v>
          </cell>
          <cell r="J81">
            <v>179450</v>
          </cell>
          <cell r="K81">
            <v>9.9999999999999978E-2</v>
          </cell>
        </row>
        <row r="82">
          <cell r="B82" t="str">
            <v>Cme-5</v>
          </cell>
          <cell r="C82" t="str">
            <v>Mat</v>
          </cell>
          <cell r="D82" t="str">
            <v>PUERTA EN MADERA ENTAMBORADA BAÑO  0.6*2</v>
          </cell>
          <cell r="E82" t="str">
            <v>Und</v>
          </cell>
          <cell r="F82">
            <v>63000</v>
          </cell>
          <cell r="G82">
            <v>70000</v>
          </cell>
          <cell r="H82">
            <v>80000</v>
          </cell>
          <cell r="I82">
            <v>110000</v>
          </cell>
          <cell r="J82">
            <v>97000</v>
          </cell>
          <cell r="K82">
            <v>9.9999999999999978E-2</v>
          </cell>
        </row>
        <row r="83">
          <cell r="B83" t="str">
            <v>Cme-12</v>
          </cell>
          <cell r="C83" t="str">
            <v>Mat</v>
          </cell>
          <cell r="D83" t="str">
            <v>VENTANA DE ALUMINIO VIDRIO E INST INCL. VIDRIO</v>
          </cell>
          <cell r="E83" t="str">
            <v>M 2</v>
          </cell>
          <cell r="F83">
            <v>108000</v>
          </cell>
          <cell r="G83">
            <v>120000</v>
          </cell>
          <cell r="H83">
            <v>140000</v>
          </cell>
          <cell r="I83">
            <v>108000</v>
          </cell>
          <cell r="J83">
            <v>111550</v>
          </cell>
          <cell r="K83">
            <v>9.9999999999999978E-2</v>
          </cell>
        </row>
        <row r="84">
          <cell r="B84" t="str">
            <v>Cme-13</v>
          </cell>
          <cell r="C84" t="str">
            <v>Mat</v>
          </cell>
          <cell r="D84" t="str">
            <v>MARCOS METALICOS 0.6*1.9</v>
          </cell>
          <cell r="E84" t="str">
            <v>Und</v>
          </cell>
          <cell r="F84">
            <v>45000</v>
          </cell>
          <cell r="G84">
            <v>60000</v>
          </cell>
          <cell r="H84">
            <v>70000</v>
          </cell>
          <cell r="I84">
            <v>38000</v>
          </cell>
          <cell r="J84">
            <v>38800</v>
          </cell>
          <cell r="K84">
            <v>0.25</v>
          </cell>
        </row>
        <row r="85">
          <cell r="B85" t="str">
            <v>Cme-14</v>
          </cell>
          <cell r="C85" t="str">
            <v>Mat</v>
          </cell>
          <cell r="D85" t="str">
            <v xml:space="preserve">PUERTA EN MADERA ENTAMBORADA 0.9*1.9 </v>
          </cell>
          <cell r="E85" t="str">
            <v>Und</v>
          </cell>
          <cell r="F85">
            <v>81000</v>
          </cell>
          <cell r="G85">
            <v>100000</v>
          </cell>
          <cell r="H85">
            <v>120000</v>
          </cell>
          <cell r="I85">
            <v>91000</v>
          </cell>
          <cell r="J85">
            <v>116400</v>
          </cell>
          <cell r="K85">
            <v>0.18999999999999995</v>
          </cell>
        </row>
        <row r="87">
          <cell r="B87" t="str">
            <v>Co</v>
          </cell>
          <cell r="D87" t="str">
            <v>CEMENTO, CONCRETOS, MORTEROS</v>
          </cell>
        </row>
        <row r="88">
          <cell r="B88" t="str">
            <v>Co-1</v>
          </cell>
          <cell r="C88" t="str">
            <v>Mat</v>
          </cell>
          <cell r="D88" t="str">
            <v>CEMENTO BLANCO - 40 kg</v>
          </cell>
          <cell r="E88" t="str">
            <v>Klg</v>
          </cell>
          <cell r="F88">
            <v>824</v>
          </cell>
          <cell r="G88">
            <v>1100</v>
          </cell>
          <cell r="H88">
            <v>825</v>
          </cell>
          <cell r="I88">
            <v>825</v>
          </cell>
          <cell r="J88">
            <v>873</v>
          </cell>
          <cell r="K88">
            <v>0.25090909090909086</v>
          </cell>
        </row>
        <row r="89">
          <cell r="B89" t="str">
            <v>Co-2</v>
          </cell>
          <cell r="C89" t="str">
            <v>Mat</v>
          </cell>
          <cell r="D89" t="str">
            <v>CEMENTO GRIS  - 50 kg</v>
          </cell>
          <cell r="E89" t="str">
            <v>Klg</v>
          </cell>
          <cell r="F89">
            <v>350</v>
          </cell>
          <cell r="G89">
            <v>340</v>
          </cell>
          <cell r="H89">
            <v>366</v>
          </cell>
          <cell r="I89">
            <v>300</v>
          </cell>
          <cell r="J89">
            <v>358.9</v>
          </cell>
          <cell r="K89">
            <v>-2.9411764705882248E-2</v>
          </cell>
        </row>
        <row r="90">
          <cell r="B90" t="str">
            <v>C 1-2-2</v>
          </cell>
          <cell r="C90" t="str">
            <v>Mat</v>
          </cell>
          <cell r="D90" t="str">
            <v>CONCRETO 1:2:2</v>
          </cell>
          <cell r="E90" t="str">
            <v>M 3</v>
          </cell>
          <cell r="F90">
            <v>221363.7</v>
          </cell>
          <cell r="G90">
            <v>221363.7</v>
          </cell>
          <cell r="H90">
            <v>221363.7</v>
          </cell>
          <cell r="I90">
            <v>221363.7</v>
          </cell>
          <cell r="J90">
            <v>221363.7</v>
          </cell>
        </row>
        <row r="91">
          <cell r="B91" t="str">
            <v>C 1-2-3</v>
          </cell>
          <cell r="C91" t="str">
            <v>Mat</v>
          </cell>
          <cell r="D91" t="str">
            <v>CONCRETO 1:2:3</v>
          </cell>
          <cell r="E91" t="str">
            <v>M 3</v>
          </cell>
          <cell r="F91">
            <v>201711.5</v>
          </cell>
          <cell r="G91">
            <v>201711.5</v>
          </cell>
          <cell r="H91">
            <v>201711.5</v>
          </cell>
          <cell r="I91">
            <v>201711.5</v>
          </cell>
          <cell r="J91">
            <v>201711.5</v>
          </cell>
        </row>
        <row r="92">
          <cell r="B92" t="str">
            <v>C 1-2-4</v>
          </cell>
          <cell r="C92" t="str">
            <v>Mat</v>
          </cell>
          <cell r="D92" t="str">
            <v>CONCRETO 1:2:4</v>
          </cell>
          <cell r="E92" t="str">
            <v>M 3</v>
          </cell>
          <cell r="F92">
            <v>188956</v>
          </cell>
          <cell r="G92">
            <v>188956</v>
          </cell>
          <cell r="H92">
            <v>188956</v>
          </cell>
          <cell r="I92">
            <v>188956</v>
          </cell>
          <cell r="J92">
            <v>188956</v>
          </cell>
        </row>
        <row r="93">
          <cell r="B93" t="str">
            <v>C 1-3-6</v>
          </cell>
          <cell r="C93" t="str">
            <v>Mat</v>
          </cell>
          <cell r="D93" t="str">
            <v>CONCRETO 1:3:6</v>
          </cell>
          <cell r="E93" t="str">
            <v>M 3</v>
          </cell>
          <cell r="F93">
            <v>159371</v>
          </cell>
          <cell r="G93">
            <v>159371</v>
          </cell>
          <cell r="H93">
            <v>159371</v>
          </cell>
          <cell r="I93">
            <v>159371</v>
          </cell>
          <cell r="J93">
            <v>159371</v>
          </cell>
        </row>
        <row r="94">
          <cell r="B94" t="str">
            <v>C CICL</v>
          </cell>
          <cell r="C94" t="str">
            <v>Mat</v>
          </cell>
          <cell r="D94" t="str">
            <v>CONCRETO CICLOPEO</v>
          </cell>
          <cell r="E94" t="str">
            <v>M 3</v>
          </cell>
          <cell r="F94">
            <v>140426.9</v>
          </cell>
          <cell r="G94">
            <v>140426.9</v>
          </cell>
          <cell r="H94">
            <v>140426.9</v>
          </cell>
          <cell r="I94">
            <v>140426.9</v>
          </cell>
          <cell r="J94">
            <v>140426.9</v>
          </cell>
        </row>
        <row r="95">
          <cell r="B95" t="str">
            <v>M 1-3</v>
          </cell>
          <cell r="C95" t="str">
            <v>Mat</v>
          </cell>
          <cell r="D95" t="str">
            <v>MORTERO 1-3 (MAT)</v>
          </cell>
          <cell r="E95" t="str">
            <v>M 3</v>
          </cell>
          <cell r="F95">
            <v>207385.99999999997</v>
          </cell>
          <cell r="G95">
            <v>207385.99999999997</v>
          </cell>
          <cell r="H95">
            <v>207385.99999999997</v>
          </cell>
          <cell r="I95">
            <v>207385.99999999997</v>
          </cell>
          <cell r="J95">
            <v>207385.99999999997</v>
          </cell>
        </row>
        <row r="96">
          <cell r="B96" t="str">
            <v>M 1-4</v>
          </cell>
          <cell r="C96" t="str">
            <v>Mat</v>
          </cell>
          <cell r="D96" t="str">
            <v>MORTERO 1-4 (MAT)</v>
          </cell>
          <cell r="E96" t="str">
            <v>M 3</v>
          </cell>
          <cell r="F96">
            <v>176986.19999999998</v>
          </cell>
          <cell r="G96">
            <v>176986.19999999998</v>
          </cell>
          <cell r="H96">
            <v>176986.19999999998</v>
          </cell>
          <cell r="I96">
            <v>176986.19999999998</v>
          </cell>
          <cell r="J96">
            <v>176986.19999999998</v>
          </cell>
        </row>
        <row r="97">
          <cell r="B97" t="str">
            <v>M 1-7</v>
          </cell>
          <cell r="C97" t="str">
            <v>Mat</v>
          </cell>
          <cell r="D97" t="str">
            <v>MORTERO 1-7 (MAT)</v>
          </cell>
          <cell r="E97" t="str">
            <v>M 3</v>
          </cell>
          <cell r="F97">
            <v>130620.2</v>
          </cell>
          <cell r="G97">
            <v>130620.2</v>
          </cell>
          <cell r="H97">
            <v>130620.2</v>
          </cell>
          <cell r="I97">
            <v>130620.2</v>
          </cell>
          <cell r="J97">
            <v>130620.2</v>
          </cell>
        </row>
        <row r="100">
          <cell r="B100" t="str">
            <v>Cu</v>
          </cell>
          <cell r="D100" t="str">
            <v>CUBIERTA</v>
          </cell>
        </row>
        <row r="101">
          <cell r="B101" t="str">
            <v>Cu-1</v>
          </cell>
          <cell r="C101" t="str">
            <v>Mat</v>
          </cell>
          <cell r="D101" t="str">
            <v xml:space="preserve">AMARRAS  </v>
          </cell>
          <cell r="E101" t="str">
            <v>Und</v>
          </cell>
          <cell r="F101">
            <v>60</v>
          </cell>
          <cell r="G101">
            <v>100</v>
          </cell>
          <cell r="H101">
            <v>100</v>
          </cell>
          <cell r="I101">
            <v>50</v>
          </cell>
          <cell r="J101">
            <v>100</v>
          </cell>
          <cell r="K101">
            <v>0.4</v>
          </cell>
        </row>
        <row r="102">
          <cell r="B102" t="str">
            <v>Cu-4</v>
          </cell>
          <cell r="C102" t="str">
            <v>Mat</v>
          </cell>
          <cell r="D102" t="str">
            <v>Ganchos para amarre teja F.C en obra</v>
          </cell>
          <cell r="E102" t="str">
            <v>Und</v>
          </cell>
          <cell r="F102">
            <v>160</v>
          </cell>
          <cell r="G102">
            <v>200</v>
          </cell>
          <cell r="H102">
            <v>250</v>
          </cell>
          <cell r="I102">
            <v>150</v>
          </cell>
          <cell r="J102">
            <v>200</v>
          </cell>
          <cell r="K102">
            <v>0.19999999999999996</v>
          </cell>
        </row>
        <row r="103">
          <cell r="B103" t="str">
            <v>Cu-5</v>
          </cell>
          <cell r="C103" t="str">
            <v>Mat</v>
          </cell>
          <cell r="D103" t="str">
            <v>Teja F.C No. 6</v>
          </cell>
          <cell r="E103" t="str">
            <v>Und</v>
          </cell>
          <cell r="F103">
            <v>15500</v>
          </cell>
          <cell r="G103">
            <v>16000</v>
          </cell>
          <cell r="H103">
            <v>19500</v>
          </cell>
          <cell r="I103">
            <v>19300</v>
          </cell>
          <cell r="J103">
            <v>22795</v>
          </cell>
          <cell r="K103">
            <v>3.125E-2</v>
          </cell>
        </row>
        <row r="104">
          <cell r="B104" t="str">
            <v>Cu-7</v>
          </cell>
          <cell r="C104" t="str">
            <v>Mat</v>
          </cell>
          <cell r="D104" t="str">
            <v xml:space="preserve">TEJA F.C No. 4  </v>
          </cell>
          <cell r="E104" t="str">
            <v>Und</v>
          </cell>
          <cell r="F104">
            <v>10300</v>
          </cell>
          <cell r="G104">
            <v>10800</v>
          </cell>
          <cell r="H104">
            <v>13200</v>
          </cell>
          <cell r="I104">
            <v>12800</v>
          </cell>
          <cell r="J104">
            <v>14550</v>
          </cell>
          <cell r="K104">
            <v>4.629629629629628E-2</v>
          </cell>
        </row>
        <row r="105">
          <cell r="B105" t="str">
            <v>Cu-8</v>
          </cell>
          <cell r="C105" t="str">
            <v>Mat</v>
          </cell>
          <cell r="D105" t="str">
            <v>PERLIN TIPO PERLIN EN C</v>
          </cell>
          <cell r="E105" t="str">
            <v>M L</v>
          </cell>
          <cell r="F105">
            <v>24000</v>
          </cell>
          <cell r="G105">
            <v>24000</v>
          </cell>
          <cell r="H105">
            <v>25000</v>
          </cell>
          <cell r="I105">
            <v>56608</v>
          </cell>
          <cell r="J105">
            <v>9409</v>
          </cell>
          <cell r="K105">
            <v>0</v>
          </cell>
        </row>
        <row r="106">
          <cell r="B106" t="str">
            <v>Cu-9</v>
          </cell>
          <cell r="C106" t="str">
            <v>Mat</v>
          </cell>
          <cell r="D106" t="str">
            <v>REVOQUE DE MURO</v>
          </cell>
          <cell r="E106" t="str">
            <v>Gbl</v>
          </cell>
          <cell r="F106">
            <v>20000</v>
          </cell>
          <cell r="G106">
            <v>22000</v>
          </cell>
          <cell r="H106">
            <v>25000</v>
          </cell>
          <cell r="I106">
            <v>22000</v>
          </cell>
          <cell r="J106">
            <v>24250</v>
          </cell>
          <cell r="K106">
            <v>9.0909090909090939E-2</v>
          </cell>
        </row>
        <row r="107">
          <cell r="B107" t="str">
            <v>Cu-10</v>
          </cell>
          <cell r="C107" t="str">
            <v>Mat</v>
          </cell>
          <cell r="D107" t="str">
            <v>CABALLETES</v>
          </cell>
          <cell r="E107" t="str">
            <v>Und</v>
          </cell>
          <cell r="F107">
            <v>9500</v>
          </cell>
          <cell r="G107">
            <v>9500</v>
          </cell>
          <cell r="H107">
            <v>13200</v>
          </cell>
          <cell r="I107">
            <v>12800</v>
          </cell>
          <cell r="J107">
            <v>22795</v>
          </cell>
          <cell r="K107">
            <v>0</v>
          </cell>
        </row>
        <row r="108">
          <cell r="B108" t="str">
            <v>Cu-12</v>
          </cell>
          <cell r="C108" t="str">
            <v>Mat</v>
          </cell>
          <cell r="D108" t="str">
            <v>CLARABOYA No.6</v>
          </cell>
          <cell r="E108" t="str">
            <v>Und</v>
          </cell>
          <cell r="F108">
            <v>43700</v>
          </cell>
          <cell r="G108">
            <v>46000</v>
          </cell>
          <cell r="H108">
            <v>41550</v>
          </cell>
          <cell r="I108">
            <v>39600</v>
          </cell>
          <cell r="J108">
            <v>33950</v>
          </cell>
          <cell r="K108">
            <v>5.0000000000000044E-2</v>
          </cell>
        </row>
        <row r="109">
          <cell r="B109" t="str">
            <v>Cu-13</v>
          </cell>
          <cell r="C109" t="str">
            <v>Mat</v>
          </cell>
          <cell r="D109" t="str">
            <v>Teja F.C No. 8</v>
          </cell>
          <cell r="E109" t="str">
            <v>Und</v>
          </cell>
          <cell r="H109">
            <v>23000</v>
          </cell>
          <cell r="I109">
            <v>20200</v>
          </cell>
          <cell r="J109">
            <v>27160</v>
          </cell>
          <cell r="K109" t="e">
            <v>#DIV/0!</v>
          </cell>
        </row>
        <row r="111">
          <cell r="B111" t="str">
            <v>Ele</v>
          </cell>
          <cell r="D111" t="str">
            <v>ELECTRICOS ELEMENTOS</v>
          </cell>
        </row>
        <row r="112">
          <cell r="B112" t="str">
            <v>Ele-2</v>
          </cell>
          <cell r="C112" t="str">
            <v>Mat</v>
          </cell>
          <cell r="D112" t="str">
            <v xml:space="preserve">ALAMBRE 14 AWG </v>
          </cell>
          <cell r="E112" t="str">
            <v>M L</v>
          </cell>
          <cell r="F112">
            <v>549</v>
          </cell>
          <cell r="G112">
            <v>741</v>
          </cell>
          <cell r="H112">
            <v>586.30000000000007</v>
          </cell>
          <cell r="I112">
            <v>533</v>
          </cell>
          <cell r="J112">
            <v>697.43</v>
          </cell>
          <cell r="K112">
            <v>0.25910931174089069</v>
          </cell>
        </row>
        <row r="113">
          <cell r="B113" t="str">
            <v>Ele-5</v>
          </cell>
          <cell r="C113" t="str">
            <v>Mat</v>
          </cell>
          <cell r="D113" t="str">
            <v xml:space="preserve">ALAMBRE No. 12 </v>
          </cell>
          <cell r="E113" t="str">
            <v>M L</v>
          </cell>
          <cell r="F113">
            <v>783</v>
          </cell>
          <cell r="G113">
            <v>1057</v>
          </cell>
          <cell r="H113">
            <v>836.00000000000011</v>
          </cell>
          <cell r="I113">
            <v>760</v>
          </cell>
          <cell r="J113">
            <v>996.18999999999994</v>
          </cell>
          <cell r="K113">
            <v>0.25922421948912011</v>
          </cell>
        </row>
        <row r="114">
          <cell r="B114" t="str">
            <v>Ele-6</v>
          </cell>
          <cell r="C114" t="str">
            <v>Mat</v>
          </cell>
          <cell r="D114" t="str">
            <v xml:space="preserve">ALAMBRE No. 10 </v>
          </cell>
          <cell r="E114" t="str">
            <v>M L</v>
          </cell>
          <cell r="F114">
            <v>1276</v>
          </cell>
          <cell r="G114">
            <v>1723</v>
          </cell>
          <cell r="H114">
            <v>1361.8000000000002</v>
          </cell>
          <cell r="I114">
            <v>1238</v>
          </cell>
          <cell r="J114">
            <v>1621.84</v>
          </cell>
          <cell r="K114">
            <v>0.25943122460824142</v>
          </cell>
        </row>
        <row r="115">
          <cell r="B115" t="str">
            <v>Ele-7</v>
          </cell>
          <cell r="C115" t="str">
            <v>Mat</v>
          </cell>
          <cell r="D115" t="str">
            <v>ALAMBRE TRENSADO PARA ACOMETIDAS</v>
          </cell>
          <cell r="E115" t="str">
            <v>M L</v>
          </cell>
          <cell r="F115">
            <v>5474</v>
          </cell>
          <cell r="G115">
            <v>5575</v>
          </cell>
          <cell r="H115">
            <v>2163.7000000000003</v>
          </cell>
          <cell r="I115">
            <v>1967</v>
          </cell>
          <cell r="J115">
            <v>5891.78</v>
          </cell>
          <cell r="K115">
            <v>1.8116591928251102E-2</v>
          </cell>
        </row>
        <row r="116">
          <cell r="B116" t="str">
            <v>Ele-8</v>
          </cell>
          <cell r="C116" t="str">
            <v>Mat</v>
          </cell>
          <cell r="D116" t="str">
            <v>BREAKER DE 1*20 AMP</v>
          </cell>
          <cell r="E116" t="str">
            <v>Und</v>
          </cell>
          <cell r="F116">
            <v>7100</v>
          </cell>
          <cell r="G116">
            <v>7700</v>
          </cell>
          <cell r="H116">
            <v>8250</v>
          </cell>
          <cell r="I116">
            <v>7500</v>
          </cell>
          <cell r="J116">
            <v>7678.5199999999995</v>
          </cell>
          <cell r="K116">
            <v>7.7922077922077948E-2</v>
          </cell>
        </row>
        <row r="117">
          <cell r="B117" t="str">
            <v>Ele-9</v>
          </cell>
          <cell r="C117" t="str">
            <v>Mat</v>
          </cell>
          <cell r="D117" t="str">
            <v>BREAKER DE 1*30 AMP</v>
          </cell>
          <cell r="E117" t="str">
            <v>Und</v>
          </cell>
          <cell r="F117">
            <v>7100</v>
          </cell>
          <cell r="G117">
            <v>7700</v>
          </cell>
          <cell r="H117">
            <v>8250</v>
          </cell>
          <cell r="I117">
            <v>7500</v>
          </cell>
          <cell r="J117">
            <v>7678.5199999999995</v>
          </cell>
          <cell r="K117">
            <v>7.7922077922077948E-2</v>
          </cell>
        </row>
        <row r="118">
          <cell r="B118" t="str">
            <v>Ele-10</v>
          </cell>
          <cell r="C118" t="str">
            <v>Mat</v>
          </cell>
          <cell r="D118" t="str">
            <v>BREAKER DE 1*40 AMP</v>
          </cell>
          <cell r="E118" t="str">
            <v>Und</v>
          </cell>
          <cell r="F118">
            <v>7700</v>
          </cell>
          <cell r="G118">
            <v>14129</v>
          </cell>
          <cell r="H118">
            <v>8250</v>
          </cell>
          <cell r="I118">
            <v>7500</v>
          </cell>
          <cell r="J118">
            <v>7678.5199999999995</v>
          </cell>
          <cell r="K118">
            <v>0.45502158680727578</v>
          </cell>
        </row>
        <row r="119">
          <cell r="B119" t="str">
            <v>Ele-11</v>
          </cell>
          <cell r="C119" t="str">
            <v>Mat</v>
          </cell>
          <cell r="D119" t="str">
            <v>ALAMBRE DE COBRE DESNUDO No. 10</v>
          </cell>
          <cell r="E119" t="str">
            <v>M L</v>
          </cell>
          <cell r="F119">
            <v>1165</v>
          </cell>
          <cell r="G119">
            <v>1400</v>
          </cell>
          <cell r="H119">
            <v>1155</v>
          </cell>
          <cell r="I119">
            <v>1238</v>
          </cell>
          <cell r="J119">
            <v>1621.84</v>
          </cell>
          <cell r="K119">
            <v>0.16785714285714282</v>
          </cell>
        </row>
        <row r="120">
          <cell r="B120" t="str">
            <v>Ele-12</v>
          </cell>
          <cell r="C120" t="str">
            <v>Mat</v>
          </cell>
          <cell r="D120" t="str">
            <v>CAJA ANTIFRAUDE CONTADOR</v>
          </cell>
          <cell r="E120" t="str">
            <v>Und</v>
          </cell>
          <cell r="F120">
            <v>22384</v>
          </cell>
          <cell r="G120">
            <v>23170</v>
          </cell>
          <cell r="H120">
            <v>34100</v>
          </cell>
          <cell r="I120">
            <v>31000</v>
          </cell>
          <cell r="J120">
            <v>18599.75</v>
          </cell>
          <cell r="K120">
            <v>3.3923176521363785E-2</v>
          </cell>
        </row>
        <row r="121">
          <cell r="B121" t="str">
            <v>Ele-14</v>
          </cell>
          <cell r="C121" t="str">
            <v>Mat</v>
          </cell>
          <cell r="D121" t="str">
            <v>CAJA CUADRADA DE 4*4 GALVANIZADA</v>
          </cell>
          <cell r="E121" t="str">
            <v>Und</v>
          </cell>
          <cell r="F121">
            <v>719</v>
          </cell>
          <cell r="G121">
            <v>1000</v>
          </cell>
          <cell r="H121">
            <v>968.00000000000011</v>
          </cell>
          <cell r="I121">
            <v>880</v>
          </cell>
          <cell r="J121">
            <v>553.87</v>
          </cell>
          <cell r="K121">
            <v>0.28100000000000003</v>
          </cell>
        </row>
        <row r="122">
          <cell r="B122" t="str">
            <v>Ele-16</v>
          </cell>
          <cell r="C122" t="str">
            <v>Mat</v>
          </cell>
          <cell r="D122" t="str">
            <v>CAJA RECTANGULAR DE 2*4 GALVANIZADA</v>
          </cell>
          <cell r="E122" t="str">
            <v>Und</v>
          </cell>
          <cell r="F122">
            <v>332</v>
          </cell>
          <cell r="G122">
            <v>691</v>
          </cell>
          <cell r="H122">
            <v>440.00000000000006</v>
          </cell>
          <cell r="I122">
            <v>400</v>
          </cell>
          <cell r="J122">
            <v>280.33</v>
          </cell>
          <cell r="K122">
            <v>0.51953690303907374</v>
          </cell>
        </row>
        <row r="123">
          <cell r="B123" t="str">
            <v>Ele-17</v>
          </cell>
          <cell r="C123" t="str">
            <v>Mat</v>
          </cell>
          <cell r="D123" t="str">
            <v>CAJA OCTOGONAL</v>
          </cell>
          <cell r="E123" t="str">
            <v>Und</v>
          </cell>
          <cell r="F123">
            <v>393</v>
          </cell>
          <cell r="G123">
            <v>630</v>
          </cell>
          <cell r="H123">
            <v>1045</v>
          </cell>
          <cell r="I123">
            <v>950</v>
          </cell>
          <cell r="J123">
            <v>391.88</v>
          </cell>
          <cell r="K123">
            <v>0.37619047619047619</v>
          </cell>
        </row>
        <row r="124">
          <cell r="B124" t="str">
            <v>Ele-18</v>
          </cell>
          <cell r="C124" t="str">
            <v>Mat</v>
          </cell>
          <cell r="D124" t="str">
            <v>CAPACETE DE 3/4</v>
          </cell>
          <cell r="E124" t="str">
            <v>Und</v>
          </cell>
          <cell r="H124">
            <v>825.00000000000011</v>
          </cell>
          <cell r="I124">
            <v>750</v>
          </cell>
          <cell r="J124">
            <v>809.94999999999993</v>
          </cell>
        </row>
        <row r="125">
          <cell r="B125" t="str">
            <v>Ele-19</v>
          </cell>
          <cell r="C125" t="str">
            <v>Mat</v>
          </cell>
          <cell r="D125" t="str">
            <v xml:space="preserve">CONDULETE CON DUCTO 3/4" </v>
          </cell>
          <cell r="E125" t="str">
            <v>Und</v>
          </cell>
          <cell r="H125">
            <v>15400.000000000002</v>
          </cell>
          <cell r="I125">
            <v>14000</v>
          </cell>
          <cell r="J125">
            <v>9590.39</v>
          </cell>
        </row>
        <row r="126">
          <cell r="B126" t="str">
            <v>Ele-20</v>
          </cell>
          <cell r="C126" t="str">
            <v>Mat</v>
          </cell>
          <cell r="D126" t="str">
            <v>CONECTORES PVC DE 1/2</v>
          </cell>
          <cell r="E126" t="str">
            <v>Und</v>
          </cell>
          <cell r="F126">
            <v>150</v>
          </cell>
          <cell r="G126">
            <v>150</v>
          </cell>
          <cell r="H126">
            <v>220.00000000000003</v>
          </cell>
          <cell r="I126">
            <v>200</v>
          </cell>
          <cell r="J126">
            <v>129.97999999999999</v>
          </cell>
          <cell r="K126">
            <v>0</v>
          </cell>
        </row>
        <row r="127">
          <cell r="B127" t="str">
            <v>Ele-21</v>
          </cell>
          <cell r="C127" t="str">
            <v>Mat</v>
          </cell>
          <cell r="D127" t="str">
            <v>CONECTORES PVC DE 3/4</v>
          </cell>
          <cell r="E127" t="str">
            <v>Und</v>
          </cell>
          <cell r="F127">
            <v>180</v>
          </cell>
          <cell r="G127">
            <v>200</v>
          </cell>
          <cell r="H127">
            <v>220.00000000000003</v>
          </cell>
          <cell r="I127">
            <v>200</v>
          </cell>
          <cell r="J127">
            <v>155.19999999999999</v>
          </cell>
          <cell r="K127">
            <v>9.9999999999999978E-2</v>
          </cell>
        </row>
        <row r="128">
          <cell r="B128" t="str">
            <v>Ele-22</v>
          </cell>
          <cell r="C128" t="str">
            <v>Mat</v>
          </cell>
          <cell r="D128" t="str">
            <v>CONECTOR PARA VARILLA DE Cu</v>
          </cell>
          <cell r="E128" t="str">
            <v>Und</v>
          </cell>
          <cell r="F128">
            <v>2400</v>
          </cell>
          <cell r="G128">
            <v>2600</v>
          </cell>
          <cell r="H128">
            <v>4180</v>
          </cell>
          <cell r="I128">
            <v>3800</v>
          </cell>
          <cell r="J128">
            <v>4410.59</v>
          </cell>
          <cell r="K128">
            <v>7.6923076923076872E-2</v>
          </cell>
        </row>
        <row r="129">
          <cell r="B129" t="str">
            <v>Ele-23</v>
          </cell>
          <cell r="C129" t="str">
            <v>Mat</v>
          </cell>
          <cell r="D129" t="str">
            <v>CONSUMIBLES ELECTRICO</v>
          </cell>
          <cell r="E129" t="str">
            <v>Gbl</v>
          </cell>
          <cell r="F129">
            <v>2000</v>
          </cell>
          <cell r="G129">
            <v>2500</v>
          </cell>
          <cell r="H129">
            <v>3000</v>
          </cell>
          <cell r="I129">
            <v>3000</v>
          </cell>
          <cell r="J129">
            <v>3880</v>
          </cell>
          <cell r="K129">
            <v>0.19999999999999996</v>
          </cell>
        </row>
        <row r="130">
          <cell r="B130" t="str">
            <v>Ele-24</v>
          </cell>
          <cell r="C130" t="str">
            <v>Mat</v>
          </cell>
          <cell r="D130" t="str">
            <v xml:space="preserve">CONTADOR MONOFASICO </v>
          </cell>
          <cell r="E130" t="str">
            <v>Und</v>
          </cell>
          <cell r="F130">
            <v>53500</v>
          </cell>
          <cell r="G130">
            <v>65000</v>
          </cell>
          <cell r="H130">
            <v>71500</v>
          </cell>
          <cell r="I130">
            <v>65000</v>
          </cell>
          <cell r="J130">
            <v>40740</v>
          </cell>
          <cell r="K130">
            <v>0.17692307692307696</v>
          </cell>
        </row>
        <row r="131">
          <cell r="B131" t="str">
            <v>Ele-28</v>
          </cell>
          <cell r="C131" t="str">
            <v>MOD</v>
          </cell>
          <cell r="D131" t="str">
            <v>CUADRILLA ELECTRICA</v>
          </cell>
          <cell r="E131" t="str">
            <v>Gbl</v>
          </cell>
          <cell r="F131">
            <v>85000</v>
          </cell>
          <cell r="G131">
            <v>184160</v>
          </cell>
          <cell r="H131">
            <v>159720</v>
          </cell>
          <cell r="I131">
            <v>145200</v>
          </cell>
          <cell r="J131">
            <v>339500</v>
          </cell>
          <cell r="K131">
            <v>0.53844483058210257</v>
          </cell>
        </row>
        <row r="132">
          <cell r="B132" t="str">
            <v>Ele-29</v>
          </cell>
          <cell r="C132" t="str">
            <v>Mat</v>
          </cell>
          <cell r="D132" t="str">
            <v xml:space="preserve">HIDROSOLFA </v>
          </cell>
          <cell r="E132" t="str">
            <v>Klg</v>
          </cell>
          <cell r="F132">
            <v>3250</v>
          </cell>
          <cell r="G132">
            <v>4250</v>
          </cell>
          <cell r="H132">
            <v>4400</v>
          </cell>
          <cell r="I132">
            <v>4000</v>
          </cell>
          <cell r="J132">
            <v>5820</v>
          </cell>
          <cell r="K132">
            <v>0.23529411764705888</v>
          </cell>
        </row>
        <row r="133">
          <cell r="B133" t="str">
            <v>Ele-30</v>
          </cell>
          <cell r="C133" t="str">
            <v>Mat</v>
          </cell>
          <cell r="D133" t="str">
            <v>INTERRUPTOR  -  SENCILLA</v>
          </cell>
          <cell r="E133" t="str">
            <v>Und</v>
          </cell>
          <cell r="F133">
            <v>2728</v>
          </cell>
          <cell r="G133">
            <v>3350</v>
          </cell>
          <cell r="H133">
            <v>2915.0000000000005</v>
          </cell>
          <cell r="I133">
            <v>2650</v>
          </cell>
          <cell r="J133">
            <v>2748.0099999999998</v>
          </cell>
          <cell r="K133">
            <v>0.18567164179104478</v>
          </cell>
        </row>
        <row r="134">
          <cell r="B134" t="str">
            <v>Ele-31</v>
          </cell>
          <cell r="C134" t="str">
            <v>Mat</v>
          </cell>
          <cell r="D134" t="str">
            <v>INTERRUPTOR  -  DOBLE</v>
          </cell>
          <cell r="E134" t="str">
            <v>Und</v>
          </cell>
          <cell r="F134">
            <v>3786</v>
          </cell>
          <cell r="G134">
            <v>4660</v>
          </cell>
          <cell r="H134">
            <v>6380.0000000000009</v>
          </cell>
          <cell r="I134">
            <v>5800</v>
          </cell>
          <cell r="J134">
            <v>3985.73</v>
          </cell>
          <cell r="K134">
            <v>0.18755364806866948</v>
          </cell>
        </row>
        <row r="135">
          <cell r="B135" t="str">
            <v>Ele-33</v>
          </cell>
          <cell r="C135" t="str">
            <v>Mat</v>
          </cell>
          <cell r="D135" t="str">
            <v>PEGANTE</v>
          </cell>
          <cell r="E135" t="str">
            <v>Gbl</v>
          </cell>
          <cell r="J135">
            <v>31040</v>
          </cell>
        </row>
        <row r="136">
          <cell r="B136" t="str">
            <v>Ele-34</v>
          </cell>
          <cell r="C136" t="str">
            <v>Mat</v>
          </cell>
          <cell r="D136" t="str">
            <v>PLAFON</v>
          </cell>
          <cell r="E136" t="str">
            <v>Und</v>
          </cell>
          <cell r="F136">
            <v>1253</v>
          </cell>
          <cell r="G136">
            <v>1300</v>
          </cell>
          <cell r="H136">
            <v>1485.0000000000002</v>
          </cell>
          <cell r="I136">
            <v>1350</v>
          </cell>
          <cell r="J136">
            <v>1267.79</v>
          </cell>
          <cell r="K136">
            <v>3.6153846153846203E-2</v>
          </cell>
        </row>
        <row r="137">
          <cell r="B137" t="str">
            <v>Ele-35</v>
          </cell>
          <cell r="C137" t="str">
            <v>Mat</v>
          </cell>
          <cell r="D137" t="str">
            <v>SOLDADURA TERMOFUNDENTE   *45g</v>
          </cell>
          <cell r="E137" t="str">
            <v>Klg</v>
          </cell>
          <cell r="F137">
            <v>8150</v>
          </cell>
          <cell r="G137">
            <v>17000</v>
          </cell>
          <cell r="H137">
            <v>19250</v>
          </cell>
          <cell r="I137">
            <v>17500</v>
          </cell>
          <cell r="J137">
            <v>29003</v>
          </cell>
          <cell r="K137">
            <v>0.52058823529411757</v>
          </cell>
        </row>
        <row r="138">
          <cell r="B138" t="str">
            <v>Ele-36</v>
          </cell>
          <cell r="C138" t="str">
            <v>Mat</v>
          </cell>
          <cell r="D138" t="str">
            <v>TABLERO DE BREAKERS</v>
          </cell>
          <cell r="E138" t="str">
            <v>Und</v>
          </cell>
          <cell r="F138">
            <v>13572</v>
          </cell>
          <cell r="G138">
            <v>24000</v>
          </cell>
          <cell r="H138">
            <v>20900</v>
          </cell>
          <cell r="I138">
            <v>19000</v>
          </cell>
          <cell r="J138">
            <v>18284.5</v>
          </cell>
          <cell r="K138">
            <v>0.4345</v>
          </cell>
        </row>
        <row r="139">
          <cell r="B139" t="str">
            <v>Ele-38</v>
          </cell>
          <cell r="C139" t="str">
            <v>Mat</v>
          </cell>
          <cell r="D139" t="str">
            <v>TAPON SANITARIO PARA DUCTO DE 2"</v>
          </cell>
          <cell r="E139" t="str">
            <v>Und</v>
          </cell>
          <cell r="F139">
            <v>500</v>
          </cell>
          <cell r="G139">
            <v>600</v>
          </cell>
          <cell r="H139">
            <v>495.00000000000006</v>
          </cell>
          <cell r="I139">
            <v>450</v>
          </cell>
          <cell r="J139">
            <v>776</v>
          </cell>
          <cell r="K139">
            <v>0.16666666666666663</v>
          </cell>
        </row>
        <row r="140">
          <cell r="B140" t="str">
            <v>Ele-41</v>
          </cell>
          <cell r="C140" t="str">
            <v>Mat</v>
          </cell>
          <cell r="D140" t="str">
            <v>TOMA ELECTRICO DOBLE</v>
          </cell>
          <cell r="E140" t="str">
            <v>Und</v>
          </cell>
          <cell r="F140">
            <v>3167</v>
          </cell>
          <cell r="G140">
            <v>3850</v>
          </cell>
          <cell r="H140">
            <v>3960.0000000000005</v>
          </cell>
          <cell r="I140">
            <v>3600</v>
          </cell>
          <cell r="J140">
            <v>1837.1799999999998</v>
          </cell>
          <cell r="K140">
            <v>0.17740259740259745</v>
          </cell>
        </row>
        <row r="141">
          <cell r="B141" t="str">
            <v>Ele-44</v>
          </cell>
          <cell r="C141" t="str">
            <v>Mat</v>
          </cell>
          <cell r="D141" t="str">
            <v>TOMA ESTUFA DE 30 AMP</v>
          </cell>
          <cell r="E141" t="str">
            <v>Und</v>
          </cell>
          <cell r="F141">
            <v>7100</v>
          </cell>
          <cell r="G141">
            <v>9990</v>
          </cell>
          <cell r="H141">
            <v>9000</v>
          </cell>
          <cell r="I141">
            <v>6500</v>
          </cell>
          <cell r="J141">
            <v>5413.57</v>
          </cell>
          <cell r="K141">
            <v>0.28928928928928932</v>
          </cell>
        </row>
        <row r="142">
          <cell r="B142" t="str">
            <v>Ele-45</v>
          </cell>
          <cell r="C142" t="str">
            <v>Mat</v>
          </cell>
          <cell r="D142" t="str">
            <v>TUBERIA CONDUIT DE 1/2 * 3</v>
          </cell>
          <cell r="E142" t="str">
            <v>M L</v>
          </cell>
          <cell r="F142">
            <v>717</v>
          </cell>
          <cell r="G142">
            <v>1494</v>
          </cell>
          <cell r="H142">
            <v>733.7</v>
          </cell>
          <cell r="I142">
            <v>667</v>
          </cell>
          <cell r="J142">
            <v>671.24</v>
          </cell>
          <cell r="K142">
            <v>0.52008032128514059</v>
          </cell>
        </row>
        <row r="143">
          <cell r="B143" t="str">
            <v>Ele-46</v>
          </cell>
          <cell r="C143" t="str">
            <v>Mat</v>
          </cell>
          <cell r="D143" t="str">
            <v>TUBO GALVANIZADO DE 3/4, CAPACETE Y ADAPT</v>
          </cell>
          <cell r="E143" t="str">
            <v>Und</v>
          </cell>
          <cell r="F143">
            <v>7000</v>
          </cell>
          <cell r="G143">
            <v>13000</v>
          </cell>
          <cell r="H143">
            <v>13000</v>
          </cell>
          <cell r="I143">
            <v>16050</v>
          </cell>
          <cell r="J143">
            <v>20370</v>
          </cell>
          <cell r="K143">
            <v>0.46153846153846156</v>
          </cell>
        </row>
        <row r="144">
          <cell r="B144" t="str">
            <v>Ele-47</v>
          </cell>
          <cell r="C144" t="str">
            <v>Mat</v>
          </cell>
          <cell r="D144" t="str">
            <v>TUBO GALVANIZADO DE 1/2 *3M</v>
          </cell>
          <cell r="E144" t="str">
            <v>Und</v>
          </cell>
          <cell r="F144">
            <v>6662</v>
          </cell>
          <cell r="G144">
            <v>6662</v>
          </cell>
          <cell r="H144">
            <v>8690</v>
          </cell>
          <cell r="I144">
            <v>7900</v>
          </cell>
          <cell r="J144">
            <v>9603</v>
          </cell>
          <cell r="K144">
            <v>0</v>
          </cell>
        </row>
        <row r="145">
          <cell r="B145" t="str">
            <v>Ele-48</v>
          </cell>
          <cell r="C145" t="str">
            <v>Mat</v>
          </cell>
          <cell r="D145" t="str">
            <v>TUBERIA CONDUIT DE 3/4 * 3</v>
          </cell>
          <cell r="E145" t="str">
            <v>M L</v>
          </cell>
          <cell r="F145">
            <v>867</v>
          </cell>
          <cell r="G145">
            <v>2200</v>
          </cell>
          <cell r="H145">
            <v>1155</v>
          </cell>
          <cell r="I145">
            <v>1050</v>
          </cell>
          <cell r="J145">
            <v>877.85</v>
          </cell>
          <cell r="K145">
            <v>0.60590909090909095</v>
          </cell>
        </row>
        <row r="146">
          <cell r="B146" t="str">
            <v>Ele-49</v>
          </cell>
          <cell r="C146" t="str">
            <v>Mat</v>
          </cell>
          <cell r="D146" t="str">
            <v xml:space="preserve">1/32 SOLDADURA ELECTRICA </v>
          </cell>
          <cell r="E146" t="str">
            <v>Und</v>
          </cell>
          <cell r="F146">
            <v>1979</v>
          </cell>
          <cell r="G146">
            <v>3200</v>
          </cell>
          <cell r="H146">
            <v>13750.000000000002</v>
          </cell>
          <cell r="I146">
            <v>12500</v>
          </cell>
          <cell r="J146">
            <v>8245</v>
          </cell>
          <cell r="K146">
            <v>0.38156250000000003</v>
          </cell>
        </row>
        <row r="147">
          <cell r="B147" t="str">
            <v>Ele-50</v>
          </cell>
          <cell r="C147" t="str">
            <v>Mat</v>
          </cell>
          <cell r="D147" t="str">
            <v xml:space="preserve">VARILLA COPERWELD  </v>
          </cell>
          <cell r="E147" t="str">
            <v>Und</v>
          </cell>
          <cell r="F147">
            <v>57260</v>
          </cell>
          <cell r="G147">
            <v>85700</v>
          </cell>
          <cell r="H147">
            <v>110000.00000000001</v>
          </cell>
          <cell r="I147">
            <v>100000</v>
          </cell>
          <cell r="J147">
            <v>56260</v>
          </cell>
          <cell r="K147">
            <v>0.33185530921820305</v>
          </cell>
        </row>
        <row r="148">
          <cell r="B148" t="str">
            <v>Ele-56</v>
          </cell>
          <cell r="C148" t="str">
            <v>Mat</v>
          </cell>
          <cell r="D148" t="str">
            <v>TOMA ANTIHUMEDAD</v>
          </cell>
          <cell r="E148" t="str">
            <v>Und</v>
          </cell>
          <cell r="I148">
            <v>28000</v>
          </cell>
          <cell r="J148">
            <v>25705</v>
          </cell>
        </row>
        <row r="149">
          <cell r="B149" t="str">
            <v>Ele-57</v>
          </cell>
          <cell r="C149" t="str">
            <v>Mat</v>
          </cell>
          <cell r="D149" t="str">
            <v>ADAPTADOR METALICO PARA CONDULETA EMT</v>
          </cell>
          <cell r="E149" t="str">
            <v>Und</v>
          </cell>
          <cell r="I149">
            <v>1300</v>
          </cell>
          <cell r="J149">
            <v>921.5</v>
          </cell>
        </row>
        <row r="150">
          <cell r="B150" t="str">
            <v>Ele-58</v>
          </cell>
          <cell r="C150" t="str">
            <v>Mat</v>
          </cell>
          <cell r="D150" t="str">
            <v>CINTA AISLANTE</v>
          </cell>
          <cell r="E150" t="str">
            <v>Und</v>
          </cell>
          <cell r="I150">
            <v>2500</v>
          </cell>
          <cell r="J150">
            <v>2972.08</v>
          </cell>
        </row>
        <row r="151">
          <cell r="B151" t="str">
            <v>Ele-59</v>
          </cell>
          <cell r="C151" t="str">
            <v>Mat</v>
          </cell>
          <cell r="D151" t="str">
            <v>CURVAS DE 1/2"</v>
          </cell>
          <cell r="E151" t="str">
            <v>Und</v>
          </cell>
          <cell r="I151">
            <v>250</v>
          </cell>
          <cell r="J151">
            <v>198.85</v>
          </cell>
        </row>
        <row r="152">
          <cell r="B152" t="str">
            <v>Ele-60</v>
          </cell>
          <cell r="C152" t="str">
            <v>Mat</v>
          </cell>
          <cell r="D152" t="str">
            <v>CURVAS DE 3/4"</v>
          </cell>
          <cell r="E152" t="str">
            <v>Und</v>
          </cell>
          <cell r="I152">
            <v>350</v>
          </cell>
          <cell r="J152">
            <v>326.89</v>
          </cell>
        </row>
        <row r="153">
          <cell r="B153" t="str">
            <v>Ele-61</v>
          </cell>
          <cell r="C153" t="str">
            <v>Mat</v>
          </cell>
          <cell r="D153" t="str">
            <v>SUPLEMENTOS DE 4 X 4</v>
          </cell>
          <cell r="E153" t="str">
            <v>Und</v>
          </cell>
          <cell r="I153">
            <v>450</v>
          </cell>
          <cell r="J153">
            <v>679</v>
          </cell>
        </row>
        <row r="154">
          <cell r="B154" t="str">
            <v>Ele-62</v>
          </cell>
          <cell r="C154" t="str">
            <v>Mat</v>
          </cell>
          <cell r="D154" t="str">
            <v>TAPAS CIEGAS DE 2 X 4</v>
          </cell>
          <cell r="E154" t="str">
            <v>Und</v>
          </cell>
          <cell r="I154">
            <v>400</v>
          </cell>
          <cell r="J154">
            <v>137.74</v>
          </cell>
        </row>
        <row r="155">
          <cell r="B155" t="str">
            <v>Ele-63</v>
          </cell>
          <cell r="C155" t="str">
            <v>Mat</v>
          </cell>
          <cell r="D155" t="str">
            <v>TERMINAL DE 1/2"</v>
          </cell>
          <cell r="E155" t="str">
            <v>Und</v>
          </cell>
          <cell r="I155">
            <v>170</v>
          </cell>
          <cell r="J155">
            <v>130.94999999999999</v>
          </cell>
        </row>
        <row r="156">
          <cell r="B156" t="str">
            <v>Ele-64</v>
          </cell>
          <cell r="C156" t="str">
            <v>Mat</v>
          </cell>
          <cell r="D156" t="str">
            <v>TERMINAL DE 3/4"</v>
          </cell>
          <cell r="E156" t="str">
            <v>Und</v>
          </cell>
          <cell r="I156">
            <v>200</v>
          </cell>
          <cell r="J156">
            <v>163.93</v>
          </cell>
        </row>
        <row r="157">
          <cell r="B157" t="str">
            <v>Ele-65</v>
          </cell>
          <cell r="C157" t="str">
            <v>Mat</v>
          </cell>
          <cell r="D157" t="str">
            <v>TENSOR PARA ACPMETIDA</v>
          </cell>
          <cell r="E157" t="str">
            <v>Und</v>
          </cell>
          <cell r="I157">
            <v>5000</v>
          </cell>
          <cell r="J157">
            <v>7372</v>
          </cell>
        </row>
        <row r="160">
          <cell r="B160" t="str">
            <v>En</v>
          </cell>
          <cell r="D160" t="str">
            <v>ENCHAPE</v>
          </cell>
        </row>
        <row r="161">
          <cell r="B161" t="str">
            <v>En-1</v>
          </cell>
          <cell r="C161" t="str">
            <v>Mat</v>
          </cell>
          <cell r="D161" t="str">
            <v xml:space="preserve">AZULEJO BLANCO </v>
          </cell>
          <cell r="E161" t="str">
            <v>M 2</v>
          </cell>
          <cell r="F161">
            <v>11750</v>
          </cell>
          <cell r="G161">
            <v>12600</v>
          </cell>
          <cell r="H161">
            <v>13200</v>
          </cell>
          <cell r="I161">
            <v>12900</v>
          </cell>
          <cell r="J161">
            <v>14550</v>
          </cell>
          <cell r="K161">
            <v>6.7460317460317443E-2</v>
          </cell>
        </row>
        <row r="162">
          <cell r="B162" t="str">
            <v>En-2</v>
          </cell>
          <cell r="C162" t="str">
            <v>Mat</v>
          </cell>
          <cell r="D162" t="str">
            <v xml:space="preserve">DIOXIDO DE TITANIO  </v>
          </cell>
          <cell r="E162" t="str">
            <v>Klg</v>
          </cell>
          <cell r="F162">
            <v>11875</v>
          </cell>
          <cell r="G162">
            <v>12800</v>
          </cell>
          <cell r="I162">
            <v>12500</v>
          </cell>
          <cell r="J162">
            <v>4074</v>
          </cell>
          <cell r="K162">
            <v>7.2265625E-2</v>
          </cell>
        </row>
        <row r="163">
          <cell r="B163" t="str">
            <v>En-3</v>
          </cell>
          <cell r="C163" t="str">
            <v>Mat</v>
          </cell>
          <cell r="D163" t="str">
            <v xml:space="preserve">PIRAGUA </v>
          </cell>
          <cell r="E163" t="str">
            <v>M L</v>
          </cell>
          <cell r="F163">
            <v>1100</v>
          </cell>
          <cell r="G163">
            <v>2000</v>
          </cell>
          <cell r="H163">
            <v>1300</v>
          </cell>
          <cell r="I163">
            <v>1140</v>
          </cell>
          <cell r="J163">
            <v>1261</v>
          </cell>
          <cell r="K163">
            <v>0.44999999999999996</v>
          </cell>
        </row>
        <row r="164">
          <cell r="B164" t="str">
            <v>En-4</v>
          </cell>
          <cell r="C164" t="str">
            <v>Mat</v>
          </cell>
          <cell r="D164" t="str">
            <v>WAIPE</v>
          </cell>
          <cell r="E164" t="str">
            <v>Klg</v>
          </cell>
          <cell r="F164">
            <v>4300</v>
          </cell>
          <cell r="G164">
            <v>5500</v>
          </cell>
          <cell r="H164">
            <v>5000</v>
          </cell>
          <cell r="I164">
            <v>4500</v>
          </cell>
          <cell r="J164">
            <v>5335</v>
          </cell>
          <cell r="K164">
            <v>0.21818181818181814</v>
          </cell>
        </row>
        <row r="166">
          <cell r="B166" t="str">
            <v>Eq</v>
          </cell>
          <cell r="D166" t="str">
            <v>EQUIPO</v>
          </cell>
        </row>
        <row r="167">
          <cell r="B167" t="str">
            <v>Eq-1</v>
          </cell>
          <cell r="C167" t="str">
            <v>Equ</v>
          </cell>
          <cell r="D167" t="str">
            <v xml:space="preserve">CUERPO DE ANDAMIOS </v>
          </cell>
          <cell r="E167" t="str">
            <v>Hra</v>
          </cell>
          <cell r="F167">
            <v>70</v>
          </cell>
          <cell r="G167">
            <v>79.998000000000005</v>
          </cell>
          <cell r="I167">
            <v>200</v>
          </cell>
          <cell r="J167">
            <v>218.25</v>
          </cell>
          <cell r="K167">
            <v>0.12497812445311141</v>
          </cell>
        </row>
        <row r="168">
          <cell r="B168" t="str">
            <v>Eq-2</v>
          </cell>
          <cell r="C168" t="str">
            <v>Equ</v>
          </cell>
          <cell r="D168" t="str">
            <v xml:space="preserve">HERRAMIENTA MENOR </v>
          </cell>
          <cell r="E168" t="str">
            <v>Hra</v>
          </cell>
          <cell r="F168">
            <v>50</v>
          </cell>
          <cell r="G168">
            <v>60</v>
          </cell>
          <cell r="I168">
            <v>70</v>
          </cell>
          <cell r="J168">
            <v>48.5</v>
          </cell>
          <cell r="K168">
            <v>0.16666666666666663</v>
          </cell>
        </row>
        <row r="169">
          <cell r="B169" t="str">
            <v>Eq-3</v>
          </cell>
          <cell r="C169" t="str">
            <v>Equ</v>
          </cell>
          <cell r="D169" t="str">
            <v>MEZCLADORA</v>
          </cell>
          <cell r="E169" t="str">
            <v>Hra</v>
          </cell>
          <cell r="F169">
            <v>10000</v>
          </cell>
          <cell r="G169">
            <v>12000</v>
          </cell>
          <cell r="I169">
            <v>5000</v>
          </cell>
          <cell r="J169">
            <v>7760</v>
          </cell>
          <cell r="K169">
            <v>0.16666666666666663</v>
          </cell>
        </row>
        <row r="170">
          <cell r="B170" t="str">
            <v>Eq-5</v>
          </cell>
          <cell r="C170" t="str">
            <v>Equ</v>
          </cell>
          <cell r="D170" t="str">
            <v>VIBRADOR DE CONCRETO</v>
          </cell>
          <cell r="E170" t="str">
            <v>Hra</v>
          </cell>
          <cell r="F170">
            <v>2800</v>
          </cell>
          <cell r="G170">
            <v>3200</v>
          </cell>
          <cell r="I170">
            <v>5000</v>
          </cell>
          <cell r="J170">
            <v>7760</v>
          </cell>
          <cell r="K170">
            <v>0.125</v>
          </cell>
        </row>
        <row r="171">
          <cell r="B171" t="str">
            <v>Eq-6</v>
          </cell>
          <cell r="C171" t="str">
            <v>Equ</v>
          </cell>
          <cell r="D171" t="str">
            <v xml:space="preserve">VOLQUETA </v>
          </cell>
          <cell r="E171" t="str">
            <v>Hra</v>
          </cell>
          <cell r="F171">
            <v>7500</v>
          </cell>
          <cell r="G171">
            <v>9000</v>
          </cell>
          <cell r="I171">
            <v>8500</v>
          </cell>
          <cell r="J171">
            <v>8245</v>
          </cell>
          <cell r="K171">
            <v>0.16666666666666663</v>
          </cell>
        </row>
        <row r="172">
          <cell r="B172" t="str">
            <v>Eq-7</v>
          </cell>
          <cell r="C172" t="str">
            <v>Equ</v>
          </cell>
          <cell r="D172" t="str">
            <v>SALTARIN</v>
          </cell>
          <cell r="E172" t="str">
            <v>Hra</v>
          </cell>
          <cell r="J172">
            <v>6875</v>
          </cell>
        </row>
        <row r="174">
          <cell r="B174" t="str">
            <v>Hid</v>
          </cell>
          <cell r="D174" t="str">
            <v>HIDRAULICA</v>
          </cell>
        </row>
        <row r="175">
          <cell r="B175" t="str">
            <v>Hid-1</v>
          </cell>
          <cell r="C175" t="str">
            <v>Mat</v>
          </cell>
          <cell r="D175" t="str">
            <v>ADAPTADOR MACHO DE 1/2"</v>
          </cell>
          <cell r="E175" t="str">
            <v>Und</v>
          </cell>
          <cell r="F175">
            <v>131</v>
          </cell>
          <cell r="G175">
            <v>252</v>
          </cell>
          <cell r="H175">
            <v>186</v>
          </cell>
          <cell r="I175">
            <v>155</v>
          </cell>
          <cell r="J175">
            <v>147.44</v>
          </cell>
          <cell r="K175">
            <v>0.48015873015873012</v>
          </cell>
        </row>
        <row r="176">
          <cell r="B176" t="str">
            <v>Hid-2</v>
          </cell>
          <cell r="C176" t="str">
            <v>Mat</v>
          </cell>
          <cell r="D176" t="str">
            <v>ADAPTADOR HEMBRA DE 1/2"</v>
          </cell>
          <cell r="E176" t="str">
            <v>Und</v>
          </cell>
          <cell r="F176">
            <v>148.4</v>
          </cell>
          <cell r="G176">
            <v>285</v>
          </cell>
          <cell r="H176">
            <v>162</v>
          </cell>
          <cell r="I176">
            <v>135</v>
          </cell>
          <cell r="J176">
            <v>165.87</v>
          </cell>
          <cell r="K176">
            <v>0.47929824561403511</v>
          </cell>
        </row>
        <row r="177">
          <cell r="B177" t="str">
            <v>Hid-3</v>
          </cell>
          <cell r="C177" t="str">
            <v>Mat</v>
          </cell>
          <cell r="D177" t="str">
            <v>CONSUMIBLES HCA</v>
          </cell>
          <cell r="E177" t="str">
            <v>Gbl</v>
          </cell>
          <cell r="F177">
            <v>2000</v>
          </cell>
          <cell r="G177">
            <v>2500</v>
          </cell>
          <cell r="H177">
            <v>3000</v>
          </cell>
          <cell r="I177">
            <v>2500</v>
          </cell>
          <cell r="J177">
            <v>2910</v>
          </cell>
          <cell r="K177">
            <v>0.19999999999999996</v>
          </cell>
        </row>
        <row r="178">
          <cell r="B178" t="str">
            <v>Hid-4</v>
          </cell>
          <cell r="C178" t="str">
            <v>Mat</v>
          </cell>
          <cell r="D178" t="str">
            <v>UNIVERSAL DE 1/2</v>
          </cell>
          <cell r="E178" t="str">
            <v>Und</v>
          </cell>
          <cell r="F178">
            <v>1058.5999999999999</v>
          </cell>
          <cell r="G178">
            <v>2036</v>
          </cell>
          <cell r="H178">
            <v>1444.8</v>
          </cell>
          <cell r="I178">
            <v>1204</v>
          </cell>
          <cell r="J178">
            <v>1891.5</v>
          </cell>
          <cell r="K178">
            <v>0.48005893909626729</v>
          </cell>
        </row>
        <row r="179">
          <cell r="B179" t="str">
            <v>Hid-5</v>
          </cell>
          <cell r="C179" t="str">
            <v>Mat</v>
          </cell>
          <cell r="D179" t="str">
            <v>CAJILLA PARA CONTADOR - metalica</v>
          </cell>
          <cell r="E179" t="str">
            <v>Und</v>
          </cell>
          <cell r="F179">
            <v>19500</v>
          </cell>
          <cell r="G179">
            <v>30000</v>
          </cell>
          <cell r="H179">
            <v>19800</v>
          </cell>
          <cell r="I179">
            <v>16500</v>
          </cell>
          <cell r="J179">
            <v>14852.64</v>
          </cell>
          <cell r="K179">
            <v>0.35</v>
          </cell>
        </row>
        <row r="180">
          <cell r="B180" t="str">
            <v>Hid-7</v>
          </cell>
          <cell r="C180" t="str">
            <v>Mat</v>
          </cell>
          <cell r="D180" t="str">
            <v>CODO 90º DE 1/2" DE PVC presion</v>
          </cell>
          <cell r="E180" t="str">
            <v>Und</v>
          </cell>
          <cell r="F180">
            <v>178</v>
          </cell>
          <cell r="G180">
            <v>366</v>
          </cell>
          <cell r="H180">
            <v>234</v>
          </cell>
          <cell r="I180">
            <v>195</v>
          </cell>
          <cell r="J180">
            <v>179.45</v>
          </cell>
          <cell r="K180">
            <v>0.51366120218579236</v>
          </cell>
        </row>
        <row r="181">
          <cell r="B181" t="str">
            <v>Hid-8</v>
          </cell>
          <cell r="C181" t="str">
            <v>Mat</v>
          </cell>
          <cell r="D181" t="str">
            <v>GRIF DE 1/2" LISO - ROSCADO</v>
          </cell>
          <cell r="E181" t="str">
            <v>Und</v>
          </cell>
          <cell r="F181">
            <v>6393</v>
          </cell>
          <cell r="G181">
            <v>9836</v>
          </cell>
          <cell r="H181">
            <v>13200</v>
          </cell>
          <cell r="I181">
            <v>11000</v>
          </cell>
          <cell r="J181">
            <v>13677</v>
          </cell>
          <cell r="K181">
            <v>0.35004066693777958</v>
          </cell>
        </row>
        <row r="182">
          <cell r="B182" t="str">
            <v>Hid-9</v>
          </cell>
          <cell r="C182" t="str">
            <v>Mat</v>
          </cell>
          <cell r="D182" t="str">
            <v>LLAVE DE PAS DE 1/2" - bola</v>
          </cell>
          <cell r="E182" t="str">
            <v>Und</v>
          </cell>
          <cell r="F182">
            <v>7014</v>
          </cell>
          <cell r="G182">
            <v>10790</v>
          </cell>
          <cell r="H182">
            <v>10080</v>
          </cell>
          <cell r="I182">
            <v>8400</v>
          </cell>
          <cell r="J182">
            <v>11640</v>
          </cell>
          <cell r="K182">
            <v>0.34995366079703427</v>
          </cell>
        </row>
        <row r="183">
          <cell r="B183" t="str">
            <v>Hid-10</v>
          </cell>
          <cell r="C183" t="str">
            <v>Mat</v>
          </cell>
          <cell r="D183" t="str">
            <v>MANGUERA DE ACOPLE sanitario</v>
          </cell>
          <cell r="E183" t="str">
            <v>Und</v>
          </cell>
          <cell r="F183">
            <v>1007</v>
          </cell>
          <cell r="G183">
            <v>1548</v>
          </cell>
          <cell r="H183">
            <v>2640</v>
          </cell>
          <cell r="I183">
            <v>2200</v>
          </cell>
          <cell r="J183">
            <v>2667.5</v>
          </cell>
          <cell r="K183">
            <v>0.34948320413436695</v>
          </cell>
        </row>
        <row r="184">
          <cell r="B184" t="str">
            <v>Hid-11</v>
          </cell>
          <cell r="C184" t="str">
            <v>Mat</v>
          </cell>
          <cell r="D184" t="str">
            <v>MEDIDOR VOLUMETRICO DE 1/2" - contador</v>
          </cell>
          <cell r="E184" t="str">
            <v>Und</v>
          </cell>
          <cell r="F184">
            <v>78000</v>
          </cell>
          <cell r="G184">
            <v>90000</v>
          </cell>
          <cell r="H184">
            <v>120000</v>
          </cell>
          <cell r="I184">
            <v>75000</v>
          </cell>
          <cell r="J184">
            <v>113490</v>
          </cell>
          <cell r="K184">
            <v>0.1333333333333333</v>
          </cell>
        </row>
        <row r="185">
          <cell r="B185" t="str">
            <v>Hid-12</v>
          </cell>
          <cell r="C185" t="str">
            <v>Mat</v>
          </cell>
          <cell r="D185" t="str">
            <v xml:space="preserve">REGISTRO DE CORTE </v>
          </cell>
          <cell r="E185" t="str">
            <v>Und</v>
          </cell>
          <cell r="F185">
            <v>15000</v>
          </cell>
          <cell r="G185">
            <v>17350</v>
          </cell>
          <cell r="H185">
            <v>19200</v>
          </cell>
          <cell r="I185">
            <v>16000</v>
          </cell>
          <cell r="J185">
            <v>21340</v>
          </cell>
          <cell r="K185">
            <v>0.13544668587896258</v>
          </cell>
        </row>
        <row r="186">
          <cell r="B186" t="str">
            <v>Hid-13</v>
          </cell>
          <cell r="C186" t="str">
            <v>Mat</v>
          </cell>
          <cell r="D186" t="str">
            <v>TEE DE PVC 1/2" pres</v>
          </cell>
          <cell r="E186" t="str">
            <v>Und</v>
          </cell>
          <cell r="F186">
            <v>251.6</v>
          </cell>
          <cell r="G186">
            <v>484</v>
          </cell>
          <cell r="H186">
            <v>312</v>
          </cell>
          <cell r="I186">
            <v>260</v>
          </cell>
          <cell r="J186">
            <v>238.62</v>
          </cell>
          <cell r="K186">
            <v>0.48016528925619839</v>
          </cell>
        </row>
        <row r="187">
          <cell r="B187" t="str">
            <v>Hid-14</v>
          </cell>
          <cell r="C187" t="str">
            <v>Mat</v>
          </cell>
          <cell r="D187" t="str">
            <v>TUBERIA PVC DE 1/2"</v>
          </cell>
          <cell r="E187" t="str">
            <v>M L</v>
          </cell>
          <cell r="F187">
            <v>845</v>
          </cell>
          <cell r="G187">
            <v>1625.6</v>
          </cell>
          <cell r="H187">
            <v>900</v>
          </cell>
          <cell r="I187">
            <v>750</v>
          </cell>
          <cell r="J187">
            <v>758.54</v>
          </cell>
          <cell r="K187">
            <v>0.48019192913385822</v>
          </cell>
        </row>
        <row r="188">
          <cell r="B188" t="str">
            <v>Hid-15</v>
          </cell>
          <cell r="C188" t="str">
            <v>Mat</v>
          </cell>
          <cell r="D188" t="str">
            <v>REGISTRO DE INCORPORACION</v>
          </cell>
          <cell r="E188" t="str">
            <v>Und</v>
          </cell>
          <cell r="H188">
            <v>22500</v>
          </cell>
          <cell r="I188">
            <v>18750</v>
          </cell>
          <cell r="J188">
            <v>21340</v>
          </cell>
        </row>
        <row r="189">
          <cell r="B189" t="str">
            <v>Hid-16</v>
          </cell>
          <cell r="C189" t="str">
            <v>Mat</v>
          </cell>
          <cell r="D189" t="str">
            <v>REJILLAS DE 1 1/2"</v>
          </cell>
          <cell r="E189" t="str">
            <v>Und</v>
          </cell>
          <cell r="J189">
            <v>5335</v>
          </cell>
        </row>
        <row r="190">
          <cell r="B190" t="str">
            <v>Hid-17</v>
          </cell>
          <cell r="C190" t="str">
            <v>Mat</v>
          </cell>
          <cell r="D190" t="str">
            <v>TAPAPOZUELO DE 1 1/2"</v>
          </cell>
          <cell r="E190" t="str">
            <v>Und</v>
          </cell>
          <cell r="J190">
            <v>4656</v>
          </cell>
        </row>
        <row r="191">
          <cell r="B191" t="str">
            <v>Hid-18</v>
          </cell>
          <cell r="C191" t="str">
            <v>Mat</v>
          </cell>
          <cell r="D191" t="str">
            <v>GRIFO TIPO CUELLO DE GANZO</v>
          </cell>
          <cell r="E191" t="str">
            <v>Und</v>
          </cell>
          <cell r="J191">
            <v>63050</v>
          </cell>
        </row>
        <row r="192">
          <cell r="B192" t="str">
            <v>Hid-24</v>
          </cell>
          <cell r="C192" t="str">
            <v>Mat</v>
          </cell>
          <cell r="D192" t="str">
            <v>MANGUERA DE 1/2" PARA AGUA POTABLE</v>
          </cell>
          <cell r="E192" t="str">
            <v>M L</v>
          </cell>
          <cell r="J192">
            <v>1202.8</v>
          </cell>
        </row>
        <row r="193">
          <cell r="B193" t="str">
            <v>Hid-25</v>
          </cell>
          <cell r="C193" t="str">
            <v>Mat</v>
          </cell>
          <cell r="D193" t="str">
            <v>ADAPTADOR MACHO PF DE 1/2"</v>
          </cell>
          <cell r="E193" t="str">
            <v>Und</v>
          </cell>
          <cell r="J193">
            <v>1377.3999999999999</v>
          </cell>
        </row>
        <row r="194">
          <cell r="B194" t="str">
            <v>Hid-26</v>
          </cell>
          <cell r="C194" t="str">
            <v>Mat</v>
          </cell>
          <cell r="D194" t="str">
            <v>ADAPTADOR HEMBRA PF DE 1/2"</v>
          </cell>
          <cell r="E194" t="str">
            <v>Und</v>
          </cell>
          <cell r="J194">
            <v>1406.5</v>
          </cell>
        </row>
        <row r="195">
          <cell r="B195" t="str">
            <v>Hid-27</v>
          </cell>
          <cell r="C195" t="str">
            <v>Mat</v>
          </cell>
          <cell r="D195" t="str">
            <v>UNION PF DE 1/2"</v>
          </cell>
          <cell r="E195" t="str">
            <v>Und</v>
          </cell>
          <cell r="J195">
            <v>115.42999999999999</v>
          </cell>
        </row>
        <row r="196">
          <cell r="B196" t="str">
            <v>Hid-28</v>
          </cell>
          <cell r="C196" t="str">
            <v>Mat</v>
          </cell>
          <cell r="D196" t="str">
            <v>REGISTRO DE CORTE</v>
          </cell>
          <cell r="E196" t="str">
            <v>Und</v>
          </cell>
          <cell r="J196">
            <v>13871</v>
          </cell>
        </row>
        <row r="197">
          <cell r="B197" t="str">
            <v>Hid-29</v>
          </cell>
          <cell r="C197" t="str">
            <v>Mat</v>
          </cell>
          <cell r="D197" t="str">
            <v>REGISTRO DE INCORPORACION R-50</v>
          </cell>
          <cell r="E197" t="str">
            <v>Und</v>
          </cell>
          <cell r="J197">
            <v>14938</v>
          </cell>
        </row>
        <row r="199">
          <cell r="B199" t="str">
            <v>Ma</v>
          </cell>
          <cell r="D199" t="str">
            <v>MAMPOSTERIA</v>
          </cell>
        </row>
        <row r="200">
          <cell r="B200" t="str">
            <v>Ma-1</v>
          </cell>
          <cell r="C200" t="str">
            <v>Mat</v>
          </cell>
          <cell r="D200" t="str">
            <v>LADRILLO COMUN</v>
          </cell>
          <cell r="E200" t="str">
            <v>Und</v>
          </cell>
          <cell r="F200">
            <v>210</v>
          </cell>
          <cell r="G200">
            <v>290</v>
          </cell>
          <cell r="I200">
            <v>200</v>
          </cell>
          <cell r="J200">
            <v>230</v>
          </cell>
          <cell r="K200">
            <v>0.27586206896551724</v>
          </cell>
        </row>
        <row r="201">
          <cell r="B201" t="str">
            <v>Ma-2</v>
          </cell>
          <cell r="C201" t="str">
            <v>Mat</v>
          </cell>
          <cell r="D201" t="str">
            <v xml:space="preserve">LADRILLO LENTE  </v>
          </cell>
          <cell r="E201" t="str">
            <v>Und</v>
          </cell>
          <cell r="F201">
            <v>300</v>
          </cell>
          <cell r="G201">
            <v>400</v>
          </cell>
          <cell r="I201">
            <v>200</v>
          </cell>
          <cell r="J201">
            <v>230</v>
          </cell>
          <cell r="K201">
            <v>0.25</v>
          </cell>
        </row>
        <row r="203">
          <cell r="B203" t="str">
            <v>MOD</v>
          </cell>
          <cell r="D203" t="str">
            <v>MANO DE OBRA</v>
          </cell>
        </row>
        <row r="204">
          <cell r="B204" t="str">
            <v>Ay</v>
          </cell>
          <cell r="C204" t="str">
            <v>MOD</v>
          </cell>
          <cell r="D204" t="str">
            <v>AYUDANTE</v>
          </cell>
          <cell r="E204" t="str">
            <v>Día</v>
          </cell>
          <cell r="F204">
            <v>26050</v>
          </cell>
          <cell r="G204">
            <v>26050</v>
          </cell>
          <cell r="H204">
            <v>27700</v>
          </cell>
          <cell r="I204">
            <v>27700</v>
          </cell>
          <cell r="J204">
            <v>32070</v>
          </cell>
          <cell r="K204">
            <v>0</v>
          </cell>
        </row>
        <row r="205">
          <cell r="B205" t="str">
            <v>Mast</v>
          </cell>
          <cell r="C205" t="str">
            <v>MOD</v>
          </cell>
          <cell r="D205" t="str">
            <v>MAESTRO</v>
          </cell>
          <cell r="E205" t="str">
            <v>Día</v>
          </cell>
          <cell r="F205">
            <v>95670</v>
          </cell>
          <cell r="G205">
            <v>95670</v>
          </cell>
          <cell r="H205">
            <v>96000</v>
          </cell>
          <cell r="I205">
            <v>96000</v>
          </cell>
          <cell r="J205">
            <v>128280</v>
          </cell>
          <cell r="K205">
            <v>0</v>
          </cell>
        </row>
        <row r="206">
          <cell r="B206" t="str">
            <v>Of-1</v>
          </cell>
          <cell r="C206" t="str">
            <v>MOD</v>
          </cell>
          <cell r="D206" t="str">
            <v>OFICIAL DE PRIMERA</v>
          </cell>
          <cell r="E206" t="str">
            <v>Día</v>
          </cell>
          <cell r="F206">
            <v>38300</v>
          </cell>
          <cell r="G206">
            <v>38300</v>
          </cell>
          <cell r="H206">
            <v>39300</v>
          </cell>
          <cell r="I206">
            <v>39300</v>
          </cell>
          <cell r="J206">
            <v>48105</v>
          </cell>
          <cell r="K206">
            <v>0</v>
          </cell>
        </row>
        <row r="207">
          <cell r="B207" t="str">
            <v>Of-2</v>
          </cell>
          <cell r="C207" t="str">
            <v>MOD</v>
          </cell>
          <cell r="D207" t="str">
            <v>OFICIAL DE SEGUNDA</v>
          </cell>
          <cell r="E207" t="str">
            <v>Día</v>
          </cell>
          <cell r="F207">
            <v>34450</v>
          </cell>
          <cell r="G207">
            <v>34450</v>
          </cell>
          <cell r="H207">
            <v>35000</v>
          </cell>
          <cell r="I207">
            <v>35000</v>
          </cell>
          <cell r="J207">
            <v>38484</v>
          </cell>
          <cell r="K207">
            <v>0</v>
          </cell>
        </row>
        <row r="208">
          <cell r="B208" t="str">
            <v>Cua-1</v>
          </cell>
          <cell r="C208" t="str">
            <v>MOD</v>
          </cell>
          <cell r="D208" t="str">
            <v>CUADRILLA DE ALBAÑILERIA</v>
          </cell>
          <cell r="E208" t="str">
            <v>Día</v>
          </cell>
          <cell r="F208">
            <v>246939</v>
          </cell>
          <cell r="G208">
            <v>246939</v>
          </cell>
          <cell r="H208">
            <v>246939</v>
          </cell>
          <cell r="I208">
            <v>246939</v>
          </cell>
          <cell r="J208">
            <v>246939</v>
          </cell>
        </row>
        <row r="209">
          <cell r="B209" t="str">
            <v>Cua-2</v>
          </cell>
          <cell r="C209" t="str">
            <v>MOD</v>
          </cell>
          <cell r="D209" t="str">
            <v>CUADRILLA DE CARPINTERIA</v>
          </cell>
          <cell r="E209" t="str">
            <v>Día</v>
          </cell>
          <cell r="F209">
            <v>208455</v>
          </cell>
          <cell r="G209">
            <v>208455</v>
          </cell>
          <cell r="H209">
            <v>208455</v>
          </cell>
          <cell r="I209">
            <v>208455</v>
          </cell>
          <cell r="J209">
            <v>208455</v>
          </cell>
        </row>
        <row r="210">
          <cell r="B210" t="str">
            <v>Cua-3</v>
          </cell>
          <cell r="C210" t="str">
            <v>MOD</v>
          </cell>
          <cell r="D210" t="str">
            <v>CUADRILLA DE PINTURA Y ACABADOS</v>
          </cell>
          <cell r="E210" t="str">
            <v>Día</v>
          </cell>
          <cell r="F210">
            <v>246939</v>
          </cell>
          <cell r="G210">
            <v>246939</v>
          </cell>
          <cell r="H210">
            <v>246939</v>
          </cell>
          <cell r="I210">
            <v>246939</v>
          </cell>
          <cell r="J210">
            <v>246939</v>
          </cell>
        </row>
        <row r="211">
          <cell r="B211" t="str">
            <v>Cua-4</v>
          </cell>
          <cell r="C211" t="str">
            <v>MOD</v>
          </cell>
          <cell r="D211" t="str">
            <v>CUADRILLA ELECTRICA Y PLOMERIA</v>
          </cell>
          <cell r="E211" t="str">
            <v>Día</v>
          </cell>
          <cell r="F211">
            <v>214869</v>
          </cell>
          <cell r="G211">
            <v>214869</v>
          </cell>
          <cell r="H211">
            <v>214869</v>
          </cell>
          <cell r="I211">
            <v>214869</v>
          </cell>
          <cell r="J211">
            <v>214869</v>
          </cell>
        </row>
        <row r="214">
          <cell r="B214" t="str">
            <v>EnP</v>
          </cell>
          <cell r="D214" t="str">
            <v>ENCHAPES Y PISOS</v>
          </cell>
        </row>
        <row r="215">
          <cell r="B215" t="str">
            <v>EnP-1</v>
          </cell>
          <cell r="C215" t="str">
            <v>Mat</v>
          </cell>
          <cell r="D215" t="str">
            <v>BLANCO DE ZINC</v>
          </cell>
          <cell r="E215" t="str">
            <v>Klg</v>
          </cell>
          <cell r="F215">
            <v>3700</v>
          </cell>
          <cell r="G215">
            <v>5000</v>
          </cell>
          <cell r="H215">
            <v>4500</v>
          </cell>
          <cell r="I215">
            <v>4000</v>
          </cell>
          <cell r="J215">
            <v>4268</v>
          </cell>
          <cell r="K215">
            <v>0.26</v>
          </cell>
        </row>
        <row r="216">
          <cell r="B216" t="str">
            <v>EnP-2</v>
          </cell>
          <cell r="C216" t="str">
            <v>Mat</v>
          </cell>
          <cell r="D216" t="str">
            <v>CERAMICA 30*30</v>
          </cell>
          <cell r="E216" t="str">
            <v>M 2</v>
          </cell>
          <cell r="F216">
            <v>15000</v>
          </cell>
          <cell r="G216">
            <v>16500</v>
          </cell>
          <cell r="H216">
            <v>14500</v>
          </cell>
          <cell r="I216">
            <v>13900</v>
          </cell>
          <cell r="J216">
            <v>14550</v>
          </cell>
          <cell r="K216">
            <v>9.0909090909090939E-2</v>
          </cell>
        </row>
        <row r="219">
          <cell r="B219" t="str">
            <v>San</v>
          </cell>
          <cell r="D219" t="str">
            <v>SANITARIA</v>
          </cell>
        </row>
        <row r="220">
          <cell r="B220" t="str">
            <v>San-3</v>
          </cell>
          <cell r="C220" t="str">
            <v>Mat</v>
          </cell>
          <cell r="D220" t="str">
            <v>CODO SANITARIO DE 90º 1/4 C*C  DE 2"</v>
          </cell>
          <cell r="E220" t="str">
            <v>Und</v>
          </cell>
          <cell r="F220">
            <v>906</v>
          </cell>
          <cell r="G220">
            <v>2000</v>
          </cell>
          <cell r="H220">
            <v>1320</v>
          </cell>
          <cell r="I220">
            <v>1100</v>
          </cell>
          <cell r="J220">
            <v>1109.68</v>
          </cell>
          <cell r="K220">
            <v>0.54699999999999993</v>
          </cell>
        </row>
        <row r="221">
          <cell r="B221" t="str">
            <v>San-4</v>
          </cell>
          <cell r="C221" t="str">
            <v>Mat</v>
          </cell>
          <cell r="D221" t="str">
            <v>CODO SANITARIO PVC DE 4" *90</v>
          </cell>
          <cell r="E221" t="str">
            <v>Und</v>
          </cell>
          <cell r="F221">
            <v>3613</v>
          </cell>
          <cell r="G221">
            <v>7670</v>
          </cell>
          <cell r="H221">
            <v>5160</v>
          </cell>
          <cell r="I221">
            <v>4300</v>
          </cell>
          <cell r="J221">
            <v>5462.07</v>
          </cell>
          <cell r="K221">
            <v>0.52894393741851364</v>
          </cell>
        </row>
        <row r="222">
          <cell r="B222" t="str">
            <v>San-5</v>
          </cell>
          <cell r="C222" t="str">
            <v>Mat</v>
          </cell>
          <cell r="D222" t="str">
            <v>CODO SANITARIO DE 2" * 45º C*E</v>
          </cell>
          <cell r="E222" t="str">
            <v>Und</v>
          </cell>
          <cell r="F222">
            <v>1117</v>
          </cell>
          <cell r="G222">
            <v>2560</v>
          </cell>
          <cell r="H222">
            <v>1500</v>
          </cell>
          <cell r="I222">
            <v>1250</v>
          </cell>
          <cell r="J222">
            <v>1515.1399999999999</v>
          </cell>
          <cell r="K222">
            <v>0.56367187500000004</v>
          </cell>
        </row>
        <row r="223">
          <cell r="B223" t="str">
            <v>San-6</v>
          </cell>
          <cell r="C223" t="str">
            <v>MOD</v>
          </cell>
          <cell r="D223" t="str">
            <v>CUADRILLA HIDROSANITARIA</v>
          </cell>
          <cell r="E223" t="str">
            <v>Gbl</v>
          </cell>
          <cell r="F223">
            <v>70000</v>
          </cell>
          <cell r="G223">
            <v>180000</v>
          </cell>
          <cell r="H223">
            <v>174000</v>
          </cell>
          <cell r="I223">
            <v>145000</v>
          </cell>
          <cell r="J223">
            <v>291000</v>
          </cell>
          <cell r="K223">
            <v>0.61111111111111116</v>
          </cell>
        </row>
        <row r="224">
          <cell r="B224" t="str">
            <v>San-7</v>
          </cell>
          <cell r="C224" t="str">
            <v>Mat</v>
          </cell>
          <cell r="D224" t="str">
            <v>CONSUMIBLES</v>
          </cell>
          <cell r="E224" t="str">
            <v>Gbl</v>
          </cell>
          <cell r="F224">
            <v>2000</v>
          </cell>
          <cell r="G224">
            <v>2500</v>
          </cell>
          <cell r="H224">
            <v>3000</v>
          </cell>
          <cell r="I224">
            <v>2500</v>
          </cell>
          <cell r="J224">
            <v>2910</v>
          </cell>
          <cell r="K224">
            <v>0.19999999999999996</v>
          </cell>
        </row>
        <row r="225">
          <cell r="B225" t="str">
            <v>San-8</v>
          </cell>
          <cell r="C225" t="str">
            <v>Mat</v>
          </cell>
          <cell r="D225" t="str">
            <v xml:space="preserve">SIFON SANITARIO 180º C*C DE 2" </v>
          </cell>
          <cell r="E225" t="str">
            <v>Und</v>
          </cell>
          <cell r="F225">
            <v>1499</v>
          </cell>
          <cell r="G225">
            <v>3122</v>
          </cell>
          <cell r="H225">
            <v>2040</v>
          </cell>
          <cell r="I225">
            <v>1700</v>
          </cell>
          <cell r="J225">
            <v>2425</v>
          </cell>
          <cell r="K225">
            <v>0.51985906470211396</v>
          </cell>
        </row>
        <row r="226">
          <cell r="B226" t="str">
            <v>San-10</v>
          </cell>
          <cell r="C226" t="str">
            <v>Mat</v>
          </cell>
          <cell r="D226" t="str">
            <v>NIPLE GALVANIZADO</v>
          </cell>
          <cell r="E226" t="str">
            <v>Und</v>
          </cell>
          <cell r="F226">
            <v>1200</v>
          </cell>
          <cell r="G226">
            <v>1500</v>
          </cell>
          <cell r="H226">
            <v>1440</v>
          </cell>
          <cell r="I226">
            <v>1200</v>
          </cell>
          <cell r="J226">
            <v>1067</v>
          </cell>
          <cell r="K226">
            <v>0.19999999999999996</v>
          </cell>
        </row>
        <row r="227">
          <cell r="B227" t="str">
            <v>San-11</v>
          </cell>
          <cell r="C227" t="str">
            <v>Mat</v>
          </cell>
          <cell r="D227" t="str">
            <v>YEE DE 2"</v>
          </cell>
          <cell r="E227" t="str">
            <v>Und</v>
          </cell>
          <cell r="F227">
            <v>1978</v>
          </cell>
          <cell r="G227">
            <v>4120</v>
          </cell>
          <cell r="H227">
            <v>2820</v>
          </cell>
          <cell r="I227">
            <v>2350</v>
          </cell>
          <cell r="J227">
            <v>2067.0700000000002</v>
          </cell>
          <cell r="K227">
            <v>0.51990291262135924</v>
          </cell>
        </row>
        <row r="228">
          <cell r="B228" t="str">
            <v>San-12</v>
          </cell>
          <cell r="C228" t="str">
            <v>Mat</v>
          </cell>
          <cell r="D228" t="str">
            <v>REJILLA DE 2"</v>
          </cell>
          <cell r="E228" t="str">
            <v>Und</v>
          </cell>
          <cell r="F228">
            <v>1133</v>
          </cell>
          <cell r="G228">
            <v>2000</v>
          </cell>
          <cell r="H228">
            <v>3120</v>
          </cell>
          <cell r="I228">
            <v>2600</v>
          </cell>
          <cell r="J228">
            <v>3395</v>
          </cell>
          <cell r="K228">
            <v>0.4335</v>
          </cell>
        </row>
        <row r="229">
          <cell r="B229" t="str">
            <v>San-13</v>
          </cell>
          <cell r="C229" t="str">
            <v>Mat</v>
          </cell>
          <cell r="D229" t="str">
            <v>TAPA POZUELO 2" BRONCE</v>
          </cell>
          <cell r="E229" t="str">
            <v>Und</v>
          </cell>
          <cell r="F229">
            <v>3500</v>
          </cell>
          <cell r="G229">
            <v>3700</v>
          </cell>
          <cell r="H229">
            <v>5100</v>
          </cell>
          <cell r="I229">
            <v>4250</v>
          </cell>
          <cell r="J229">
            <v>4850</v>
          </cell>
          <cell r="K229">
            <v>5.4054054054054057E-2</v>
          </cell>
        </row>
        <row r="230">
          <cell r="B230" t="str">
            <v>San-14</v>
          </cell>
          <cell r="C230" t="str">
            <v>Mat</v>
          </cell>
          <cell r="D230" t="str">
            <v>1/32 SOLDADURA HCA</v>
          </cell>
          <cell r="E230" t="str">
            <v>Und</v>
          </cell>
          <cell r="F230">
            <v>1979</v>
          </cell>
          <cell r="G230">
            <v>3200</v>
          </cell>
          <cell r="H230">
            <v>7440</v>
          </cell>
          <cell r="I230">
            <v>6200</v>
          </cell>
          <cell r="J230">
            <v>8245</v>
          </cell>
          <cell r="K230">
            <v>0.38156250000000003</v>
          </cell>
        </row>
        <row r="231">
          <cell r="B231" t="str">
            <v>San-16</v>
          </cell>
          <cell r="C231" t="str">
            <v>Mat</v>
          </cell>
          <cell r="D231" t="str">
            <v>TUBERIA PVC SANITARIA DE 4" - linea novater</v>
          </cell>
          <cell r="E231" t="str">
            <v>M L</v>
          </cell>
          <cell r="F231">
            <v>6533</v>
          </cell>
          <cell r="G231">
            <v>13611</v>
          </cell>
          <cell r="H231">
            <v>9600</v>
          </cell>
          <cell r="I231">
            <v>8000</v>
          </cell>
          <cell r="J231">
            <v>7405.626666666667</v>
          </cell>
          <cell r="K231">
            <v>0.52002057159650283</v>
          </cell>
        </row>
        <row r="232">
          <cell r="B232" t="str">
            <v>San-17</v>
          </cell>
          <cell r="C232" t="str">
            <v>Mat</v>
          </cell>
          <cell r="D232" t="str">
            <v>TUBERIA DE VENTILACION DE 3" pvc</v>
          </cell>
          <cell r="E232" t="str">
            <v>M L</v>
          </cell>
          <cell r="F232">
            <v>2669</v>
          </cell>
          <cell r="G232">
            <v>5560</v>
          </cell>
          <cell r="H232">
            <v>4734</v>
          </cell>
          <cell r="I232">
            <v>3945</v>
          </cell>
          <cell r="J232">
            <v>4669.0950000000003</v>
          </cell>
          <cell r="K232">
            <v>0.51996402877697845</v>
          </cell>
        </row>
        <row r="233">
          <cell r="B233" t="str">
            <v>San-19</v>
          </cell>
          <cell r="C233" t="str">
            <v>Mat</v>
          </cell>
          <cell r="D233" t="str">
            <v>TUBERIA SANITARIA PVC DE 2" - lines novater</v>
          </cell>
          <cell r="E233" t="str">
            <v>M L</v>
          </cell>
          <cell r="F233">
            <v>3139</v>
          </cell>
          <cell r="G233">
            <v>6539</v>
          </cell>
          <cell r="H233">
            <v>4620</v>
          </cell>
          <cell r="I233">
            <v>3850</v>
          </cell>
          <cell r="J233">
            <v>3556.6666666666702</v>
          </cell>
          <cell r="K233">
            <v>0.51995717999694135</v>
          </cell>
        </row>
        <row r="234">
          <cell r="B234" t="str">
            <v>San-20</v>
          </cell>
          <cell r="C234" t="str">
            <v>Mat</v>
          </cell>
          <cell r="D234" t="str">
            <v xml:space="preserve">codo de 90º C*E St pvc </v>
          </cell>
          <cell r="E234" t="str">
            <v>M L</v>
          </cell>
          <cell r="F234">
            <v>3139</v>
          </cell>
          <cell r="G234">
            <v>6539</v>
          </cell>
          <cell r="H234">
            <v>1650</v>
          </cell>
          <cell r="I234">
            <v>1375</v>
          </cell>
          <cell r="J234">
            <v>2191.23</v>
          </cell>
          <cell r="K234">
            <v>0.51995717999694135</v>
          </cell>
        </row>
        <row r="235">
          <cell r="D235" t="str">
            <v>sifon de 3"</v>
          </cell>
          <cell r="E235" t="str">
            <v>und</v>
          </cell>
          <cell r="I235">
            <v>3000</v>
          </cell>
          <cell r="J235">
            <v>4074</v>
          </cell>
        </row>
        <row r="237">
          <cell r="B237" t="str">
            <v>Var</v>
          </cell>
          <cell r="D237" t="str">
            <v>VARIOS</v>
          </cell>
        </row>
        <row r="238">
          <cell r="B238" t="str">
            <v>Var-1</v>
          </cell>
          <cell r="C238" t="str">
            <v>Mat</v>
          </cell>
          <cell r="D238" t="str">
            <v>MATERIALES DE ASEO</v>
          </cell>
          <cell r="E238" t="str">
            <v>Gbl</v>
          </cell>
          <cell r="F238">
            <v>20000</v>
          </cell>
          <cell r="G238">
            <v>23000</v>
          </cell>
          <cell r="I238">
            <v>24000</v>
          </cell>
          <cell r="J238">
            <v>23280</v>
          </cell>
          <cell r="K238">
            <v>0.13043478260869568</v>
          </cell>
        </row>
        <row r="239">
          <cell r="B239" t="str">
            <v>Var-2</v>
          </cell>
          <cell r="C239" t="str">
            <v>Mat</v>
          </cell>
          <cell r="D239" t="str">
            <v>DESPERDICIO</v>
          </cell>
          <cell r="E239" t="str">
            <v>Gbl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REPORTE"/>
      <sheetName val="RE-OFICINA"/>
      <sheetName val="DIAS PAGOS "/>
    </sheetNames>
    <sheetDataSet>
      <sheetData sheetId="0"/>
      <sheetData sheetId="1"/>
      <sheetData sheetId="2"/>
      <sheetData sheetId="3">
        <row r="9">
          <cell r="I9">
            <v>20000000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S"/>
      <sheetName val="CANTIDADES"/>
      <sheetName val="CRONOGRAMA"/>
    </sheetNames>
    <sheetDataSet>
      <sheetData sheetId="0">
        <row r="4">
          <cell r="D4" t="str">
            <v>ARQ. MILAGROS HERNÁNDEZ T.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personal"/>
      <sheetName val="AIU"/>
      <sheetName val="equipo"/>
      <sheetName val="Materiales"/>
      <sheetName val="Productos"/>
      <sheetName val="preliminares"/>
      <sheetName val="formaletas"/>
      <sheetName val="concretos"/>
      <sheetName val="otros"/>
      <sheetName val="muros y obras de arte"/>
      <sheetName val="cubierta"/>
      <sheetName val="mamposteria"/>
      <sheetName val="instalaciones"/>
      <sheetName val="carpinteria"/>
      <sheetName val="pisos y acabados"/>
      <sheetName val="acta de presupuiesto IE Rafael "/>
    </sheetNames>
    <sheetDataSet>
      <sheetData sheetId="0" refreshError="1"/>
      <sheetData sheetId="1">
        <row r="33">
          <cell r="B33" t="str">
            <v>CUADRILLA 3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6A24E-BC96-4614-8EBE-EBE625CB8EB5}">
  <dimension ref="A1:M57"/>
  <sheetViews>
    <sheetView view="pageBreakPreview" zoomScaleNormal="100" zoomScaleSheetLayoutView="100" workbookViewId="0">
      <pane ySplit="6" topLeftCell="A40" activePane="bottomLeft" state="frozen"/>
      <selection pane="bottomLeft" activeCell="A2" sqref="A2:L3"/>
    </sheetView>
  </sheetViews>
  <sheetFormatPr baseColWidth="10" defaultRowHeight="14.25" x14ac:dyDescent="0.2"/>
  <cols>
    <col min="1" max="1" width="7.28515625" style="307" customWidth="1"/>
    <col min="2" max="2" width="36.28515625" style="70" customWidth="1"/>
    <col min="3" max="4" width="11.42578125" style="213"/>
    <col min="5" max="5" width="13" style="213" customWidth="1"/>
    <col min="6" max="6" width="11.42578125" style="213"/>
    <col min="7" max="7" width="12.7109375" style="213" customWidth="1"/>
    <col min="8" max="8" width="11.42578125" style="213"/>
    <col min="9" max="9" width="11.85546875" style="213" bestFit="1" customWidth="1"/>
    <col min="10" max="10" width="13.85546875" style="70" customWidth="1"/>
    <col min="11" max="11" width="11.85546875" style="70" bestFit="1" customWidth="1"/>
    <col min="12" max="12" width="12.5703125" style="70" customWidth="1"/>
    <col min="13" max="16384" width="11.42578125" style="70"/>
  </cols>
  <sheetData>
    <row r="1" spans="1:13" x14ac:dyDescent="0.2">
      <c r="A1" s="462" t="s">
        <v>246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</row>
    <row r="2" spans="1:13" x14ac:dyDescent="0.2">
      <c r="A2" s="463" t="s">
        <v>344</v>
      </c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</row>
    <row r="3" spans="1:13" x14ac:dyDescent="0.2">
      <c r="A3" s="463"/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</row>
    <row r="4" spans="1:13" x14ac:dyDescent="0.2">
      <c r="A4" s="462" t="s">
        <v>345</v>
      </c>
      <c r="B4" s="462"/>
      <c r="C4" s="286" t="s">
        <v>0</v>
      </c>
      <c r="D4" s="462" t="str">
        <f>[7]PRESUPUESTO!D4</f>
        <v>ARQ. MILAGROS HERNÁNDEZ T.</v>
      </c>
      <c r="E4" s="462"/>
      <c r="F4" s="462"/>
      <c r="G4" s="462"/>
      <c r="H4" s="462"/>
      <c r="I4" s="462"/>
      <c r="J4" s="462"/>
      <c r="K4" s="462"/>
      <c r="L4" s="462"/>
    </row>
    <row r="5" spans="1:13" x14ac:dyDescent="0.2">
      <c r="A5" s="464"/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6"/>
    </row>
    <row r="6" spans="1:13" ht="43.5" customHeight="1" x14ac:dyDescent="0.2">
      <c r="A6" s="165" t="s">
        <v>1</v>
      </c>
      <c r="B6" s="2" t="s">
        <v>2</v>
      </c>
      <c r="C6" s="2" t="s">
        <v>3</v>
      </c>
      <c r="D6" s="3" t="s">
        <v>4</v>
      </c>
      <c r="E6" s="4" t="s">
        <v>5</v>
      </c>
      <c r="F6" s="3" t="s">
        <v>6</v>
      </c>
      <c r="G6" s="3" t="s">
        <v>136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</row>
    <row r="7" spans="1:13" ht="15.75" x14ac:dyDescent="0.25">
      <c r="A7" s="290">
        <v>1</v>
      </c>
      <c r="B7" s="294" t="s">
        <v>12</v>
      </c>
      <c r="C7" s="295"/>
      <c r="D7" s="295"/>
      <c r="E7" s="295"/>
      <c r="F7" s="295"/>
      <c r="G7" s="295"/>
      <c r="H7" s="295"/>
      <c r="I7" s="295"/>
      <c r="J7" s="296"/>
      <c r="K7" s="296"/>
      <c r="L7" s="296"/>
    </row>
    <row r="8" spans="1:13" ht="15" x14ac:dyDescent="0.2">
      <c r="A8" s="290">
        <v>1.1000000000000001</v>
      </c>
      <c r="B8" s="297" t="s">
        <v>13</v>
      </c>
      <c r="C8" s="286" t="s">
        <v>19</v>
      </c>
      <c r="D8" s="286"/>
      <c r="E8" s="298"/>
      <c r="F8" s="286"/>
      <c r="G8" s="286"/>
      <c r="H8" s="286">
        <v>560</v>
      </c>
      <c r="I8" s="286"/>
      <c r="J8" s="288"/>
      <c r="K8" s="288"/>
      <c r="L8" s="288">
        <f>H8</f>
        <v>560</v>
      </c>
      <c r="M8" s="70" t="s">
        <v>214</v>
      </c>
    </row>
    <row r="9" spans="1:13" ht="15" x14ac:dyDescent="0.25">
      <c r="A9" s="299">
        <v>2</v>
      </c>
      <c r="B9" s="287" t="s">
        <v>14</v>
      </c>
      <c r="C9" s="295"/>
      <c r="D9" s="295"/>
      <c r="E9" s="295"/>
      <c r="F9" s="295"/>
      <c r="G9" s="295"/>
      <c r="H9" s="295"/>
      <c r="I9" s="295"/>
      <c r="J9" s="296"/>
      <c r="K9" s="296"/>
      <c r="L9" s="296"/>
    </row>
    <row r="10" spans="1:13" ht="28.5" x14ac:dyDescent="0.2">
      <c r="A10" s="290">
        <v>2.1</v>
      </c>
      <c r="B10" s="289" t="s">
        <v>324</v>
      </c>
      <c r="C10" s="286" t="s">
        <v>16</v>
      </c>
      <c r="D10" s="286"/>
      <c r="E10" s="286"/>
      <c r="F10" s="286">
        <v>0.15</v>
      </c>
      <c r="G10" s="286"/>
      <c r="H10" s="286">
        <f>H8</f>
        <v>560</v>
      </c>
      <c r="I10" s="286"/>
      <c r="J10" s="288"/>
      <c r="K10" s="288">
        <f>ROUND(H10*F10,0)</f>
        <v>84</v>
      </c>
      <c r="L10" s="467">
        <f>ROUND(SUM(K10),0)</f>
        <v>84</v>
      </c>
    </row>
    <row r="11" spans="1:13" ht="28.5" hidden="1" x14ac:dyDescent="0.2">
      <c r="A11" s="290" t="s">
        <v>103</v>
      </c>
      <c r="B11" s="289" t="s">
        <v>223</v>
      </c>
      <c r="C11" s="286" t="s">
        <v>16</v>
      </c>
      <c r="E11" s="290" t="e">
        <f>#REF!</f>
        <v>#REF!</v>
      </c>
      <c r="F11" s="290">
        <v>0.15</v>
      </c>
      <c r="G11" s="286"/>
      <c r="H11" s="286"/>
      <c r="I11" s="286"/>
      <c r="J11" s="288"/>
      <c r="K11" s="288" t="e">
        <f>ROUND(#REF!*E11*F11,0)</f>
        <v>#REF!</v>
      </c>
      <c r="L11" s="468"/>
    </row>
    <row r="12" spans="1:13" ht="28.5" hidden="1" x14ac:dyDescent="0.2">
      <c r="A12" s="290" t="s">
        <v>104</v>
      </c>
      <c r="B12" s="289" t="s">
        <v>238</v>
      </c>
      <c r="C12" s="286" t="s">
        <v>16</v>
      </c>
      <c r="E12" s="286">
        <v>0.18</v>
      </c>
      <c r="F12" s="286">
        <v>0.15</v>
      </c>
      <c r="G12" s="286"/>
      <c r="H12" s="286"/>
      <c r="I12" s="286"/>
      <c r="J12" s="288"/>
      <c r="K12" s="288" t="e">
        <f>ROUND(#REF!*E12*F12,0)</f>
        <v>#REF!</v>
      </c>
      <c r="L12" s="468"/>
    </row>
    <row r="13" spans="1:13" ht="28.5" hidden="1" x14ac:dyDescent="0.2">
      <c r="A13" s="290" t="s">
        <v>105</v>
      </c>
      <c r="B13" s="289" t="s">
        <v>239</v>
      </c>
      <c r="C13" s="286" t="s">
        <v>16</v>
      </c>
      <c r="D13" s="286">
        <v>0</v>
      </c>
      <c r="E13" s="286">
        <v>1.2</v>
      </c>
      <c r="F13" s="286">
        <f>F27</f>
        <v>0.15</v>
      </c>
      <c r="G13" s="286"/>
      <c r="H13" s="286">
        <v>1.1399999999999999</v>
      </c>
      <c r="I13" s="286">
        <v>21</v>
      </c>
      <c r="J13" s="288"/>
      <c r="K13" s="288">
        <f>ROUND((H13*F13)*I13,0)</f>
        <v>4</v>
      </c>
      <c r="L13" s="468"/>
    </row>
    <row r="14" spans="1:13" ht="28.5" hidden="1" x14ac:dyDescent="0.2">
      <c r="A14" s="290" t="s">
        <v>106</v>
      </c>
      <c r="B14" s="289" t="s">
        <v>131</v>
      </c>
      <c r="C14" s="286" t="s">
        <v>16</v>
      </c>
      <c r="D14" s="286">
        <v>0</v>
      </c>
      <c r="E14" s="286">
        <v>1.2</v>
      </c>
      <c r="F14" s="286">
        <v>0.15</v>
      </c>
      <c r="G14" s="286"/>
      <c r="H14" s="286"/>
      <c r="I14" s="286"/>
      <c r="J14" s="288"/>
      <c r="K14" s="288">
        <f>ROUND(D14*E14*F14,2)</f>
        <v>0</v>
      </c>
      <c r="L14" s="468"/>
    </row>
    <row r="15" spans="1:13" ht="28.5" hidden="1" x14ac:dyDescent="0.2">
      <c r="A15" s="290" t="s">
        <v>107</v>
      </c>
      <c r="B15" s="289" t="s">
        <v>137</v>
      </c>
      <c r="C15" s="286" t="s">
        <v>16</v>
      </c>
      <c r="D15" s="286">
        <v>0</v>
      </c>
      <c r="E15" s="286">
        <f>E30</f>
        <v>0.45</v>
      </c>
      <c r="F15" s="286">
        <f>F30</f>
        <v>0.4</v>
      </c>
      <c r="G15" s="286"/>
      <c r="H15" s="286"/>
      <c r="I15" s="286">
        <v>30</v>
      </c>
      <c r="J15" s="288"/>
      <c r="K15" s="288">
        <f>ROUND(D15*E15*F15*I15,2)</f>
        <v>0</v>
      </c>
      <c r="L15" s="468"/>
    </row>
    <row r="16" spans="1:13" s="266" customFormat="1" ht="28.5" hidden="1" x14ac:dyDescent="0.2">
      <c r="A16" s="290" t="s">
        <v>108</v>
      </c>
      <c r="B16" s="289" t="s">
        <v>134</v>
      </c>
      <c r="C16" s="290" t="s">
        <v>16</v>
      </c>
      <c r="D16" s="290">
        <v>0</v>
      </c>
      <c r="E16" s="290">
        <v>1</v>
      </c>
      <c r="F16" s="290">
        <f>F32</f>
        <v>0.15</v>
      </c>
      <c r="G16" s="290"/>
      <c r="H16" s="290"/>
      <c r="I16" s="290">
        <v>14</v>
      </c>
      <c r="J16" s="300"/>
      <c r="K16" s="300">
        <f>ROUND(D16*E16*F16*I16,2)</f>
        <v>0</v>
      </c>
      <c r="L16" s="468"/>
    </row>
    <row r="17" spans="1:12" s="266" customFormat="1" ht="28.5" hidden="1" x14ac:dyDescent="0.2">
      <c r="A17" s="290" t="s">
        <v>109</v>
      </c>
      <c r="B17" s="289" t="s">
        <v>133</v>
      </c>
      <c r="C17" s="290" t="s">
        <v>16</v>
      </c>
      <c r="D17" s="290">
        <v>0</v>
      </c>
      <c r="E17" s="290">
        <v>0.7</v>
      </c>
      <c r="F17" s="290">
        <v>0.15</v>
      </c>
      <c r="G17" s="290"/>
      <c r="H17" s="290"/>
      <c r="I17" s="290">
        <v>4</v>
      </c>
      <c r="J17" s="300"/>
      <c r="K17" s="300">
        <f>ROUND(D17*E17*F17*I17,2)</f>
        <v>0</v>
      </c>
      <c r="L17" s="468"/>
    </row>
    <row r="18" spans="1:12" s="293" customFormat="1" ht="28.5" hidden="1" x14ac:dyDescent="0.2">
      <c r="A18" s="301" t="s">
        <v>110</v>
      </c>
      <c r="B18" s="289" t="s">
        <v>135</v>
      </c>
      <c r="C18" s="291" t="s">
        <v>16</v>
      </c>
      <c r="D18" s="291">
        <v>0</v>
      </c>
      <c r="E18" s="291"/>
      <c r="F18" s="291">
        <v>1</v>
      </c>
      <c r="G18" s="291">
        <v>1.74</v>
      </c>
      <c r="H18" s="291"/>
      <c r="I18" s="291">
        <v>3</v>
      </c>
      <c r="J18" s="302"/>
      <c r="K18" s="302">
        <f>ROUND(F18*I18*G18,2)</f>
        <v>5.22</v>
      </c>
      <c r="L18" s="468"/>
    </row>
    <row r="19" spans="1:12" ht="28.5" hidden="1" x14ac:dyDescent="0.2">
      <c r="A19" s="301" t="s">
        <v>111</v>
      </c>
      <c r="B19" s="289" t="s">
        <v>240</v>
      </c>
      <c r="C19" s="286" t="s">
        <v>16</v>
      </c>
      <c r="D19" s="286">
        <v>0</v>
      </c>
      <c r="E19" s="286">
        <v>0.45</v>
      </c>
      <c r="F19" s="286">
        <v>0.45</v>
      </c>
      <c r="G19" s="286"/>
      <c r="H19" s="286"/>
      <c r="I19" s="286" t="e">
        <f>#REF!</f>
        <v>#REF!</v>
      </c>
      <c r="J19" s="288"/>
      <c r="K19" s="288" t="e">
        <f>ROUND((D19*E19*F19)*I19,2)</f>
        <v>#REF!</v>
      </c>
      <c r="L19" s="468"/>
    </row>
    <row r="20" spans="1:12" ht="42.75" hidden="1" x14ac:dyDescent="0.2">
      <c r="A20" s="301" t="s">
        <v>112</v>
      </c>
      <c r="B20" s="289" t="s">
        <v>150</v>
      </c>
      <c r="C20" s="286" t="s">
        <v>16</v>
      </c>
      <c r="D20" s="286">
        <v>0</v>
      </c>
      <c r="E20" s="286">
        <v>0.6</v>
      </c>
      <c r="F20" s="286">
        <v>0.8</v>
      </c>
      <c r="G20" s="286"/>
      <c r="H20" s="286"/>
      <c r="I20" s="286">
        <v>3</v>
      </c>
      <c r="J20" s="288"/>
      <c r="K20" s="288">
        <f>ROUND((D20*E20*F20)*I20,2)</f>
        <v>0</v>
      </c>
      <c r="L20" s="468"/>
    </row>
    <row r="21" spans="1:12" ht="28.5" hidden="1" x14ac:dyDescent="0.2">
      <c r="A21" s="303" t="s">
        <v>113</v>
      </c>
      <c r="B21" s="289" t="s">
        <v>114</v>
      </c>
      <c r="C21" s="286" t="s">
        <v>16</v>
      </c>
      <c r="D21" s="286">
        <v>0</v>
      </c>
      <c r="E21" s="286"/>
      <c r="F21" s="286">
        <v>0.15</v>
      </c>
      <c r="G21" s="286"/>
      <c r="H21" s="286">
        <v>43.42</v>
      </c>
      <c r="I21" s="286"/>
      <c r="J21" s="288"/>
      <c r="K21" s="288">
        <f>ROUND(F21*H21,2)</f>
        <v>6.51</v>
      </c>
      <c r="L21" s="468"/>
    </row>
    <row r="22" spans="1:12" ht="28.5" hidden="1" x14ac:dyDescent="0.2">
      <c r="A22" s="303" t="s">
        <v>132</v>
      </c>
      <c r="B22" s="289" t="s">
        <v>138</v>
      </c>
      <c r="C22" s="286" t="s">
        <v>16</v>
      </c>
      <c r="D22" s="286">
        <v>0</v>
      </c>
      <c r="E22" s="286">
        <v>0.6</v>
      </c>
      <c r="F22" s="286">
        <v>0.2</v>
      </c>
      <c r="G22" s="286"/>
      <c r="H22" s="286"/>
      <c r="I22" s="286"/>
      <c r="J22" s="288"/>
      <c r="K22" s="288">
        <f>ROUND(D22*E22*F22,2)</f>
        <v>0</v>
      </c>
      <c r="L22" s="468"/>
    </row>
    <row r="23" spans="1:12" ht="28.5" hidden="1" x14ac:dyDescent="0.2">
      <c r="A23" s="303" t="s">
        <v>140</v>
      </c>
      <c r="B23" s="289" t="s">
        <v>139</v>
      </c>
      <c r="C23" s="286" t="s">
        <v>16</v>
      </c>
      <c r="D23" s="286">
        <v>0</v>
      </c>
      <c r="E23" s="286">
        <v>0.2</v>
      </c>
      <c r="F23" s="286">
        <v>0.15</v>
      </c>
      <c r="G23" s="286"/>
      <c r="H23" s="286"/>
      <c r="I23" s="286"/>
      <c r="J23" s="288"/>
      <c r="K23" s="288">
        <f>ROUND(D23*E23*F23,2)</f>
        <v>0</v>
      </c>
      <c r="L23" s="469"/>
    </row>
    <row r="24" spans="1:12" ht="57" x14ac:dyDescent="0.2">
      <c r="A24" s="290">
        <v>2.2000000000000002</v>
      </c>
      <c r="B24" s="289" t="s">
        <v>237</v>
      </c>
      <c r="C24" s="286" t="s">
        <v>16</v>
      </c>
      <c r="D24" s="286"/>
      <c r="E24" s="286"/>
      <c r="F24" s="286">
        <v>0.1</v>
      </c>
      <c r="G24" s="286"/>
      <c r="H24" s="286">
        <f>H10/2</f>
        <v>280</v>
      </c>
      <c r="I24" s="286"/>
      <c r="J24" s="288"/>
      <c r="K24" s="288">
        <f>ROUND(F24*H24,2)</f>
        <v>28</v>
      </c>
      <c r="L24" s="288">
        <f>ROUND(K24,0)</f>
        <v>28</v>
      </c>
    </row>
    <row r="25" spans="1:12" ht="29.25" customHeight="1" x14ac:dyDescent="0.2">
      <c r="A25" s="290">
        <v>2.2999999999999998</v>
      </c>
      <c r="B25" s="289" t="s">
        <v>241</v>
      </c>
      <c r="C25" s="286" t="s">
        <v>16</v>
      </c>
      <c r="D25" s="286"/>
      <c r="E25" s="286"/>
      <c r="F25" s="286"/>
      <c r="G25" s="286"/>
      <c r="H25" s="286"/>
      <c r="I25" s="286"/>
      <c r="J25" s="288"/>
      <c r="K25" s="288"/>
      <c r="L25" s="288">
        <f>L10</f>
        <v>84</v>
      </c>
    </row>
    <row r="26" spans="1:12" ht="15" x14ac:dyDescent="0.25">
      <c r="A26" s="290">
        <v>3</v>
      </c>
      <c r="B26" s="287" t="s">
        <v>225</v>
      </c>
      <c r="C26" s="295"/>
      <c r="D26" s="295"/>
      <c r="E26" s="295"/>
      <c r="F26" s="295"/>
      <c r="G26" s="295"/>
      <c r="H26" s="295"/>
      <c r="I26" s="295"/>
      <c r="J26" s="296"/>
      <c r="K26" s="296"/>
      <c r="L26" s="296"/>
    </row>
    <row r="27" spans="1:12" ht="60" customHeight="1" x14ac:dyDescent="0.2">
      <c r="A27" s="301" t="s">
        <v>141</v>
      </c>
      <c r="B27" s="289" t="s">
        <v>323</v>
      </c>
      <c r="C27" s="286" t="s">
        <v>18</v>
      </c>
      <c r="D27" s="286">
        <v>1.2</v>
      </c>
      <c r="E27" s="286">
        <v>0.35</v>
      </c>
      <c r="F27" s="286">
        <v>0.15</v>
      </c>
      <c r="G27" s="286"/>
      <c r="H27" s="286"/>
      <c r="I27" s="286">
        <v>22</v>
      </c>
      <c r="J27" s="288"/>
      <c r="K27" s="288"/>
      <c r="L27" s="288">
        <f>I27</f>
        <v>22</v>
      </c>
    </row>
    <row r="28" spans="1:12" s="293" customFormat="1" ht="30.75" customHeight="1" x14ac:dyDescent="0.2">
      <c r="A28" s="301" t="s">
        <v>142</v>
      </c>
      <c r="B28" s="435" t="s">
        <v>337</v>
      </c>
      <c r="C28" s="291" t="s">
        <v>251</v>
      </c>
      <c r="D28" s="291">
        <v>9</v>
      </c>
      <c r="E28" s="291">
        <v>1</v>
      </c>
      <c r="F28" s="291">
        <v>0.15</v>
      </c>
      <c r="G28" s="291"/>
      <c r="H28" s="291"/>
      <c r="I28" s="291"/>
      <c r="J28" s="302"/>
      <c r="K28" s="302"/>
      <c r="L28" s="302">
        <f>D28</f>
        <v>9</v>
      </c>
    </row>
    <row r="29" spans="1:12" s="293" customFormat="1" ht="42.75" x14ac:dyDescent="0.2">
      <c r="A29" s="301" t="s">
        <v>143</v>
      </c>
      <c r="B29" s="292" t="s">
        <v>242</v>
      </c>
      <c r="C29" s="291" t="s">
        <v>18</v>
      </c>
      <c r="D29" s="291"/>
      <c r="E29" s="291"/>
      <c r="F29" s="291">
        <v>0.15</v>
      </c>
      <c r="G29" s="291">
        <v>1.5</v>
      </c>
      <c r="H29" s="291"/>
      <c r="I29" s="291">
        <v>4</v>
      </c>
      <c r="J29" s="302"/>
      <c r="K29" s="302"/>
      <c r="L29" s="302">
        <f>I29</f>
        <v>4</v>
      </c>
    </row>
    <row r="30" spans="1:12" ht="42.75" x14ac:dyDescent="0.2">
      <c r="A30" s="301" t="s">
        <v>144</v>
      </c>
      <c r="B30" s="289" t="s">
        <v>243</v>
      </c>
      <c r="C30" s="286" t="s">
        <v>18</v>
      </c>
      <c r="D30" s="286">
        <v>0.45</v>
      </c>
      <c r="E30" s="286">
        <v>0.45</v>
      </c>
      <c r="F30" s="286">
        <v>0.4</v>
      </c>
      <c r="G30" s="286"/>
      <c r="H30" s="286"/>
      <c r="I30" s="286">
        <v>35</v>
      </c>
      <c r="J30" s="288"/>
      <c r="K30" s="288"/>
      <c r="L30" s="288">
        <f>I30</f>
        <v>35</v>
      </c>
    </row>
    <row r="31" spans="1:12" ht="35.25" customHeight="1" x14ac:dyDescent="0.2">
      <c r="A31" s="301" t="s">
        <v>325</v>
      </c>
      <c r="B31" s="289" t="s">
        <v>145</v>
      </c>
      <c r="C31" s="286" t="s">
        <v>19</v>
      </c>
      <c r="D31" s="286">
        <v>1</v>
      </c>
      <c r="E31" s="286">
        <f>E16</f>
        <v>1</v>
      </c>
      <c r="F31" s="286">
        <f>F16</f>
        <v>0.15</v>
      </c>
      <c r="G31" s="286"/>
      <c r="H31" s="286"/>
      <c r="I31" s="291">
        <v>3</v>
      </c>
      <c r="J31" s="288"/>
      <c r="K31" s="288"/>
      <c r="L31" s="288">
        <f>I31</f>
        <v>3</v>
      </c>
    </row>
    <row r="32" spans="1:12" ht="57" x14ac:dyDescent="0.2">
      <c r="A32" s="301" t="s">
        <v>146</v>
      </c>
      <c r="B32" s="289" t="s">
        <v>244</v>
      </c>
      <c r="C32" s="286" t="s">
        <v>18</v>
      </c>
      <c r="D32" s="286">
        <v>1.6</v>
      </c>
      <c r="E32" s="286">
        <f>E17</f>
        <v>0.7</v>
      </c>
      <c r="F32" s="286">
        <v>0.15</v>
      </c>
      <c r="G32" s="286"/>
      <c r="H32" s="286"/>
      <c r="I32" s="291">
        <v>1</v>
      </c>
      <c r="J32" s="288"/>
      <c r="K32" s="288"/>
      <c r="L32" s="288">
        <f>I32</f>
        <v>1</v>
      </c>
    </row>
    <row r="33" spans="1:13" ht="28.5" x14ac:dyDescent="0.2">
      <c r="A33" s="301" t="s">
        <v>147</v>
      </c>
      <c r="B33" s="289" t="s">
        <v>350</v>
      </c>
      <c r="C33" s="432" t="s">
        <v>16</v>
      </c>
      <c r="D33" s="432">
        <v>0.15</v>
      </c>
      <c r="E33" s="432"/>
      <c r="F33" s="432"/>
      <c r="G33" s="432">
        <f>ROUND(3.1416*9,2)</f>
        <v>28.27</v>
      </c>
      <c r="H33" s="288"/>
      <c r="I33" s="432">
        <v>0</v>
      </c>
      <c r="J33" s="288"/>
      <c r="K33" s="288"/>
      <c r="L33" s="288">
        <f>ROUND(G33*D33,0)</f>
        <v>4</v>
      </c>
    </row>
    <row r="34" spans="1:13" ht="42.75" x14ac:dyDescent="0.2">
      <c r="A34" s="301" t="s">
        <v>148</v>
      </c>
      <c r="B34" s="289" t="s">
        <v>367</v>
      </c>
      <c r="C34" s="444" t="s">
        <v>18</v>
      </c>
      <c r="D34" s="444"/>
      <c r="E34" s="444"/>
      <c r="F34" s="444"/>
      <c r="G34" s="444"/>
      <c r="H34" s="288"/>
      <c r="I34" s="444">
        <v>6</v>
      </c>
      <c r="J34" s="288"/>
      <c r="K34" s="288"/>
      <c r="L34" s="288">
        <f>I34</f>
        <v>6</v>
      </c>
    </row>
    <row r="35" spans="1:13" ht="28.5" x14ac:dyDescent="0.2">
      <c r="A35" s="301" t="s">
        <v>363</v>
      </c>
      <c r="B35" s="289" t="s">
        <v>366</v>
      </c>
      <c r="C35" s="454" t="s">
        <v>18</v>
      </c>
      <c r="D35" s="454"/>
      <c r="E35" s="454"/>
      <c r="F35" s="454"/>
      <c r="G35" s="454"/>
      <c r="H35" s="288"/>
      <c r="I35" s="454">
        <v>4</v>
      </c>
      <c r="J35" s="288"/>
      <c r="K35" s="288"/>
      <c r="L35" s="288">
        <f>I35</f>
        <v>4</v>
      </c>
    </row>
    <row r="36" spans="1:13" ht="15" x14ac:dyDescent="0.25">
      <c r="A36" s="299">
        <v>4</v>
      </c>
      <c r="B36" s="305" t="s">
        <v>15</v>
      </c>
      <c r="C36" s="295"/>
      <c r="D36" s="295"/>
      <c r="E36" s="295"/>
      <c r="F36" s="295"/>
      <c r="G36" s="295"/>
      <c r="H36" s="295"/>
      <c r="I36" s="295"/>
      <c r="J36" s="296"/>
      <c r="K36" s="296"/>
      <c r="L36" s="296"/>
    </row>
    <row r="37" spans="1:13" ht="42.75" x14ac:dyDescent="0.2">
      <c r="A37" s="290" t="s">
        <v>156</v>
      </c>
      <c r="B37" s="289" t="s">
        <v>321</v>
      </c>
      <c r="C37" s="286" t="s">
        <v>18</v>
      </c>
      <c r="D37" s="286"/>
      <c r="E37" s="286"/>
      <c r="F37" s="286"/>
      <c r="G37" s="286"/>
      <c r="H37" s="286"/>
      <c r="I37" s="286">
        <v>1</v>
      </c>
      <c r="J37" s="288"/>
      <c r="K37" s="288"/>
      <c r="L37" s="288">
        <f t="shared" ref="L37:L41" si="0">I37</f>
        <v>1</v>
      </c>
    </row>
    <row r="38" spans="1:13" ht="42.75" x14ac:dyDescent="0.2">
      <c r="A38" s="290" t="s">
        <v>157</v>
      </c>
      <c r="B38" s="289" t="s">
        <v>149</v>
      </c>
      <c r="C38" s="286" t="s">
        <v>18</v>
      </c>
      <c r="D38" s="286"/>
      <c r="E38" s="286"/>
      <c r="F38" s="286"/>
      <c r="G38" s="286"/>
      <c r="H38" s="286"/>
      <c r="I38" s="286">
        <v>2</v>
      </c>
      <c r="J38" s="288"/>
      <c r="K38" s="288"/>
      <c r="L38" s="288">
        <f t="shared" si="0"/>
        <v>2</v>
      </c>
    </row>
    <row r="39" spans="1:13" ht="42.75" x14ac:dyDescent="0.2">
      <c r="A39" s="290" t="s">
        <v>158</v>
      </c>
      <c r="B39" s="289" t="s">
        <v>322</v>
      </c>
      <c r="C39" s="286" t="s">
        <v>18</v>
      </c>
      <c r="D39" s="286"/>
      <c r="E39" s="286"/>
      <c r="F39" s="286"/>
      <c r="G39" s="286"/>
      <c r="H39" s="286"/>
      <c r="I39" s="286">
        <f>I31</f>
        <v>3</v>
      </c>
      <c r="J39" s="288"/>
      <c r="K39" s="288"/>
      <c r="L39" s="288">
        <f t="shared" si="0"/>
        <v>3</v>
      </c>
    </row>
    <row r="40" spans="1:13" ht="48.75" customHeight="1" x14ac:dyDescent="0.2">
      <c r="A40" s="290" t="s">
        <v>159</v>
      </c>
      <c r="B40" s="289" t="s">
        <v>318</v>
      </c>
      <c r="C40" s="286" t="s">
        <v>18</v>
      </c>
      <c r="D40" s="286"/>
      <c r="E40" s="286"/>
      <c r="F40" s="286"/>
      <c r="G40" s="286"/>
      <c r="H40" s="286"/>
      <c r="I40" s="286">
        <f>I32</f>
        <v>1</v>
      </c>
      <c r="J40" s="288"/>
      <c r="K40" s="288"/>
      <c r="L40" s="288">
        <f t="shared" si="0"/>
        <v>1</v>
      </c>
    </row>
    <row r="41" spans="1:13" ht="63.75" customHeight="1" x14ac:dyDescent="0.2">
      <c r="A41" s="290" t="s">
        <v>160</v>
      </c>
      <c r="B41" s="289" t="s">
        <v>232</v>
      </c>
      <c r="C41" s="286" t="s">
        <v>18</v>
      </c>
      <c r="D41" s="286"/>
      <c r="E41" s="286"/>
      <c r="F41" s="286"/>
      <c r="G41" s="286"/>
      <c r="H41" s="286"/>
      <c r="I41" s="286">
        <f>I29</f>
        <v>4</v>
      </c>
      <c r="J41" s="288"/>
      <c r="K41" s="288"/>
      <c r="L41" s="288">
        <f t="shared" si="0"/>
        <v>4</v>
      </c>
    </row>
    <row r="42" spans="1:13" ht="28.5" customHeight="1" x14ac:dyDescent="0.2">
      <c r="A42" s="290" t="s">
        <v>351</v>
      </c>
      <c r="B42" s="289" t="s">
        <v>368</v>
      </c>
      <c r="C42" s="444" t="s">
        <v>18</v>
      </c>
      <c r="D42" s="444"/>
      <c r="E42" s="444"/>
      <c r="F42" s="444"/>
      <c r="G42" s="444"/>
      <c r="H42" s="444"/>
      <c r="I42" s="444">
        <v>1</v>
      </c>
      <c r="J42" s="288"/>
      <c r="K42" s="288"/>
      <c r="L42" s="288">
        <f>I42</f>
        <v>1</v>
      </c>
    </row>
    <row r="43" spans="1:13" ht="15" x14ac:dyDescent="0.25">
      <c r="A43" s="299">
        <v>5</v>
      </c>
      <c r="B43" s="287" t="s">
        <v>21</v>
      </c>
      <c r="C43" s="295"/>
      <c r="D43" s="295"/>
      <c r="E43" s="295"/>
      <c r="F43" s="295"/>
      <c r="G43" s="295"/>
      <c r="H43" s="295"/>
      <c r="I43" s="295"/>
      <c r="J43" s="296"/>
      <c r="K43" s="296"/>
      <c r="L43" s="296"/>
    </row>
    <row r="44" spans="1:13" ht="61.5" customHeight="1" x14ac:dyDescent="0.2">
      <c r="A44" s="290" t="s">
        <v>151</v>
      </c>
      <c r="B44" s="289" t="s">
        <v>117</v>
      </c>
      <c r="C44" s="286" t="s">
        <v>16</v>
      </c>
      <c r="D44" s="286"/>
      <c r="E44" s="286"/>
      <c r="F44" s="286">
        <v>0.1</v>
      </c>
      <c r="G44" s="286"/>
      <c r="H44" s="286">
        <v>45</v>
      </c>
      <c r="J44" s="288"/>
      <c r="K44" s="288"/>
      <c r="L44" s="288">
        <f>ROUND(H44*F44,0)</f>
        <v>5</v>
      </c>
      <c r="M44" s="70" t="s">
        <v>214</v>
      </c>
    </row>
    <row r="45" spans="1:13" ht="28.5" x14ac:dyDescent="0.2">
      <c r="A45" s="290" t="s">
        <v>152</v>
      </c>
      <c r="B45" s="289" t="s">
        <v>224</v>
      </c>
      <c r="C45" s="286" t="s">
        <v>19</v>
      </c>
      <c r="D45" s="286"/>
      <c r="E45" s="286"/>
      <c r="F45" s="286"/>
      <c r="G45" s="286"/>
      <c r="H45" s="286">
        <v>100</v>
      </c>
      <c r="I45" s="286"/>
      <c r="J45" s="288"/>
      <c r="K45" s="288"/>
      <c r="L45" s="288">
        <f>H45</f>
        <v>100</v>
      </c>
      <c r="M45" s="70" t="s">
        <v>214</v>
      </c>
    </row>
    <row r="46" spans="1:13" s="266" customFormat="1" ht="57" x14ac:dyDescent="0.2">
      <c r="A46" s="290" t="s">
        <v>341</v>
      </c>
      <c r="B46" s="434" t="s">
        <v>331</v>
      </c>
      <c r="C46" s="290" t="s">
        <v>18</v>
      </c>
      <c r="E46" s="290"/>
      <c r="F46" s="290"/>
      <c r="G46" s="290"/>
      <c r="H46" s="290"/>
      <c r="J46" s="300"/>
      <c r="K46" s="300"/>
      <c r="L46" s="470">
        <f>SUM(I47:I49)</f>
        <v>186</v>
      </c>
      <c r="M46" s="266" t="s">
        <v>219</v>
      </c>
    </row>
    <row r="47" spans="1:13" s="266" customFormat="1" ht="42.75" x14ac:dyDescent="0.2">
      <c r="A47" s="290" t="s">
        <v>332</v>
      </c>
      <c r="B47" s="434" t="s">
        <v>329</v>
      </c>
      <c r="C47" s="290" t="s">
        <v>18</v>
      </c>
      <c r="D47" s="290">
        <f>ROUND(24.37/0.3,0)</f>
        <v>81</v>
      </c>
      <c r="E47" s="290"/>
      <c r="F47" s="290"/>
      <c r="G47" s="290"/>
      <c r="H47" s="290"/>
      <c r="I47" s="290">
        <v>80</v>
      </c>
      <c r="J47" s="300"/>
      <c r="K47" s="300"/>
      <c r="L47" s="471"/>
    </row>
    <row r="48" spans="1:13" s="266" customFormat="1" ht="42.75" x14ac:dyDescent="0.2">
      <c r="A48" s="290" t="s">
        <v>333</v>
      </c>
      <c r="B48" s="434" t="s">
        <v>330</v>
      </c>
      <c r="C48" s="290" t="s">
        <v>18</v>
      </c>
      <c r="D48" s="290">
        <f>ROUND(7.71/0.3,0)</f>
        <v>26</v>
      </c>
      <c r="E48" s="290"/>
      <c r="F48" s="290"/>
      <c r="G48" s="290"/>
      <c r="H48" s="290"/>
      <c r="I48" s="290">
        <f>D48</f>
        <v>26</v>
      </c>
      <c r="J48" s="300"/>
      <c r="K48" s="300"/>
      <c r="L48" s="471"/>
    </row>
    <row r="49" spans="1:12" s="266" customFormat="1" ht="42.75" x14ac:dyDescent="0.2">
      <c r="A49" s="290" t="s">
        <v>335</v>
      </c>
      <c r="B49" s="434" t="s">
        <v>334</v>
      </c>
      <c r="C49" s="290" t="s">
        <v>18</v>
      </c>
      <c r="D49" s="290">
        <f>ROUND((2.3+2.87+1.11+1.14+10.47+6.54)/0.3,0)</f>
        <v>81</v>
      </c>
      <c r="E49" s="290"/>
      <c r="F49" s="290"/>
      <c r="G49" s="290"/>
      <c r="H49" s="290"/>
      <c r="I49" s="290">
        <v>80</v>
      </c>
      <c r="J49" s="300"/>
      <c r="K49" s="300"/>
      <c r="L49" s="472"/>
    </row>
    <row r="50" spans="1:12" ht="42.75" x14ac:dyDescent="0.2">
      <c r="A50" s="290" t="s">
        <v>153</v>
      </c>
      <c r="B50" s="289" t="s">
        <v>340</v>
      </c>
      <c r="C50" s="286" t="s">
        <v>18</v>
      </c>
      <c r="D50" s="286"/>
      <c r="E50" s="286"/>
      <c r="F50" s="286"/>
      <c r="G50" s="286"/>
      <c r="H50" s="286"/>
      <c r="I50" s="286">
        <v>8</v>
      </c>
      <c r="J50" s="288"/>
      <c r="K50" s="288"/>
      <c r="L50" s="467">
        <f>SUM(I50:I51)</f>
        <v>14</v>
      </c>
    </row>
    <row r="51" spans="1:12" ht="50.25" customHeight="1" x14ac:dyDescent="0.2">
      <c r="A51" s="290"/>
      <c r="B51" s="289" t="s">
        <v>346</v>
      </c>
      <c r="C51" s="436" t="s">
        <v>18</v>
      </c>
      <c r="D51" s="436"/>
      <c r="E51" s="436"/>
      <c r="F51" s="436"/>
      <c r="G51" s="436"/>
      <c r="H51" s="436"/>
      <c r="I51" s="436">
        <v>6</v>
      </c>
      <c r="J51" s="288"/>
      <c r="K51" s="288"/>
      <c r="L51" s="469"/>
    </row>
    <row r="52" spans="1:12" s="293" customFormat="1" ht="50.25" customHeight="1" x14ac:dyDescent="0.2">
      <c r="A52" s="290" t="s">
        <v>342</v>
      </c>
      <c r="B52" s="292" t="s">
        <v>226</v>
      </c>
      <c r="C52" s="291" t="s">
        <v>19</v>
      </c>
      <c r="D52" s="291"/>
      <c r="E52" s="291"/>
      <c r="F52" s="291">
        <v>0.05</v>
      </c>
      <c r="G52" s="291"/>
      <c r="H52" s="291">
        <f>ROUND(1.89+2.31+1.58+3.1+2+5,0)</f>
        <v>16</v>
      </c>
      <c r="I52" s="291"/>
      <c r="J52" s="302"/>
      <c r="K52" s="302"/>
      <c r="L52" s="302">
        <f>H52</f>
        <v>16</v>
      </c>
    </row>
    <row r="53" spans="1:12" ht="42.75" x14ac:dyDescent="0.2">
      <c r="A53" s="290" t="s">
        <v>154</v>
      </c>
      <c r="B53" s="304" t="s">
        <v>245</v>
      </c>
      <c r="C53" s="432" t="s">
        <v>16</v>
      </c>
      <c r="D53" s="432">
        <v>1</v>
      </c>
      <c r="E53" s="432"/>
      <c r="F53" s="432">
        <v>0.05</v>
      </c>
      <c r="G53" s="432"/>
      <c r="H53" s="432">
        <f>30+28+12</f>
        <v>70</v>
      </c>
      <c r="I53" s="432"/>
      <c r="J53" s="288"/>
      <c r="K53" s="288">
        <f>H53*F53*D53</f>
        <v>3.5</v>
      </c>
      <c r="L53" s="288">
        <f>ROUND(K53,0)</f>
        <v>4</v>
      </c>
    </row>
    <row r="54" spans="1:12" ht="28.5" x14ac:dyDescent="0.2">
      <c r="A54" s="290" t="s">
        <v>348</v>
      </c>
      <c r="B54" s="304" t="s">
        <v>347</v>
      </c>
      <c r="C54" s="444" t="s">
        <v>16</v>
      </c>
      <c r="D54" s="444"/>
      <c r="E54" s="444"/>
      <c r="F54" s="444"/>
      <c r="G54" s="444"/>
      <c r="H54" s="444"/>
      <c r="I54" s="444"/>
      <c r="J54" s="288"/>
      <c r="K54" s="288"/>
      <c r="L54" s="288">
        <v>5</v>
      </c>
    </row>
    <row r="55" spans="1:12" x14ac:dyDescent="0.2">
      <c r="A55" s="306"/>
    </row>
    <row r="56" spans="1:12" x14ac:dyDescent="0.2">
      <c r="B56" s="461" t="s">
        <v>66</v>
      </c>
      <c r="C56" s="461"/>
    </row>
    <row r="57" spans="1:12" x14ac:dyDescent="0.2">
      <c r="B57" s="460" t="s">
        <v>319</v>
      </c>
      <c r="C57" s="460"/>
    </row>
  </sheetData>
  <mergeCells count="10">
    <mergeCell ref="B57:C57"/>
    <mergeCell ref="B56:C56"/>
    <mergeCell ref="A1:L1"/>
    <mergeCell ref="A2:L3"/>
    <mergeCell ref="A4:B4"/>
    <mergeCell ref="D4:L4"/>
    <mergeCell ref="A5:L5"/>
    <mergeCell ref="L10:L23"/>
    <mergeCell ref="L46:L49"/>
    <mergeCell ref="L50:L51"/>
  </mergeCells>
  <phoneticPr fontId="22" type="noConversion"/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  <colBreaks count="1" manualBreakCount="1">
    <brk id="12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6E11-BAB7-4F06-A105-EABA9619A78A}">
  <dimension ref="A1:N48"/>
  <sheetViews>
    <sheetView tabSelected="1" zoomScale="82" zoomScaleNormal="82" zoomScaleSheetLayoutView="82" workbookViewId="0">
      <selection activeCell="E51" sqref="E51"/>
    </sheetView>
  </sheetViews>
  <sheetFormatPr baseColWidth="10" defaultRowHeight="14.25" x14ac:dyDescent="0.25"/>
  <cols>
    <col min="1" max="1" width="6.28515625" style="339" customWidth="1"/>
    <col min="2" max="2" width="39.42578125" style="238" customWidth="1"/>
    <col min="3" max="3" width="11.42578125" style="339"/>
    <col min="4" max="4" width="13" style="339" customWidth="1"/>
    <col min="5" max="5" width="21.28515625" style="239" customWidth="1"/>
    <col min="6" max="6" width="27.28515625" style="238" customWidth="1"/>
    <col min="7" max="7" width="19.28515625" style="238" customWidth="1"/>
    <col min="8" max="8" width="18.28515625" style="238" bestFit="1" customWidth="1"/>
    <col min="9" max="9" width="20.85546875" style="238" customWidth="1"/>
    <col min="10" max="10" width="14.85546875" style="239" bestFit="1" customWidth="1"/>
    <col min="11" max="11" width="22.7109375" style="267" customWidth="1"/>
    <col min="12" max="12" width="13.28515625" style="238" bestFit="1" customWidth="1"/>
    <col min="13" max="13" width="11.42578125" style="238"/>
    <col min="14" max="14" width="18.5703125" style="238" customWidth="1"/>
    <col min="15" max="16384" width="11.42578125" style="238"/>
  </cols>
  <sheetData>
    <row r="1" spans="1:11" x14ac:dyDescent="0.25">
      <c r="A1" s="480" t="s">
        <v>343</v>
      </c>
      <c r="B1" s="480"/>
      <c r="C1" s="480"/>
      <c r="D1" s="480"/>
      <c r="E1" s="480"/>
      <c r="F1" s="480"/>
    </row>
    <row r="2" spans="1:11" x14ac:dyDescent="0.25">
      <c r="A2" s="481" t="str">
        <f>CANTIDADES!A2</f>
        <v>EJECUCIÓN DE ACCIÓN DE MEJORAMIENTO AMBIENTAL Y PAISAJÍSTICO DE LA ZONA VERDE COMPLEMENTARIA AL ESPACIO PÚBLICO DEL ESCENARIO DEPORTIVO EXISTENTE EN LA VEREDA SAN RAFAEL, MUNICIPIO DE MORALES, DEPARTAMENTO DEL CAUCA</v>
      </c>
      <c r="B2" s="481"/>
      <c r="C2" s="481"/>
      <c r="D2" s="481"/>
      <c r="E2" s="481"/>
      <c r="F2" s="481"/>
    </row>
    <row r="3" spans="1:11" ht="31.5" customHeight="1" x14ac:dyDescent="0.25">
      <c r="A3" s="481"/>
      <c r="B3" s="481"/>
      <c r="C3" s="481"/>
      <c r="D3" s="481"/>
      <c r="E3" s="481"/>
      <c r="F3" s="481"/>
    </row>
    <row r="4" spans="1:11" x14ac:dyDescent="0.25">
      <c r="A4" s="482" t="str">
        <f>CANTIDADES!A4</f>
        <v>FECHA: 09-JUNIO-2021</v>
      </c>
      <c r="B4" s="482"/>
      <c r="C4" s="308" t="s">
        <v>0</v>
      </c>
      <c r="D4" s="480" t="s">
        <v>20</v>
      </c>
      <c r="E4" s="480"/>
      <c r="F4" s="480"/>
    </row>
    <row r="6" spans="1:11" ht="15" x14ac:dyDescent="0.25">
      <c r="A6" s="309" t="s">
        <v>247</v>
      </c>
      <c r="B6" s="309" t="s">
        <v>188</v>
      </c>
      <c r="C6" s="309" t="s">
        <v>3</v>
      </c>
      <c r="D6" s="309" t="s">
        <v>165</v>
      </c>
      <c r="E6" s="310" t="s">
        <v>248</v>
      </c>
      <c r="F6" s="311" t="s">
        <v>249</v>
      </c>
    </row>
    <row r="7" spans="1:11" s="315" customFormat="1" ht="15" x14ac:dyDescent="0.25">
      <c r="A7" s="312">
        <f>CANTIDADES!A7</f>
        <v>1</v>
      </c>
      <c r="B7" s="313" t="str">
        <f>CANTIDADES!B7</f>
        <v>PRELIMINARES</v>
      </c>
      <c r="C7" s="312"/>
      <c r="D7" s="312"/>
      <c r="E7" s="314"/>
      <c r="F7" s="313"/>
      <c r="J7" s="316"/>
      <c r="K7" s="317"/>
    </row>
    <row r="8" spans="1:11" x14ac:dyDescent="0.25">
      <c r="A8" s="308">
        <v>1.1000000000000001</v>
      </c>
      <c r="B8" s="318" t="str">
        <f>CANTIDADES!B8</f>
        <v>Localización y Replanteo</v>
      </c>
      <c r="C8" s="308" t="str">
        <f>CANTIDADES!C8</f>
        <v>m2</v>
      </c>
      <c r="D8" s="319">
        <f>CANTIDADES!L8</f>
        <v>560</v>
      </c>
      <c r="E8" s="330">
        <f>APUS!H43</f>
        <v>1430</v>
      </c>
      <c r="F8" s="320">
        <f>ROUND(D8*E8,0)</f>
        <v>800800</v>
      </c>
      <c r="G8" s="321"/>
      <c r="I8" s="421"/>
      <c r="K8" s="322"/>
    </row>
    <row r="9" spans="1:11" s="315" customFormat="1" ht="15" x14ac:dyDescent="0.25">
      <c r="A9" s="312">
        <f>CANTIDADES!A9</f>
        <v>2</v>
      </c>
      <c r="B9" s="313" t="str">
        <f>CANTIDADES!B9</f>
        <v>EXCAVACIONES, RELLENOS Y RETIRO</v>
      </c>
      <c r="C9" s="312"/>
      <c r="D9" s="323"/>
      <c r="E9" s="324"/>
      <c r="F9" s="325"/>
      <c r="G9" s="321"/>
      <c r="J9" s="316"/>
      <c r="K9" s="322"/>
    </row>
    <row r="10" spans="1:11" ht="36.75" customHeight="1" x14ac:dyDescent="0.25">
      <c r="A10" s="308">
        <f>CANTIDADES!A10</f>
        <v>2.1</v>
      </c>
      <c r="B10" s="326" t="str">
        <f>CANTIDADES!B10</f>
        <v>Excavacion a mano en material común prof hasta 0,60m</v>
      </c>
      <c r="C10" s="308" t="str">
        <f>CANTIDADES!C10</f>
        <v>m3</v>
      </c>
      <c r="D10" s="319">
        <f>CANTIDADES!L10</f>
        <v>84</v>
      </c>
      <c r="E10" s="330">
        <f>APUS!H79</f>
        <v>13183</v>
      </c>
      <c r="F10" s="320">
        <f t="shared" ref="F10:F37" si="0">ROUND(D10*E10,0)</f>
        <v>1107372</v>
      </c>
      <c r="G10" s="321"/>
      <c r="K10" s="322"/>
    </row>
    <row r="11" spans="1:11" ht="57" x14ac:dyDescent="0.25">
      <c r="A11" s="308">
        <f>CANTIDADES!A24</f>
        <v>2.2000000000000002</v>
      </c>
      <c r="B11" s="326" t="str">
        <f>CANTIDADES!B24</f>
        <v xml:space="preserve">Suministro, instalación, compactación y nivelación de material de prestamo (tierra amarilla) para conformación de Relleno </v>
      </c>
      <c r="C11" s="308" t="str">
        <f>CANTIDADES!C24</f>
        <v>m3</v>
      </c>
      <c r="D11" s="319">
        <f>CANTIDADES!L24</f>
        <v>28</v>
      </c>
      <c r="E11" s="330">
        <f>APUS!H116</f>
        <v>34783</v>
      </c>
      <c r="F11" s="320">
        <f t="shared" si="0"/>
        <v>973924</v>
      </c>
      <c r="G11" s="321"/>
      <c r="K11" s="322"/>
    </row>
    <row r="12" spans="1:11" ht="28.5" x14ac:dyDescent="0.25">
      <c r="A12" s="308">
        <f>CANTIDADES!A25</f>
        <v>2.2999999999999998</v>
      </c>
      <c r="B12" s="326" t="str">
        <f>CANTIDADES!B25</f>
        <v>Retiro de material sobrante hasta sitio autorizado</v>
      </c>
      <c r="C12" s="308" t="str">
        <f>CANTIDADES!C25</f>
        <v>m3</v>
      </c>
      <c r="D12" s="319">
        <f>CANTIDADES!L25</f>
        <v>84</v>
      </c>
      <c r="E12" s="330">
        <f>APUS!H155</f>
        <v>21950</v>
      </c>
      <c r="F12" s="320">
        <f t="shared" si="0"/>
        <v>1843800</v>
      </c>
      <c r="G12" s="321"/>
      <c r="H12" s="421">
        <f>SUM(F8:F12)</f>
        <v>4725896</v>
      </c>
      <c r="K12" s="322"/>
    </row>
    <row r="13" spans="1:11" ht="15" x14ac:dyDescent="0.25">
      <c r="A13" s="312">
        <f>CANTIDADES!A26</f>
        <v>3</v>
      </c>
      <c r="B13" s="313" t="str">
        <f>CANTIDADES!B26</f>
        <v xml:space="preserve">ESTRUCTURAS EN CONCRETOS </v>
      </c>
      <c r="C13" s="312"/>
      <c r="D13" s="323"/>
      <c r="E13" s="324"/>
      <c r="F13" s="325"/>
      <c r="G13" s="321"/>
      <c r="K13" s="322"/>
    </row>
    <row r="14" spans="1:11" s="336" customFormat="1" ht="66.75" customHeight="1" x14ac:dyDescent="0.25">
      <c r="A14" s="437" t="s">
        <v>141</v>
      </c>
      <c r="B14" s="334" t="str">
        <f>CANTIDADES!B27</f>
        <v>Huellas en concreto ciclopeo 3000 PSI-21Mpa, ANCHO= 35 cm x L= 1,2 E= 15 cm a nivel del piso sobre zona verde para protección de la misma</v>
      </c>
      <c r="C14" s="333" t="str">
        <f>CANTIDADES!C27</f>
        <v>und</v>
      </c>
      <c r="D14" s="335">
        <f>CANTIDADES!L27</f>
        <v>22</v>
      </c>
      <c r="E14" s="438">
        <f>APUS!H272</f>
        <v>73852</v>
      </c>
      <c r="F14" s="332">
        <f t="shared" si="0"/>
        <v>1624744</v>
      </c>
      <c r="G14" s="423"/>
      <c r="J14" s="337"/>
      <c r="K14" s="338"/>
    </row>
    <row r="15" spans="1:11" s="336" customFormat="1" ht="31.5" customHeight="1" x14ac:dyDescent="0.25">
      <c r="A15" s="445" t="s">
        <v>142</v>
      </c>
      <c r="B15" s="334" t="str">
        <f>CANTIDADES!B28</f>
        <v>Cuneta, canuela Conc.3000PSI.A=40CM E=5CM</v>
      </c>
      <c r="C15" s="333" t="str">
        <f>CANTIDADES!C28</f>
        <v>m</v>
      </c>
      <c r="D15" s="335">
        <f>CANTIDADES!L28</f>
        <v>9</v>
      </c>
      <c r="E15" s="438">
        <f>APUS!H312</f>
        <v>53835</v>
      </c>
      <c r="F15" s="332">
        <f t="shared" si="0"/>
        <v>484515</v>
      </c>
      <c r="G15" s="423"/>
      <c r="J15" s="337"/>
      <c r="K15" s="338"/>
    </row>
    <row r="16" spans="1:11" s="336" customFormat="1" ht="48" customHeight="1" x14ac:dyDescent="0.25">
      <c r="A16" s="445" t="s">
        <v>143</v>
      </c>
      <c r="B16" s="334" t="str">
        <f>CANTIDADES!B29</f>
        <v>Bases en concreto para instalaciòn de juegos en llanta, Diametro=1,5m, E= 15 cm; 3000PSI -21MP</v>
      </c>
      <c r="C16" s="333" t="str">
        <f>CANTIDADES!C29</f>
        <v>und</v>
      </c>
      <c r="D16" s="335">
        <f>CANTIDADES!L29</f>
        <v>4</v>
      </c>
      <c r="E16" s="378">
        <f>APUS!H350</f>
        <v>165289</v>
      </c>
      <c r="F16" s="332">
        <f t="shared" si="0"/>
        <v>661156</v>
      </c>
      <c r="G16" s="423"/>
      <c r="H16" s="433"/>
      <c r="J16" s="337"/>
      <c r="K16" s="338"/>
    </row>
    <row r="17" spans="1:11" s="336" customFormat="1" ht="46.5" customHeight="1" x14ac:dyDescent="0.25">
      <c r="A17" s="445" t="s">
        <v>144</v>
      </c>
      <c r="B17" s="334" t="str">
        <f>CANTIDADES!B30</f>
        <v>Bases en concreto para instalaciòn de juegos infantiles   45 cm x 45 cm x 45 cm, 3000PSI -21MP</v>
      </c>
      <c r="C17" s="333" t="str">
        <f>CANTIDADES!C30</f>
        <v>und</v>
      </c>
      <c r="D17" s="335">
        <f>CANTIDADES!L30</f>
        <v>35</v>
      </c>
      <c r="E17" s="378">
        <f>APUS!H391</f>
        <v>62016</v>
      </c>
      <c r="F17" s="332">
        <f t="shared" si="0"/>
        <v>2170560</v>
      </c>
      <c r="G17" s="423"/>
      <c r="J17" s="337"/>
      <c r="K17" s="338"/>
    </row>
    <row r="18" spans="1:11" s="336" customFormat="1" ht="37.5" customHeight="1" x14ac:dyDescent="0.25">
      <c r="A18" s="445" t="s">
        <v>325</v>
      </c>
      <c r="B18" s="334" t="str">
        <f>CANTIDADES!B31</f>
        <v>Bases en concreto para instalaciòn de  bancas   E= 15cm,  .3000PSI -21MP</v>
      </c>
      <c r="C18" s="333" t="str">
        <f>CANTIDADES!C31</f>
        <v>m2</v>
      </c>
      <c r="D18" s="335">
        <f>CANTIDADES!L31</f>
        <v>3</v>
      </c>
      <c r="E18" s="332">
        <f>APUS!H433</f>
        <v>88631</v>
      </c>
      <c r="F18" s="332">
        <f t="shared" si="0"/>
        <v>265893</v>
      </c>
      <c r="G18" s="423"/>
      <c r="J18" s="337"/>
      <c r="K18" s="338"/>
    </row>
    <row r="19" spans="1:11" s="336" customFormat="1" ht="60" customHeight="1" x14ac:dyDescent="0.25">
      <c r="A19" s="445" t="s">
        <v>146</v>
      </c>
      <c r="B19" s="334" t="str">
        <f>CANTIDADES!B32</f>
        <v>Bases en concreto simple para instalaciòn de   puntos ecologicos L= 1.60 m X Ancho= 70 cm, E= 15 cm,  .3000PSI -21MP</v>
      </c>
      <c r="C19" s="333" t="str">
        <f>CANTIDADES!C32</f>
        <v>und</v>
      </c>
      <c r="D19" s="335">
        <f>CANTIDADES!L32</f>
        <v>1</v>
      </c>
      <c r="E19" s="332">
        <f>APUS!H475</f>
        <v>92229</v>
      </c>
      <c r="F19" s="332">
        <f t="shared" si="0"/>
        <v>92229</v>
      </c>
      <c r="G19" s="423"/>
      <c r="J19" s="337"/>
      <c r="K19" s="338"/>
    </row>
    <row r="20" spans="1:11" s="336" customFormat="1" ht="38.25" customHeight="1" x14ac:dyDescent="0.25">
      <c r="A20" s="445" t="s">
        <v>147</v>
      </c>
      <c r="B20" s="334" t="str">
        <f>CANTIDADES!B33</f>
        <v>Losa en concreto de 21 MPA para kiosko  E= .15CM</v>
      </c>
      <c r="C20" s="333" t="str">
        <f>CANTIDADES!C33</f>
        <v>m3</v>
      </c>
      <c r="D20" s="335">
        <f>CANTIDADES!L33</f>
        <v>4</v>
      </c>
      <c r="E20" s="332">
        <f>APUS!H1040</f>
        <v>329680</v>
      </c>
      <c r="F20" s="332">
        <f t="shared" si="0"/>
        <v>1318720</v>
      </c>
      <c r="G20" s="423"/>
      <c r="H20" s="424"/>
      <c r="J20" s="337"/>
      <c r="K20" s="338"/>
    </row>
    <row r="21" spans="1:11" s="336" customFormat="1" ht="53.25" customHeight="1" x14ac:dyDescent="0.25">
      <c r="A21" s="445" t="s">
        <v>148</v>
      </c>
      <c r="B21" s="334" t="str">
        <f>CANTIDADES!B34</f>
        <v>Pedestales en concreto 0,80m, 0,2m bajo el nivel de losa, y 0,40 sobre nivel de losa, 0,4m de diametro</v>
      </c>
      <c r="C21" s="333" t="str">
        <f>CANTIDADES!C34</f>
        <v>und</v>
      </c>
      <c r="D21" s="335">
        <f>CANTIDADES!L34</f>
        <v>6</v>
      </c>
      <c r="E21" s="332">
        <f>APUS!H1076</f>
        <v>116641</v>
      </c>
      <c r="F21" s="332">
        <f t="shared" si="0"/>
        <v>699846</v>
      </c>
      <c r="G21" s="423"/>
      <c r="H21" s="424"/>
      <c r="J21" s="337"/>
      <c r="K21" s="338"/>
    </row>
    <row r="22" spans="1:11" s="336" customFormat="1" ht="36.75" customHeight="1" x14ac:dyDescent="0.25">
      <c r="A22" s="455" t="s">
        <v>363</v>
      </c>
      <c r="B22" s="334" t="str">
        <f>CANTIDADES!B35</f>
        <v>Bancos en concreto pintados  de colores 0.50mx 0.50mx 0.5m</v>
      </c>
      <c r="C22" s="333" t="str">
        <f>CANTIDADES!C35</f>
        <v>und</v>
      </c>
      <c r="D22" s="335">
        <f>CANTIDADES!L35</f>
        <v>4</v>
      </c>
      <c r="E22" s="332">
        <f>APUS!H191</f>
        <v>118511</v>
      </c>
      <c r="F22" s="332">
        <f t="shared" si="0"/>
        <v>474044</v>
      </c>
      <c r="G22" s="423"/>
      <c r="H22" s="424">
        <f>SUM(F14:F22)</f>
        <v>7791707</v>
      </c>
      <c r="J22" s="337"/>
      <c r="K22" s="338"/>
    </row>
    <row r="23" spans="1:11" ht="15" x14ac:dyDescent="0.25">
      <c r="A23" s="312">
        <f>CANTIDADES!A36</f>
        <v>4</v>
      </c>
      <c r="B23" s="313" t="str">
        <f>CANTIDADES!B36</f>
        <v>MOBILIARIO URBANO</v>
      </c>
      <c r="C23" s="312"/>
      <c r="D23" s="323"/>
      <c r="E23" s="324"/>
      <c r="F23" s="325"/>
      <c r="G23" s="321"/>
      <c r="K23" s="322"/>
    </row>
    <row r="24" spans="1:11" s="336" customFormat="1" ht="50.25" customHeight="1" x14ac:dyDescent="0.25">
      <c r="A24" s="333" t="str">
        <f>CANTIDADES!A37</f>
        <v>4.1</v>
      </c>
      <c r="B24" s="334" t="str">
        <f>CANTIDADES!B37</f>
        <v>Suministro e instalacion de juegos infantiles en madera plastica según especificaciones técnicas.</v>
      </c>
      <c r="C24" s="333" t="str">
        <f>CANTIDADES!C37</f>
        <v>und</v>
      </c>
      <c r="D24" s="335">
        <f>CANTIDADES!L37</f>
        <v>1</v>
      </c>
      <c r="E24" s="332">
        <f>APUS!H520</f>
        <v>6669617</v>
      </c>
      <c r="F24" s="332">
        <f t="shared" si="0"/>
        <v>6669617</v>
      </c>
      <c r="G24" s="423"/>
      <c r="I24" s="424"/>
      <c r="J24" s="337"/>
      <c r="K24" s="338"/>
    </row>
    <row r="25" spans="1:11" s="336" customFormat="1" ht="49.5" customHeight="1" x14ac:dyDescent="0.25">
      <c r="A25" s="333" t="str">
        <f>CANTIDADES!A38</f>
        <v>4.2</v>
      </c>
      <c r="B25" s="334" t="str">
        <f>CANTIDADES!B38</f>
        <v>Suministro e instalacion de juegos infantiles en madera plastica burrito balancin.</v>
      </c>
      <c r="C25" s="333" t="str">
        <f>CANTIDADES!C38</f>
        <v>und</v>
      </c>
      <c r="D25" s="335">
        <f>CANTIDADES!L38</f>
        <v>2</v>
      </c>
      <c r="E25" s="332">
        <f>APUS!H563</f>
        <v>878806</v>
      </c>
      <c r="F25" s="332">
        <f t="shared" si="0"/>
        <v>1757612</v>
      </c>
      <c r="G25" s="423"/>
      <c r="J25" s="337"/>
      <c r="K25" s="338"/>
    </row>
    <row r="26" spans="1:11" s="336" customFormat="1" ht="46.5" customHeight="1" x14ac:dyDescent="0.25">
      <c r="A26" s="333" t="str">
        <f>CANTIDADES!A39</f>
        <v>4.3</v>
      </c>
      <c r="B26" s="334" t="str">
        <f>CANTIDADES!B39</f>
        <v>Suministro e instalacion de bancas con espaldar en madera plastica  según especificaciones técnicas.</v>
      </c>
      <c r="C26" s="333" t="str">
        <f>CANTIDADES!C39</f>
        <v>und</v>
      </c>
      <c r="D26" s="335">
        <f>CANTIDADES!L39</f>
        <v>3</v>
      </c>
      <c r="E26" s="332">
        <f>APUS!H606</f>
        <v>377110</v>
      </c>
      <c r="F26" s="332">
        <f t="shared" si="0"/>
        <v>1131330</v>
      </c>
      <c r="G26" s="423"/>
      <c r="J26" s="337"/>
      <c r="K26" s="338"/>
    </row>
    <row r="27" spans="1:11" s="336" customFormat="1" ht="49.5" customHeight="1" x14ac:dyDescent="0.25">
      <c r="A27" s="333" t="str">
        <f>CANTIDADES!A40</f>
        <v>4.4</v>
      </c>
      <c r="B27" s="334" t="str">
        <f>CANTIDADES!B40</f>
        <v>Suministro e instalacion de puntos ecologicos  en madera plastica según especificaciones técnicas.</v>
      </c>
      <c r="C27" s="333" t="str">
        <f>CANTIDADES!C40</f>
        <v>und</v>
      </c>
      <c r="D27" s="335">
        <f>CANTIDADES!L40</f>
        <v>1</v>
      </c>
      <c r="E27" s="332">
        <f>APUS!H646</f>
        <v>647620</v>
      </c>
      <c r="F27" s="332">
        <f t="shared" si="0"/>
        <v>647620</v>
      </c>
      <c r="G27" s="423"/>
      <c r="J27" s="337"/>
      <c r="K27" s="338"/>
    </row>
    <row r="28" spans="1:11" ht="62.25" customHeight="1" x14ac:dyDescent="0.25">
      <c r="A28" s="333" t="str">
        <f>CANTIDADES!A41</f>
        <v>4.5</v>
      </c>
      <c r="B28" s="326" t="str">
        <f>CANTIDADES!B41</f>
        <v>Suministro e instalacion de juegoss individuales en llantas decoradas según diseños y especificaciones tecnicas</v>
      </c>
      <c r="C28" s="308" t="str">
        <f>CANTIDADES!C41</f>
        <v>und</v>
      </c>
      <c r="D28" s="319">
        <f>CANTIDADES!L41</f>
        <v>4</v>
      </c>
      <c r="E28" s="320">
        <f>APUS!H685</f>
        <v>203833</v>
      </c>
      <c r="F28" s="330">
        <f t="shared" si="0"/>
        <v>815332</v>
      </c>
      <c r="G28" s="321"/>
      <c r="H28" s="421"/>
      <c r="K28" s="322"/>
    </row>
    <row r="29" spans="1:11" ht="37.5" customHeight="1" x14ac:dyDescent="0.25">
      <c r="A29" s="333" t="str">
        <f>CANTIDADES!A42</f>
        <v>4.6</v>
      </c>
      <c r="B29" s="326" t="str">
        <f>CANTIDADES!B42</f>
        <v>Kiosco en guadua hexagonal L=6M, (Incluye cubierta)</v>
      </c>
      <c r="C29" s="445" t="str">
        <f>CANTIDADES!C42</f>
        <v>und</v>
      </c>
      <c r="D29" s="319">
        <f>CANTIDADES!L42</f>
        <v>1</v>
      </c>
      <c r="E29" s="320">
        <f>APUS!H232</f>
        <v>9492661.8699999992</v>
      </c>
      <c r="F29" s="330">
        <f t="shared" si="0"/>
        <v>9492662</v>
      </c>
      <c r="G29" s="321"/>
      <c r="H29" s="421">
        <f>SUM(F24:F29)</f>
        <v>20514173</v>
      </c>
      <c r="K29" s="322"/>
    </row>
    <row r="30" spans="1:11" ht="15" x14ac:dyDescent="0.25">
      <c r="A30" s="312">
        <f>CANTIDADES!A43</f>
        <v>5</v>
      </c>
      <c r="B30" s="313" t="str">
        <f>CANTIDADES!B43</f>
        <v>VEGETACION Y ELEMENTOS NATURALES</v>
      </c>
      <c r="C30" s="312"/>
      <c r="D30" s="323"/>
      <c r="E30" s="324"/>
      <c r="F30" s="325"/>
      <c r="G30" s="321"/>
      <c r="K30" s="322"/>
    </row>
    <row r="31" spans="1:11" ht="49.5" customHeight="1" x14ac:dyDescent="0.25">
      <c r="A31" s="308" t="str">
        <f>CANTIDADES!A44</f>
        <v>5.1</v>
      </c>
      <c r="B31" s="326" t="str">
        <f>CANTIDADES!B44</f>
        <v>Suministro e instalacion de tierra negra mejorada y esterilizada para siembra de prado, materas, arboles, arbustos .</v>
      </c>
      <c r="C31" s="308" t="str">
        <f>CANTIDADES!C44</f>
        <v>m3</v>
      </c>
      <c r="D31" s="319">
        <f>CANTIDADES!L44</f>
        <v>5</v>
      </c>
      <c r="E31" s="320">
        <f>APUS!H765</f>
        <v>51650</v>
      </c>
      <c r="F31" s="320">
        <f t="shared" si="0"/>
        <v>258250</v>
      </c>
      <c r="G31" s="321"/>
      <c r="I31" s="421"/>
      <c r="K31" s="322"/>
    </row>
    <row r="32" spans="1:11" ht="36.75" customHeight="1" x14ac:dyDescent="0.25">
      <c r="A32" s="308" t="str">
        <f>CANTIDADES!A45</f>
        <v>5.2</v>
      </c>
      <c r="B32" s="326" t="str">
        <f>CANTIDADES!B45</f>
        <v>Suministro e instalacion de prado gateadora o trenza</v>
      </c>
      <c r="C32" s="308" t="str">
        <f>CANTIDADES!C45</f>
        <v>m2</v>
      </c>
      <c r="D32" s="319">
        <f>CANTIDADES!L45</f>
        <v>100</v>
      </c>
      <c r="E32" s="320">
        <f>APUS!H804</f>
        <v>22546</v>
      </c>
      <c r="F32" s="320">
        <f t="shared" si="0"/>
        <v>2254600</v>
      </c>
      <c r="G32" s="321"/>
      <c r="H32" s="420">
        <f>SUM(F31:F32)</f>
        <v>2512850</v>
      </c>
      <c r="K32" s="322"/>
    </row>
    <row r="33" spans="1:14" s="442" customFormat="1" ht="65.25" customHeight="1" x14ac:dyDescent="0.25">
      <c r="A33" s="427" t="str">
        <f>CANTIDADES!A46</f>
        <v>5.3</v>
      </c>
      <c r="B33" s="439" t="str">
        <f>CANTIDADES!B46</f>
        <v>Suministro y siembra de especies ornamentales (jazmines azules, jazmines blancos, hortensias)  Altura: (40 -50) cm</v>
      </c>
      <c r="C33" s="427" t="str">
        <f>CANTIDADES!C46</f>
        <v>und</v>
      </c>
      <c r="D33" s="440">
        <f>CANTIDADES!L46</f>
        <v>186</v>
      </c>
      <c r="E33" s="438">
        <f>APUS!H843</f>
        <v>13745.564782557745</v>
      </c>
      <c r="F33" s="438">
        <f t="shared" si="0"/>
        <v>2556675</v>
      </c>
      <c r="G33" s="441"/>
      <c r="J33" s="443"/>
      <c r="K33" s="338"/>
    </row>
    <row r="34" spans="1:14" s="267" customFormat="1" ht="56.25" customHeight="1" x14ac:dyDescent="0.25">
      <c r="A34" s="427" t="str">
        <f>CANTIDADES!A50</f>
        <v>5.4</v>
      </c>
      <c r="B34" s="328" t="str">
        <f>CANTIDADES!B50</f>
        <v>Suministro y siembra de especies arboreas Altura: 80 - 90 cm (CARBONEROS Y FLOR DE MAYO)</v>
      </c>
      <c r="C34" s="327" t="str">
        <f>CANTIDADES!C50</f>
        <v>und</v>
      </c>
      <c r="D34" s="329">
        <f>CANTIDADES!L50</f>
        <v>14</v>
      </c>
      <c r="E34" s="330">
        <f>APUS!H881</f>
        <v>16825</v>
      </c>
      <c r="F34" s="330">
        <f t="shared" si="0"/>
        <v>235550</v>
      </c>
      <c r="G34" s="426"/>
      <c r="H34" s="718">
        <f>SUM(F33:F34)</f>
        <v>2792225</v>
      </c>
      <c r="J34" s="331"/>
      <c r="K34" s="322"/>
    </row>
    <row r="35" spans="1:14" ht="42.75" customHeight="1" x14ac:dyDescent="0.25">
      <c r="A35" s="333" t="str">
        <f>CANTIDADES!A52</f>
        <v>5.5</v>
      </c>
      <c r="B35" s="326" t="str">
        <f>CANTIDADES!B52</f>
        <v>Suministro e instalacion de piedra dolomita para adecuacion de jardinera.</v>
      </c>
      <c r="C35" s="418" t="str">
        <f>CANTIDADES!C52</f>
        <v>m2</v>
      </c>
      <c r="D35" s="319">
        <f>CANTIDADES!L52</f>
        <v>16</v>
      </c>
      <c r="E35" s="320">
        <f>APUS!H922</f>
        <v>42708</v>
      </c>
      <c r="F35" s="320">
        <f t="shared" si="0"/>
        <v>683328</v>
      </c>
      <c r="G35" s="321"/>
      <c r="K35" s="322"/>
    </row>
    <row r="36" spans="1:14" ht="57" customHeight="1" x14ac:dyDescent="0.25">
      <c r="A36" s="333" t="str">
        <f>CANTIDADES!A53</f>
        <v>5.6</v>
      </c>
      <c r="B36" s="326" t="str">
        <f>CANTIDADES!B53</f>
        <v>Suministro e instalacion de Triturado tamaño 3/4", para relleno de sendero peatonal, Ancho 1m, Alto= 20 cm</v>
      </c>
      <c r="C36" s="418" t="str">
        <f>CANTIDADES!C53</f>
        <v>m3</v>
      </c>
      <c r="D36" s="319">
        <f>CANTIDADES!L53</f>
        <v>4</v>
      </c>
      <c r="E36" s="320">
        <f>APUS!H963</f>
        <v>126533</v>
      </c>
      <c r="F36" s="320">
        <f t="shared" si="0"/>
        <v>506132</v>
      </c>
      <c r="G36" s="321"/>
      <c r="H36" s="421"/>
      <c r="K36" s="322"/>
    </row>
    <row r="37" spans="1:14" ht="38.25" customHeight="1" x14ac:dyDescent="0.25">
      <c r="A37" s="333" t="str">
        <f>CANTIDADES!A54</f>
        <v>5.7</v>
      </c>
      <c r="B37" s="326" t="str">
        <f>CANTIDADES!B54</f>
        <v>Piedra promedio 6" pintada de color blanco para confirmacion de sendero</v>
      </c>
      <c r="C37" s="445" t="str">
        <f>CANTIDADES!C54</f>
        <v>m3</v>
      </c>
      <c r="D37" s="319">
        <f>CANTIDADES!L54</f>
        <v>5</v>
      </c>
      <c r="E37" s="320">
        <f>APUS!H1003</f>
        <v>286618</v>
      </c>
      <c r="F37" s="320">
        <f t="shared" si="0"/>
        <v>1433090</v>
      </c>
      <c r="G37" s="321"/>
      <c r="H37" s="421">
        <f>SUM(F35:F37)</f>
        <v>2622550</v>
      </c>
      <c r="K37" s="322"/>
    </row>
    <row r="38" spans="1:14" x14ac:dyDescent="0.25">
      <c r="K38" s="322"/>
    </row>
    <row r="39" spans="1:14" ht="15" x14ac:dyDescent="0.25">
      <c r="B39" s="477" t="s">
        <v>22</v>
      </c>
      <c r="C39" s="478"/>
      <c r="D39" s="479"/>
      <c r="E39" s="341"/>
      <c r="F39" s="342">
        <f>ROUND(SUM(F7:F37),0)</f>
        <v>40959401</v>
      </c>
      <c r="K39" s="322"/>
    </row>
    <row r="40" spans="1:14" ht="15" x14ac:dyDescent="0.25">
      <c r="B40" s="477" t="s">
        <v>23</v>
      </c>
      <c r="C40" s="478"/>
      <c r="D40" s="479"/>
      <c r="E40" s="343">
        <f>SUM(E41:E43)</f>
        <v>0.3</v>
      </c>
      <c r="F40" s="340">
        <f>ROUND(F39*0.3,0)</f>
        <v>12287820</v>
      </c>
      <c r="K40" s="322"/>
    </row>
    <row r="41" spans="1:14" x14ac:dyDescent="0.25">
      <c r="B41" s="473" t="s">
        <v>24</v>
      </c>
      <c r="C41" s="474"/>
      <c r="D41" s="475"/>
      <c r="E41" s="344">
        <v>0.23</v>
      </c>
      <c r="F41" s="345">
        <f>ROUND(F39*0.23,0)</f>
        <v>9420662</v>
      </c>
    </row>
    <row r="42" spans="1:14" x14ac:dyDescent="0.25">
      <c r="B42" s="473" t="s">
        <v>25</v>
      </c>
      <c r="C42" s="474"/>
      <c r="D42" s="475"/>
      <c r="E42" s="344">
        <v>0.02</v>
      </c>
      <c r="F42" s="345">
        <f>ROUND(F39*0.02,0)</f>
        <v>819188</v>
      </c>
    </row>
    <row r="43" spans="1:14" x14ac:dyDescent="0.25">
      <c r="B43" s="473" t="s">
        <v>26</v>
      </c>
      <c r="C43" s="474"/>
      <c r="D43" s="475"/>
      <c r="E43" s="344">
        <v>0.05</v>
      </c>
      <c r="F43" s="345">
        <f>ROUND(F39*0.05,0)</f>
        <v>2047970</v>
      </c>
      <c r="G43" s="349"/>
    </row>
    <row r="44" spans="1:14" x14ac:dyDescent="0.25">
      <c r="B44" s="346" t="s">
        <v>250</v>
      </c>
      <c r="C44" s="347"/>
      <c r="D44" s="348"/>
      <c r="E44" s="350">
        <v>0.19</v>
      </c>
      <c r="F44" s="345">
        <f>ROUND(F43*0.19,0)</f>
        <v>389114</v>
      </c>
      <c r="N44" s="321">
        <f>L45/5</f>
        <v>-10727267</v>
      </c>
    </row>
    <row r="45" spans="1:14" ht="15" x14ac:dyDescent="0.25">
      <c r="B45" s="476" t="s">
        <v>27</v>
      </c>
      <c r="C45" s="476"/>
      <c r="D45" s="476"/>
      <c r="E45" s="476"/>
      <c r="F45" s="340">
        <f>ROUND(F39+F40+F44,0)</f>
        <v>53636335</v>
      </c>
      <c r="H45" s="239">
        <v>53636335</v>
      </c>
      <c r="L45" s="321">
        <f>J45-F45</f>
        <v>-53636335</v>
      </c>
    </row>
    <row r="47" spans="1:14" x14ac:dyDescent="0.25">
      <c r="B47" s="461" t="s">
        <v>235</v>
      </c>
      <c r="C47" s="461"/>
      <c r="H47" s="453">
        <f>H45-F45</f>
        <v>0</v>
      </c>
    </row>
    <row r="48" spans="1:14" x14ac:dyDescent="0.25">
      <c r="B48" s="460" t="s">
        <v>319</v>
      </c>
      <c r="C48" s="460"/>
    </row>
  </sheetData>
  <mergeCells count="12">
    <mergeCell ref="B40:D40"/>
    <mergeCell ref="A1:F1"/>
    <mergeCell ref="A2:F3"/>
    <mergeCell ref="A4:B4"/>
    <mergeCell ref="D4:F4"/>
    <mergeCell ref="B39:D39"/>
    <mergeCell ref="B47:C47"/>
    <mergeCell ref="B48:C48"/>
    <mergeCell ref="B41:D41"/>
    <mergeCell ref="B42:D42"/>
    <mergeCell ref="B43:D43"/>
    <mergeCell ref="B45:E45"/>
  </mergeCells>
  <phoneticPr fontId="22" type="noConversion"/>
  <printOptions horizontalCentered="1"/>
  <pageMargins left="0.70866141732283472" right="0.70866141732283472" top="0.74803149606299213" bottom="0.74803149606299213" header="0.31496062992125984" footer="0.31496062992125984"/>
  <pageSetup scale="71" orientation="portrait" horizontalDpi="1200" verticalDpi="1200" r:id="rId1"/>
  <rowBreaks count="1" manualBreakCount="1">
    <brk id="25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39413-0A9C-4C80-B687-78BB31CAE233}">
  <dimension ref="A1:AA1076"/>
  <sheetViews>
    <sheetView view="pageBreakPreview" topLeftCell="A210" zoomScale="70" zoomScaleNormal="100" zoomScaleSheetLayoutView="70" workbookViewId="0">
      <selection activeCell="L220" sqref="L220"/>
    </sheetView>
  </sheetViews>
  <sheetFormatPr baseColWidth="10" defaultRowHeight="15" x14ac:dyDescent="0.25"/>
  <cols>
    <col min="1" max="1" width="13.85546875" customWidth="1"/>
    <col min="2" max="2" width="14.140625" customWidth="1"/>
    <col min="3" max="3" width="14.85546875" customWidth="1"/>
    <col min="4" max="4" width="12.7109375" customWidth="1"/>
    <col min="5" max="5" width="16.5703125" style="87" customWidth="1"/>
    <col min="6" max="6" width="13.7109375" style="5" bestFit="1" customWidth="1"/>
    <col min="7" max="7" width="17.140625" style="87" customWidth="1"/>
    <col min="8" max="8" width="17.42578125" style="87" customWidth="1"/>
    <col min="10" max="10" width="20.85546875" customWidth="1"/>
    <col min="11" max="11" width="16.7109375" customWidth="1"/>
  </cols>
  <sheetData>
    <row r="1" spans="1:11" x14ac:dyDescent="0.25">
      <c r="A1" s="645" t="str">
        <f>PRESUPUESTO!A1</f>
        <v>PRESUPUESTO OFICIAL DE OBRA VEREDA SAN RAFAEL- MUNICIPIO DE MORALES</v>
      </c>
      <c r="B1" s="646"/>
      <c r="C1" s="646"/>
      <c r="D1" s="646"/>
      <c r="E1" s="646"/>
      <c r="F1" s="646"/>
      <c r="G1" s="646"/>
      <c r="H1" s="647"/>
    </row>
    <row r="2" spans="1:11" x14ac:dyDescent="0.25">
      <c r="A2" s="648" t="str">
        <f>PRESUPUESTO!A2</f>
        <v>EJECUCIÓN DE ACCIÓN DE MEJORAMIENTO AMBIENTAL Y PAISAJÍSTICO DE LA ZONA VERDE COMPLEMENTARIA AL ESPACIO PÚBLICO DEL ESCENARIO DEPORTIVO EXISTENTE EN LA VEREDA SAN RAFAEL, MUNICIPIO DE MORALES, DEPARTAMENTO DEL CAUCA</v>
      </c>
      <c r="B2" s="649"/>
      <c r="C2" s="649"/>
      <c r="D2" s="649"/>
      <c r="E2" s="649"/>
      <c r="F2" s="649"/>
      <c r="G2" s="649"/>
      <c r="H2" s="650"/>
    </row>
    <row r="3" spans="1:11" x14ac:dyDescent="0.25">
      <c r="A3" s="648"/>
      <c r="B3" s="649"/>
      <c r="C3" s="649"/>
      <c r="D3" s="649"/>
      <c r="E3" s="649"/>
      <c r="F3" s="649"/>
      <c r="G3" s="649"/>
      <c r="H3" s="650"/>
    </row>
    <row r="4" spans="1:11" x14ac:dyDescent="0.25">
      <c r="A4" s="651" t="str">
        <f>PRESUPUESTO!A4</f>
        <v>FECHA: 09-JUNIO-2021</v>
      </c>
      <c r="B4" s="652"/>
      <c r="C4" s="1" t="s">
        <v>0</v>
      </c>
      <c r="D4" s="652" t="s">
        <v>20</v>
      </c>
      <c r="E4" s="652"/>
      <c r="F4" s="652"/>
      <c r="G4" s="652"/>
      <c r="H4" s="653"/>
    </row>
    <row r="5" spans="1:11" ht="16.5" thickBot="1" x14ac:dyDescent="0.3">
      <c r="A5" s="10"/>
      <c r="B5" s="11"/>
      <c r="C5" s="11"/>
      <c r="D5" s="11"/>
      <c r="E5" s="12"/>
      <c r="F5" s="216"/>
      <c r="G5" s="12"/>
      <c r="H5" s="13"/>
      <c r="K5" s="199"/>
    </row>
    <row r="6" spans="1:11" ht="15.75" thickBot="1" x14ac:dyDescent="0.3"/>
    <row r="7" spans="1:11" ht="15.75" thickBot="1" x14ac:dyDescent="0.3">
      <c r="A7" s="14" t="s">
        <v>28</v>
      </c>
      <c r="B7" s="654" t="str">
        <f>PRESUPUESTO!B8</f>
        <v>Localización y Replanteo</v>
      </c>
      <c r="C7" s="655"/>
      <c r="D7" s="655"/>
      <c r="E7" s="655"/>
      <c r="F7" s="656"/>
      <c r="G7" s="15" t="s">
        <v>29</v>
      </c>
      <c r="H7" s="16" t="str">
        <f>PRESUPUESTO!C8</f>
        <v>m2</v>
      </c>
      <c r="K7" s="87"/>
    </row>
    <row r="8" spans="1:11" ht="15.75" thickBot="1" x14ac:dyDescent="0.3">
      <c r="A8" s="17">
        <f>PRESUPUESTO!A8</f>
        <v>1.1000000000000001</v>
      </c>
      <c r="B8" s="657"/>
      <c r="C8" s="658"/>
      <c r="D8" s="658"/>
      <c r="E8" s="658"/>
      <c r="F8" s="659"/>
      <c r="G8" s="18" t="s">
        <v>30</v>
      </c>
      <c r="H8" s="19"/>
      <c r="K8" s="87"/>
    </row>
    <row r="9" spans="1:11" ht="15.75" thickBot="1" x14ac:dyDescent="0.3">
      <c r="A9" s="20"/>
      <c r="B9" s="21"/>
      <c r="C9" s="21"/>
      <c r="D9" s="21"/>
      <c r="E9" s="23"/>
      <c r="F9" s="206"/>
      <c r="G9" s="23"/>
      <c r="H9" s="24"/>
    </row>
    <row r="10" spans="1:11" ht="15.75" thickBot="1" x14ac:dyDescent="0.3">
      <c r="A10" s="546" t="s">
        <v>31</v>
      </c>
      <c r="B10" s="547"/>
      <c r="C10" s="22"/>
      <c r="D10" s="22"/>
      <c r="E10" s="25"/>
      <c r="F10" s="206"/>
      <c r="G10" s="25"/>
      <c r="H10" s="26"/>
    </row>
    <row r="11" spans="1:11" x14ac:dyDescent="0.25">
      <c r="A11" s="503" t="s">
        <v>32</v>
      </c>
      <c r="B11" s="504"/>
      <c r="C11" s="27" t="s">
        <v>29</v>
      </c>
      <c r="D11" s="27" t="s">
        <v>33</v>
      </c>
      <c r="E11" s="125" t="s">
        <v>34</v>
      </c>
      <c r="F11" s="203" t="s">
        <v>35</v>
      </c>
      <c r="G11" s="28" t="s">
        <v>36</v>
      </c>
      <c r="H11" s="582"/>
    </row>
    <row r="12" spans="1:11" x14ac:dyDescent="0.25">
      <c r="A12" s="559" t="s">
        <v>37</v>
      </c>
      <c r="B12" s="560"/>
      <c r="C12" s="29" t="s">
        <v>38</v>
      </c>
      <c r="D12" s="29" t="s">
        <v>38</v>
      </c>
      <c r="E12" s="126"/>
      <c r="F12" s="204"/>
      <c r="G12" s="31">
        <f>H35*(0.05)</f>
        <v>44.85</v>
      </c>
      <c r="H12" s="583"/>
    </row>
    <row r="13" spans="1:11" x14ac:dyDescent="0.25">
      <c r="A13" s="508"/>
      <c r="B13" s="509"/>
      <c r="C13" s="29"/>
      <c r="D13" s="29"/>
      <c r="E13" s="126"/>
      <c r="F13" s="204"/>
      <c r="G13" s="31"/>
      <c r="H13" s="583"/>
    </row>
    <row r="14" spans="1:11" x14ac:dyDescent="0.25">
      <c r="A14" s="641"/>
      <c r="B14" s="642"/>
      <c r="C14" s="29"/>
      <c r="D14" s="29"/>
      <c r="E14" s="126"/>
      <c r="F14" s="204"/>
      <c r="G14" s="31"/>
      <c r="H14" s="583"/>
    </row>
    <row r="15" spans="1:11" ht="15.75" thickBot="1" x14ac:dyDescent="0.3">
      <c r="A15" s="643"/>
      <c r="B15" s="644"/>
      <c r="C15" s="33"/>
      <c r="D15" s="33"/>
      <c r="E15" s="127"/>
      <c r="F15" s="205"/>
      <c r="G15" s="35"/>
      <c r="H15" s="584"/>
    </row>
    <row r="16" spans="1:11" ht="15.75" thickBot="1" x14ac:dyDescent="0.3">
      <c r="A16" s="36"/>
      <c r="B16" s="22"/>
      <c r="C16" s="22"/>
      <c r="D16" s="22"/>
      <c r="E16" s="25"/>
      <c r="F16" s="206"/>
      <c r="G16" s="25" t="s">
        <v>39</v>
      </c>
      <c r="H16" s="37">
        <f>ROUND(SUM(G12:G15),0)</f>
        <v>45</v>
      </c>
    </row>
    <row r="17" spans="1:8" ht="15.75" thickBot="1" x14ac:dyDescent="0.3">
      <c r="A17" s="546" t="s">
        <v>40</v>
      </c>
      <c r="B17" s="547"/>
      <c r="C17" s="22"/>
      <c r="D17" s="22"/>
      <c r="E17" s="25"/>
      <c r="F17" s="206"/>
      <c r="G17" s="25"/>
      <c r="H17" s="26"/>
    </row>
    <row r="18" spans="1:8" x14ac:dyDescent="0.25">
      <c r="A18" s="503" t="s">
        <v>32</v>
      </c>
      <c r="B18" s="504"/>
      <c r="C18" s="38" t="s">
        <v>41</v>
      </c>
      <c r="D18" s="27" t="s">
        <v>29</v>
      </c>
      <c r="E18" s="125" t="s">
        <v>42</v>
      </c>
      <c r="F18" s="203" t="s">
        <v>35</v>
      </c>
      <c r="G18" s="39" t="s">
        <v>36</v>
      </c>
      <c r="H18" s="505"/>
    </row>
    <row r="19" spans="1:8" x14ac:dyDescent="0.25">
      <c r="A19" s="559" t="s">
        <v>43</v>
      </c>
      <c r="B19" s="560"/>
      <c r="C19" s="30"/>
      <c r="D19" s="29" t="s">
        <v>44</v>
      </c>
      <c r="E19" s="126">
        <v>4500</v>
      </c>
      <c r="F19" s="214">
        <v>0.01</v>
      </c>
      <c r="G19" s="40">
        <f>(E19*F19)*((C19/100)+1)</f>
        <v>45</v>
      </c>
      <c r="H19" s="506"/>
    </row>
    <row r="20" spans="1:8" x14ac:dyDescent="0.25">
      <c r="A20" s="559" t="s">
        <v>45</v>
      </c>
      <c r="B20" s="560"/>
      <c r="C20" s="30"/>
      <c r="D20" s="29" t="s">
        <v>155</v>
      </c>
      <c r="E20" s="126">
        <v>2590</v>
      </c>
      <c r="F20" s="214">
        <v>0.06</v>
      </c>
      <c r="G20" s="40">
        <f>(E20*F20)*((C20/100)+1)</f>
        <v>155.4</v>
      </c>
      <c r="H20" s="506"/>
    </row>
    <row r="21" spans="1:8" x14ac:dyDescent="0.25">
      <c r="A21" s="559" t="s">
        <v>46</v>
      </c>
      <c r="B21" s="560"/>
      <c r="C21" s="30"/>
      <c r="D21" s="29" t="s">
        <v>155</v>
      </c>
      <c r="E21" s="135">
        <v>5400</v>
      </c>
      <c r="F21" s="214">
        <v>0.04</v>
      </c>
      <c r="G21" s="40">
        <f>(E21*F21)*((C21/100)+1)</f>
        <v>216</v>
      </c>
      <c r="H21" s="506"/>
    </row>
    <row r="22" spans="1:8" x14ac:dyDescent="0.25">
      <c r="A22" s="559" t="s">
        <v>47</v>
      </c>
      <c r="B22" s="560"/>
      <c r="C22" s="30"/>
      <c r="D22" s="29" t="s">
        <v>48</v>
      </c>
      <c r="E22" s="126">
        <v>7200</v>
      </c>
      <c r="F22" s="214">
        <v>0.01</v>
      </c>
      <c r="G22" s="40">
        <f>(E22*F22)*((C22/100)+1)</f>
        <v>72</v>
      </c>
      <c r="H22" s="506"/>
    </row>
    <row r="23" spans="1:8" ht="15.75" thickBot="1" x14ac:dyDescent="0.3">
      <c r="A23" s="513"/>
      <c r="B23" s="514"/>
      <c r="C23" s="34"/>
      <c r="D23" s="33"/>
      <c r="E23" s="127"/>
      <c r="F23" s="205"/>
      <c r="G23" s="41"/>
      <c r="H23" s="512"/>
    </row>
    <row r="24" spans="1:8" ht="15.75" thickBot="1" x14ac:dyDescent="0.3">
      <c r="A24" s="36"/>
      <c r="B24" s="22"/>
      <c r="C24" s="22"/>
      <c r="D24" s="22"/>
      <c r="E24" s="25"/>
      <c r="F24" s="206"/>
      <c r="G24" s="25" t="s">
        <v>39</v>
      </c>
      <c r="H24" s="42">
        <f>ROUND(SUM(G19:G23),0)</f>
        <v>488</v>
      </c>
    </row>
    <row r="25" spans="1:8" ht="15.75" thickBot="1" x14ac:dyDescent="0.3">
      <c r="A25" s="629" t="s">
        <v>49</v>
      </c>
      <c r="B25" s="630"/>
      <c r="C25" s="22"/>
      <c r="D25" s="22"/>
      <c r="E25" s="25"/>
      <c r="F25" s="206"/>
      <c r="G25" s="25"/>
      <c r="H25" s="26"/>
    </row>
    <row r="26" spans="1:8" x14ac:dyDescent="0.25">
      <c r="A26" s="503" t="s">
        <v>50</v>
      </c>
      <c r="B26" s="504"/>
      <c r="C26" s="43" t="s">
        <v>51</v>
      </c>
      <c r="D26" s="27" t="s">
        <v>52</v>
      </c>
      <c r="E26" s="125" t="s">
        <v>34</v>
      </c>
      <c r="F26" s="203" t="s">
        <v>35</v>
      </c>
      <c r="G26" s="39" t="s">
        <v>36</v>
      </c>
      <c r="H26" s="505"/>
    </row>
    <row r="27" spans="1:8" x14ac:dyDescent="0.25">
      <c r="A27" s="593"/>
      <c r="B27" s="594"/>
      <c r="C27" s="44"/>
      <c r="D27" s="44"/>
      <c r="E27" s="72"/>
      <c r="F27" s="217"/>
      <c r="G27" s="45"/>
      <c r="H27" s="506"/>
    </row>
    <row r="28" spans="1:8" x14ac:dyDescent="0.25">
      <c r="A28" s="569"/>
      <c r="B28" s="570"/>
      <c r="C28" s="44"/>
      <c r="D28" s="44"/>
      <c r="E28" s="72"/>
      <c r="F28" s="217"/>
      <c r="G28" s="45"/>
      <c r="H28" s="506"/>
    </row>
    <row r="29" spans="1:8" ht="15.75" thickBot="1" x14ac:dyDescent="0.3">
      <c r="A29" s="513"/>
      <c r="B29" s="514"/>
      <c r="C29" s="34"/>
      <c r="D29" s="34"/>
      <c r="E29" s="127"/>
      <c r="F29" s="205"/>
      <c r="G29" s="41"/>
      <c r="H29" s="512"/>
    </row>
    <row r="30" spans="1:8" ht="15.75" thickBot="1" x14ac:dyDescent="0.3">
      <c r="A30" s="36"/>
      <c r="B30" s="22"/>
      <c r="C30" s="22"/>
      <c r="D30" s="22"/>
      <c r="E30" s="25"/>
      <c r="F30" s="206"/>
      <c r="G30" s="25" t="s">
        <v>39</v>
      </c>
      <c r="H30" s="42">
        <f>SUM(G27:G29)</f>
        <v>0</v>
      </c>
    </row>
    <row r="31" spans="1:8" ht="15.75" thickBot="1" x14ac:dyDescent="0.3">
      <c r="A31" s="546" t="s">
        <v>53</v>
      </c>
      <c r="B31" s="547"/>
      <c r="C31" s="22"/>
      <c r="D31" s="22"/>
      <c r="E31" s="25"/>
      <c r="F31" s="206"/>
      <c r="G31" s="25"/>
      <c r="H31" s="26"/>
    </row>
    <row r="32" spans="1:8" ht="30" customHeight="1" x14ac:dyDescent="0.25">
      <c r="A32" s="515" t="s">
        <v>213</v>
      </c>
      <c r="B32" s="516"/>
      <c r="C32" s="43" t="s">
        <v>56</v>
      </c>
      <c r="D32" s="27" t="s">
        <v>57</v>
      </c>
      <c r="E32" s="128" t="s">
        <v>58</v>
      </c>
      <c r="F32" s="203" t="s">
        <v>59</v>
      </c>
      <c r="G32" s="39" t="s">
        <v>36</v>
      </c>
      <c r="H32" s="517"/>
    </row>
    <row r="33" spans="1:9" x14ac:dyDescent="0.25">
      <c r="A33" s="580" t="str">
        <f>'CUADRILLAS DE OBRA'!B22</f>
        <v>CUADRILLA 1</v>
      </c>
      <c r="B33" s="581"/>
      <c r="C33" s="123">
        <f>'CUADRILLAS DE OBRA'!E23</f>
        <v>9464</v>
      </c>
      <c r="D33" s="200">
        <f>PRESTACIONES!E28</f>
        <v>0.8952</v>
      </c>
      <c r="E33" s="72">
        <f>'CUADRILLAS DE OBRA'!G23</f>
        <v>17936</v>
      </c>
      <c r="F33" s="218">
        <v>0.05</v>
      </c>
      <c r="G33" s="45">
        <f>F33*E33</f>
        <v>896.80000000000007</v>
      </c>
      <c r="H33" s="518"/>
    </row>
    <row r="34" spans="1:9" ht="15.75" thickBot="1" x14ac:dyDescent="0.3">
      <c r="A34" s="633"/>
      <c r="B34" s="634"/>
      <c r="C34" s="34"/>
      <c r="D34" s="34"/>
      <c r="E34" s="127"/>
      <c r="F34" s="205"/>
      <c r="G34" s="41"/>
      <c r="H34" s="519"/>
    </row>
    <row r="35" spans="1:9" ht="15.75" thickBot="1" x14ac:dyDescent="0.3">
      <c r="A35" s="36"/>
      <c r="B35" s="22"/>
      <c r="C35" s="22"/>
      <c r="D35" s="22"/>
      <c r="E35" s="25"/>
      <c r="F35" s="206"/>
      <c r="G35" s="25" t="s">
        <v>39</v>
      </c>
      <c r="H35" s="42">
        <f>ROUND(SUM(G33:G34),0)</f>
        <v>897</v>
      </c>
    </row>
    <row r="36" spans="1:9" ht="15.75" thickBot="1" x14ac:dyDescent="0.3">
      <c r="A36" s="546" t="s">
        <v>61</v>
      </c>
      <c r="B36" s="547"/>
      <c r="C36" s="22"/>
      <c r="D36" s="22"/>
      <c r="E36" s="25"/>
      <c r="F36" s="206"/>
      <c r="G36" s="25"/>
      <c r="H36" s="26"/>
    </row>
    <row r="37" spans="1:9" x14ac:dyDescent="0.25">
      <c r="A37" s="521" t="s">
        <v>32</v>
      </c>
      <c r="B37" s="522"/>
      <c r="C37" s="522"/>
      <c r="D37" s="522"/>
      <c r="E37" s="523"/>
      <c r="F37" s="51" t="s">
        <v>62</v>
      </c>
      <c r="G37" s="52" t="s">
        <v>63</v>
      </c>
      <c r="H37" s="524"/>
    </row>
    <row r="38" spans="1:9" x14ac:dyDescent="0.25">
      <c r="A38" s="487" t="s">
        <v>24</v>
      </c>
      <c r="B38" s="488"/>
      <c r="C38" s="488"/>
      <c r="D38" s="488"/>
      <c r="E38" s="489"/>
      <c r="F38" s="53">
        <v>0</v>
      </c>
      <c r="G38" s="54">
        <f>ROUND((H35+H30+H24+H16)*F38,0)</f>
        <v>0</v>
      </c>
      <c r="H38" s="525"/>
    </row>
    <row r="39" spans="1:9" x14ac:dyDescent="0.25">
      <c r="A39" s="487" t="s">
        <v>25</v>
      </c>
      <c r="B39" s="488"/>
      <c r="C39" s="488"/>
      <c r="D39" s="488"/>
      <c r="E39" s="489"/>
      <c r="F39" s="53">
        <v>0</v>
      </c>
      <c r="G39" s="54">
        <f>ROUND((H16+H24+H30+H35)*F39,0)</f>
        <v>0</v>
      </c>
      <c r="H39" s="525"/>
    </row>
    <row r="40" spans="1:9" ht="15.75" thickBot="1" x14ac:dyDescent="0.3">
      <c r="A40" s="483" t="s">
        <v>64</v>
      </c>
      <c r="B40" s="484"/>
      <c r="C40" s="484"/>
      <c r="D40" s="484"/>
      <c r="E40" s="485"/>
      <c r="F40" s="55">
        <v>0</v>
      </c>
      <c r="G40" s="56">
        <f>ROUND((H16+H24+H30+H35)*F40,0)</f>
        <v>0</v>
      </c>
      <c r="H40" s="526"/>
    </row>
    <row r="41" spans="1:9" ht="15.75" thickBot="1" x14ac:dyDescent="0.3">
      <c r="A41" s="490" t="s">
        <v>39</v>
      </c>
      <c r="B41" s="576"/>
      <c r="C41" s="576"/>
      <c r="D41" s="576"/>
      <c r="E41" s="576"/>
      <c r="F41" s="576"/>
      <c r="G41" s="576"/>
      <c r="H41" s="37">
        <f>SUM(G38:G40)</f>
        <v>0</v>
      </c>
    </row>
    <row r="42" spans="1:9" ht="15.75" thickBot="1" x14ac:dyDescent="0.3">
      <c r="A42" s="492"/>
      <c r="B42" s="564"/>
      <c r="C42" s="564"/>
      <c r="D42" s="564"/>
      <c r="E42" s="564"/>
      <c r="F42" s="564"/>
      <c r="G42" s="564"/>
      <c r="H42" s="494"/>
    </row>
    <row r="43" spans="1:9" ht="15.75" thickBot="1" x14ac:dyDescent="0.3">
      <c r="A43" s="495"/>
      <c r="B43" s="628"/>
      <c r="C43" s="628"/>
      <c r="D43" s="497"/>
      <c r="E43" s="573" t="s">
        <v>65</v>
      </c>
      <c r="F43" s="574"/>
      <c r="G43" s="575"/>
      <c r="H43" s="57">
        <f>ROUND(SUM(H10:H41),0)</f>
        <v>1430</v>
      </c>
      <c r="I43" s="201" t="s">
        <v>214</v>
      </c>
    </row>
    <row r="44" spans="1:9" x14ac:dyDescent="0.25">
      <c r="A44" s="460" t="s">
        <v>66</v>
      </c>
      <c r="B44" s="460"/>
      <c r="C44" s="58"/>
      <c r="D44" s="58"/>
      <c r="E44" s="59"/>
      <c r="F44" s="202"/>
      <c r="G44" s="59"/>
      <c r="H44" s="60"/>
    </row>
    <row r="45" spans="1:9" x14ac:dyDescent="0.25">
      <c r="A45" s="460" t="s">
        <v>320</v>
      </c>
      <c r="B45" s="460"/>
      <c r="C45" s="58"/>
      <c r="D45" s="58"/>
      <c r="E45" s="59"/>
      <c r="F45" s="202"/>
      <c r="G45" s="59"/>
      <c r="H45" s="60"/>
    </row>
    <row r="46" spans="1:9" ht="15.75" thickBot="1" x14ac:dyDescent="0.3"/>
    <row r="47" spans="1:9" ht="15.75" thickBot="1" x14ac:dyDescent="0.3">
      <c r="A47" s="14" t="s">
        <v>28</v>
      </c>
      <c r="B47" s="635" t="str">
        <f>PRESUPUESTO!B10</f>
        <v>Excavacion a mano en material común prof hasta 0,60m</v>
      </c>
      <c r="C47" s="636"/>
      <c r="D47" s="636"/>
      <c r="E47" s="636"/>
      <c r="F47" s="637"/>
      <c r="G47" s="15" t="s">
        <v>29</v>
      </c>
      <c r="H47" s="16" t="s">
        <v>16</v>
      </c>
    </row>
    <row r="48" spans="1:9" ht="15.75" thickBot="1" x14ac:dyDescent="0.3">
      <c r="A48" s="17">
        <v>1.01</v>
      </c>
      <c r="B48" s="638"/>
      <c r="C48" s="639"/>
      <c r="D48" s="639"/>
      <c r="E48" s="639"/>
      <c r="F48" s="640"/>
      <c r="G48" s="18" t="s">
        <v>30</v>
      </c>
      <c r="H48" s="19"/>
    </row>
    <row r="49" spans="1:8" ht="15.75" thickBot="1" x14ac:dyDescent="0.3">
      <c r="A49" s="20"/>
      <c r="B49" s="21"/>
      <c r="C49" s="21"/>
      <c r="D49" s="21"/>
      <c r="E49" s="23"/>
      <c r="F49" s="206"/>
      <c r="G49" s="23"/>
      <c r="H49" s="24"/>
    </row>
    <row r="50" spans="1:8" ht="15.75" thickBot="1" x14ac:dyDescent="0.3">
      <c r="A50" s="546" t="s">
        <v>31</v>
      </c>
      <c r="B50" s="547"/>
      <c r="C50" s="22"/>
      <c r="D50" s="22"/>
      <c r="E50" s="25"/>
      <c r="F50" s="206"/>
      <c r="G50" s="25"/>
      <c r="H50" s="26"/>
    </row>
    <row r="51" spans="1:8" x14ac:dyDescent="0.25">
      <c r="A51" s="503" t="s">
        <v>32</v>
      </c>
      <c r="B51" s="504"/>
      <c r="C51" s="27" t="s">
        <v>29</v>
      </c>
      <c r="D51" s="27" t="s">
        <v>33</v>
      </c>
      <c r="E51" s="125" t="s">
        <v>34</v>
      </c>
      <c r="F51" s="203" t="s">
        <v>35</v>
      </c>
      <c r="G51" s="28" t="s">
        <v>36</v>
      </c>
      <c r="H51" s="582"/>
    </row>
    <row r="52" spans="1:8" x14ac:dyDescent="0.25">
      <c r="A52" s="559" t="s">
        <v>37</v>
      </c>
      <c r="B52" s="560"/>
      <c r="C52" s="29" t="s">
        <v>38</v>
      </c>
      <c r="D52" s="29" t="s">
        <v>38</v>
      </c>
      <c r="E52" s="126"/>
      <c r="F52" s="204"/>
      <c r="G52" s="31">
        <f>H71*(0.05)</f>
        <v>627.75</v>
      </c>
      <c r="H52" s="583"/>
    </row>
    <row r="53" spans="1:8" x14ac:dyDescent="0.25">
      <c r="A53" s="508"/>
      <c r="B53" s="509"/>
      <c r="C53" s="29"/>
      <c r="D53" s="29"/>
      <c r="E53" s="126"/>
      <c r="F53" s="204"/>
      <c r="G53" s="31"/>
      <c r="H53" s="583"/>
    </row>
    <row r="54" spans="1:8" x14ac:dyDescent="0.25">
      <c r="A54" s="641"/>
      <c r="B54" s="642"/>
      <c r="C54" s="29"/>
      <c r="D54" s="29"/>
      <c r="E54" s="126"/>
      <c r="F54" s="204"/>
      <c r="G54" s="31"/>
      <c r="H54" s="583"/>
    </row>
    <row r="55" spans="1:8" ht="15.75" thickBot="1" x14ac:dyDescent="0.3">
      <c r="A55" s="643"/>
      <c r="B55" s="644"/>
      <c r="C55" s="33"/>
      <c r="D55" s="33"/>
      <c r="E55" s="127"/>
      <c r="F55" s="205"/>
      <c r="G55" s="35"/>
      <c r="H55" s="584"/>
    </row>
    <row r="56" spans="1:8" ht="15.75" thickBot="1" x14ac:dyDescent="0.3">
      <c r="A56" s="36"/>
      <c r="B56" s="22"/>
      <c r="C56" s="22"/>
      <c r="D56" s="22"/>
      <c r="E56" s="25"/>
      <c r="F56" s="206"/>
      <c r="G56" s="25" t="s">
        <v>39</v>
      </c>
      <c r="H56" s="37">
        <f>ROUND(SUM(G52:G55),0)</f>
        <v>628</v>
      </c>
    </row>
    <row r="57" spans="1:8" ht="15.75" thickBot="1" x14ac:dyDescent="0.3">
      <c r="A57" s="546" t="s">
        <v>40</v>
      </c>
      <c r="B57" s="547"/>
      <c r="C57" s="22"/>
      <c r="D57" s="22"/>
      <c r="E57" s="25"/>
      <c r="F57" s="206"/>
      <c r="G57" s="25"/>
      <c r="H57" s="26"/>
    </row>
    <row r="58" spans="1:8" x14ac:dyDescent="0.25">
      <c r="A58" s="503" t="s">
        <v>32</v>
      </c>
      <c r="B58" s="504"/>
      <c r="C58" s="38" t="s">
        <v>41</v>
      </c>
      <c r="D58" s="27" t="s">
        <v>29</v>
      </c>
      <c r="E58" s="125" t="s">
        <v>42</v>
      </c>
      <c r="F58" s="203" t="s">
        <v>35</v>
      </c>
      <c r="G58" s="39" t="s">
        <v>36</v>
      </c>
      <c r="H58" s="505"/>
    </row>
    <row r="59" spans="1:8" ht="15.75" thickBot="1" x14ac:dyDescent="0.3">
      <c r="A59" s="513"/>
      <c r="B59" s="514"/>
      <c r="C59" s="34"/>
      <c r="D59" s="33"/>
      <c r="E59" s="127"/>
      <c r="F59" s="205"/>
      <c r="G59" s="41"/>
      <c r="H59" s="512"/>
    </row>
    <row r="60" spans="1:8" ht="15.75" thickBot="1" x14ac:dyDescent="0.3">
      <c r="A60" s="36"/>
      <c r="B60" s="22"/>
      <c r="C60" s="22"/>
      <c r="D60" s="22"/>
      <c r="E60" s="25"/>
      <c r="F60" s="206"/>
      <c r="G60" s="25" t="s">
        <v>39</v>
      </c>
      <c r="H60" s="42">
        <f>SUM(G59:G59)</f>
        <v>0</v>
      </c>
    </row>
    <row r="61" spans="1:8" ht="15.75" thickBot="1" x14ac:dyDescent="0.3">
      <c r="A61" s="629" t="s">
        <v>49</v>
      </c>
      <c r="B61" s="630"/>
      <c r="C61" s="22"/>
      <c r="D61" s="22"/>
      <c r="E61" s="25"/>
      <c r="F61" s="206"/>
      <c r="G61" s="25"/>
      <c r="H61" s="26"/>
    </row>
    <row r="62" spans="1:8" x14ac:dyDescent="0.25">
      <c r="A62" s="503" t="s">
        <v>50</v>
      </c>
      <c r="B62" s="504"/>
      <c r="C62" s="43" t="s">
        <v>51</v>
      </c>
      <c r="D62" s="27" t="s">
        <v>52</v>
      </c>
      <c r="E62" s="125" t="s">
        <v>34</v>
      </c>
      <c r="F62" s="203" t="s">
        <v>35</v>
      </c>
      <c r="G62" s="39" t="s">
        <v>36</v>
      </c>
      <c r="H62" s="505"/>
    </row>
    <row r="63" spans="1:8" ht="28.5" customHeight="1" x14ac:dyDescent="0.25">
      <c r="A63" s="631" t="s">
        <v>67</v>
      </c>
      <c r="B63" s="632"/>
      <c r="C63" s="44" t="s">
        <v>68</v>
      </c>
      <c r="D63" s="44"/>
      <c r="E63" s="72"/>
      <c r="F63" s="217"/>
      <c r="G63" s="45"/>
      <c r="H63" s="506"/>
    </row>
    <row r="64" spans="1:8" x14ac:dyDescent="0.25">
      <c r="A64" s="569"/>
      <c r="B64" s="570"/>
      <c r="C64" s="44"/>
      <c r="D64" s="44"/>
      <c r="E64" s="72"/>
      <c r="F64" s="217"/>
      <c r="G64" s="45"/>
      <c r="H64" s="506"/>
    </row>
    <row r="65" spans="1:9" ht="15.75" thickBot="1" x14ac:dyDescent="0.3">
      <c r="A65" s="513"/>
      <c r="B65" s="514"/>
      <c r="C65" s="34"/>
      <c r="D65" s="34"/>
      <c r="E65" s="127"/>
      <c r="F65" s="205"/>
      <c r="G65" s="41"/>
      <c r="H65" s="512"/>
    </row>
    <row r="66" spans="1:9" ht="15.75" thickBot="1" x14ac:dyDescent="0.3">
      <c r="A66" s="36"/>
      <c r="B66" s="22"/>
      <c r="C66" s="22"/>
      <c r="D66" s="22"/>
      <c r="E66" s="25"/>
      <c r="F66" s="206"/>
      <c r="G66" s="25" t="s">
        <v>39</v>
      </c>
      <c r="H66" s="42">
        <f>SUM(G63:G65)</f>
        <v>0</v>
      </c>
    </row>
    <row r="67" spans="1:9" ht="15.75" thickBot="1" x14ac:dyDescent="0.3">
      <c r="A67" s="546" t="s">
        <v>53</v>
      </c>
      <c r="B67" s="547"/>
      <c r="C67" s="22"/>
      <c r="D67" s="22"/>
      <c r="E67" s="25"/>
      <c r="F67" s="206"/>
      <c r="G67" s="25"/>
      <c r="H67" s="26"/>
    </row>
    <row r="68" spans="1:9" ht="27" customHeight="1" x14ac:dyDescent="0.25">
      <c r="A68" s="515" t="s">
        <v>213</v>
      </c>
      <c r="B68" s="516"/>
      <c r="C68" s="43" t="s">
        <v>56</v>
      </c>
      <c r="D68" s="27" t="s">
        <v>57</v>
      </c>
      <c r="E68" s="128" t="s">
        <v>58</v>
      </c>
      <c r="F68" s="203" t="s">
        <v>59</v>
      </c>
      <c r="G68" s="39" t="s">
        <v>36</v>
      </c>
      <c r="H68" s="517"/>
    </row>
    <row r="69" spans="1:9" x14ac:dyDescent="0.25">
      <c r="A69" s="580" t="str">
        <f>'CUADRILLAS DE OBRA'!B25</f>
        <v>CUADRILLA 2</v>
      </c>
      <c r="B69" s="581"/>
      <c r="C69" s="123">
        <f>'CUADRILLAS DE OBRA'!E26</f>
        <v>13249</v>
      </c>
      <c r="D69" s="200">
        <f>PRESTACIONES!E28</f>
        <v>0.8952</v>
      </c>
      <c r="E69" s="72">
        <f>'CUADRILLAS DE OBRA'!G26</f>
        <v>25110</v>
      </c>
      <c r="F69" s="218">
        <v>0.5</v>
      </c>
      <c r="G69" s="45">
        <f>F69*E69</f>
        <v>12555</v>
      </c>
      <c r="H69" s="518"/>
    </row>
    <row r="70" spans="1:9" ht="15.75" thickBot="1" x14ac:dyDescent="0.3">
      <c r="A70" s="50"/>
      <c r="B70" s="34"/>
      <c r="C70" s="34"/>
      <c r="D70" s="34"/>
      <c r="E70" s="127"/>
      <c r="F70" s="205"/>
      <c r="G70" s="41"/>
      <c r="H70" s="519"/>
    </row>
    <row r="71" spans="1:9" ht="15.75" thickBot="1" x14ac:dyDescent="0.3">
      <c r="A71" s="36"/>
      <c r="B71" s="22"/>
      <c r="C71" s="22"/>
      <c r="D71" s="22"/>
      <c r="E71" s="25"/>
      <c r="F71" s="206"/>
      <c r="G71" s="25" t="s">
        <v>39</v>
      </c>
      <c r="H71" s="42">
        <f>ROUND(SUM(G69:G70),0)</f>
        <v>12555</v>
      </c>
    </row>
    <row r="72" spans="1:9" ht="15.75" thickBot="1" x14ac:dyDescent="0.3">
      <c r="A72" s="546" t="s">
        <v>61</v>
      </c>
      <c r="B72" s="547"/>
      <c r="C72" s="22"/>
      <c r="D72" s="22"/>
      <c r="E72" s="25"/>
      <c r="F72" s="206"/>
      <c r="G72" s="25"/>
      <c r="H72" s="26"/>
    </row>
    <row r="73" spans="1:9" x14ac:dyDescent="0.25">
      <c r="A73" s="521" t="s">
        <v>32</v>
      </c>
      <c r="B73" s="522"/>
      <c r="C73" s="522"/>
      <c r="D73" s="522"/>
      <c r="E73" s="523"/>
      <c r="F73" s="51" t="s">
        <v>62</v>
      </c>
      <c r="G73" s="52" t="s">
        <v>63</v>
      </c>
      <c r="H73" s="524"/>
    </row>
    <row r="74" spans="1:9" x14ac:dyDescent="0.25">
      <c r="A74" s="487" t="s">
        <v>24</v>
      </c>
      <c r="B74" s="488"/>
      <c r="C74" s="488"/>
      <c r="D74" s="488"/>
      <c r="E74" s="489"/>
      <c r="F74" s="53">
        <v>0</v>
      </c>
      <c r="G74" s="54">
        <f>ROUND((H71+H66+H60+H56)*F74,0)</f>
        <v>0</v>
      </c>
      <c r="H74" s="525"/>
    </row>
    <row r="75" spans="1:9" x14ac:dyDescent="0.25">
      <c r="A75" s="487" t="s">
        <v>25</v>
      </c>
      <c r="B75" s="488"/>
      <c r="C75" s="488"/>
      <c r="D75" s="488"/>
      <c r="E75" s="489"/>
      <c r="F75" s="53">
        <v>0</v>
      </c>
      <c r="G75" s="54">
        <f>ROUND((H56+H60+H66+H71)*F75,0)</f>
        <v>0</v>
      </c>
      <c r="H75" s="525"/>
    </row>
    <row r="76" spans="1:9" ht="15.75" thickBot="1" x14ac:dyDescent="0.3">
      <c r="A76" s="483" t="s">
        <v>64</v>
      </c>
      <c r="B76" s="484"/>
      <c r="C76" s="484"/>
      <c r="D76" s="484"/>
      <c r="E76" s="485"/>
      <c r="F76" s="55">
        <v>0</v>
      </c>
      <c r="G76" s="56">
        <f>ROUND((H56+H60+H66+H71)*F76,0)</f>
        <v>0</v>
      </c>
      <c r="H76" s="526"/>
    </row>
    <row r="77" spans="1:9" ht="15.75" thickBot="1" x14ac:dyDescent="0.3">
      <c r="A77" s="490" t="s">
        <v>39</v>
      </c>
      <c r="B77" s="576"/>
      <c r="C77" s="576"/>
      <c r="D77" s="576"/>
      <c r="E77" s="576"/>
      <c r="F77" s="576"/>
      <c r="G77" s="576"/>
      <c r="H77" s="37">
        <f>SUM(G74:G76)</f>
        <v>0</v>
      </c>
    </row>
    <row r="78" spans="1:9" ht="15.75" thickBot="1" x14ac:dyDescent="0.3">
      <c r="A78" s="492"/>
      <c r="B78" s="564"/>
      <c r="C78" s="564"/>
      <c r="D78" s="564"/>
      <c r="E78" s="564"/>
      <c r="F78" s="564"/>
      <c r="G78" s="564"/>
      <c r="H78" s="494"/>
    </row>
    <row r="79" spans="1:9" ht="15.75" thickBot="1" x14ac:dyDescent="0.3">
      <c r="A79" s="495"/>
      <c r="B79" s="628"/>
      <c r="C79" s="628"/>
      <c r="D79" s="497"/>
      <c r="E79" s="573" t="s">
        <v>65</v>
      </c>
      <c r="F79" s="574"/>
      <c r="G79" s="575"/>
      <c r="H79" s="57">
        <f>ROUND(SUM(H51:H77),0)</f>
        <v>13183</v>
      </c>
      <c r="I79" s="201" t="s">
        <v>214</v>
      </c>
    </row>
    <row r="80" spans="1:9" x14ac:dyDescent="0.25">
      <c r="A80" s="460" t="s">
        <v>66</v>
      </c>
      <c r="B80" s="460"/>
      <c r="C80" s="58"/>
      <c r="D80" s="58"/>
      <c r="E80" s="62"/>
      <c r="F80" s="202"/>
      <c r="G80" s="62"/>
      <c r="H80" s="62"/>
    </row>
    <row r="81" spans="1:8" x14ac:dyDescent="0.25">
      <c r="A81" s="460" t="s">
        <v>320</v>
      </c>
      <c r="B81" s="460"/>
      <c r="C81" s="58"/>
      <c r="D81" s="58"/>
      <c r="E81" s="62"/>
      <c r="F81" s="202"/>
      <c r="G81" s="62"/>
      <c r="H81" s="62"/>
    </row>
    <row r="82" spans="1:8" ht="15.75" thickBot="1" x14ac:dyDescent="0.3"/>
    <row r="83" spans="1:8" ht="15.75" customHeight="1" thickBot="1" x14ac:dyDescent="0.3">
      <c r="A83" s="63" t="s">
        <v>28</v>
      </c>
      <c r="B83" s="527" t="str">
        <f>PRESUPUESTO!B11</f>
        <v xml:space="preserve">Suministro, instalación, compactación y nivelación de material de prestamo (tierra amarilla) para conformación de Relleno </v>
      </c>
      <c r="C83" s="528"/>
      <c r="D83" s="528"/>
      <c r="E83" s="528"/>
      <c r="F83" s="529"/>
      <c r="G83" s="64" t="s">
        <v>29</v>
      </c>
      <c r="H83" s="65" t="str">
        <f>PRESUPUESTO!C11</f>
        <v>m3</v>
      </c>
    </row>
    <row r="84" spans="1:8" ht="15.75" thickBot="1" x14ac:dyDescent="0.3">
      <c r="A84" s="66">
        <v>2.02</v>
      </c>
      <c r="B84" s="530"/>
      <c r="C84" s="531"/>
      <c r="D84" s="531"/>
      <c r="E84" s="531"/>
      <c r="F84" s="532"/>
      <c r="G84" s="67" t="s">
        <v>30</v>
      </c>
      <c r="H84" s="68"/>
    </row>
    <row r="85" spans="1:8" ht="15.75" thickBot="1" x14ac:dyDescent="0.3">
      <c r="A85" s="20"/>
      <c r="B85" s="21"/>
      <c r="C85" s="21"/>
      <c r="D85" s="21"/>
      <c r="E85" s="23"/>
      <c r="F85" s="206"/>
      <c r="G85" s="23"/>
      <c r="H85" s="24"/>
    </row>
    <row r="86" spans="1:8" ht="15.75" thickBot="1" x14ac:dyDescent="0.3">
      <c r="A86" s="510" t="s">
        <v>31</v>
      </c>
      <c r="B86" s="511"/>
      <c r="C86" s="22"/>
      <c r="D86" s="22"/>
      <c r="E86" s="25"/>
      <c r="F86" s="206"/>
      <c r="G86" s="25"/>
      <c r="H86" s="26"/>
    </row>
    <row r="87" spans="1:8" x14ac:dyDescent="0.25">
      <c r="A87" s="503" t="s">
        <v>32</v>
      </c>
      <c r="B87" s="504"/>
      <c r="C87" s="27" t="s">
        <v>69</v>
      </c>
      <c r="D87" s="27" t="s">
        <v>52</v>
      </c>
      <c r="E87" s="125" t="s">
        <v>34</v>
      </c>
      <c r="F87" s="203" t="s">
        <v>35</v>
      </c>
      <c r="G87" s="28" t="s">
        <v>36</v>
      </c>
      <c r="H87" s="582"/>
    </row>
    <row r="88" spans="1:8" x14ac:dyDescent="0.25">
      <c r="A88" s="559" t="s">
        <v>70</v>
      </c>
      <c r="B88" s="560"/>
      <c r="C88" s="29" t="s">
        <v>38</v>
      </c>
      <c r="D88" s="29"/>
      <c r="E88" s="126"/>
      <c r="F88" s="204"/>
      <c r="G88" s="31">
        <f xml:space="preserve"> H108 * (0.05)</f>
        <v>389.20500000000004</v>
      </c>
      <c r="H88" s="583"/>
    </row>
    <row r="89" spans="1:8" x14ac:dyDescent="0.25">
      <c r="A89" s="508" t="s">
        <v>71</v>
      </c>
      <c r="B89" s="590"/>
      <c r="C89" s="29"/>
      <c r="D89" s="30" t="s">
        <v>72</v>
      </c>
      <c r="E89" s="72">
        <v>105000</v>
      </c>
      <c r="F89" s="204">
        <v>8.2000000000000003E-2</v>
      </c>
      <c r="G89" s="31">
        <f>F89*E89</f>
        <v>8610</v>
      </c>
      <c r="H89" s="583"/>
    </row>
    <row r="90" spans="1:8" ht="28.5" customHeight="1" x14ac:dyDescent="0.25">
      <c r="A90" s="507"/>
      <c r="B90" s="486"/>
      <c r="C90" s="29"/>
      <c r="D90" s="69"/>
      <c r="E90" s="72"/>
      <c r="G90" s="31"/>
      <c r="H90" s="583"/>
    </row>
    <row r="91" spans="1:8" ht="15.75" thickBot="1" x14ac:dyDescent="0.3">
      <c r="A91" s="513"/>
      <c r="B91" s="514"/>
      <c r="C91" s="33"/>
      <c r="D91" s="33"/>
      <c r="E91" s="127"/>
      <c r="F91" s="205"/>
      <c r="G91" s="35"/>
      <c r="H91" s="584"/>
    </row>
    <row r="92" spans="1:8" ht="15.75" thickBot="1" x14ac:dyDescent="0.3">
      <c r="A92" s="36"/>
      <c r="B92" s="22"/>
      <c r="C92" s="22"/>
      <c r="D92" s="22"/>
      <c r="E92" s="25"/>
      <c r="F92" s="206"/>
      <c r="G92" s="25" t="s">
        <v>39</v>
      </c>
      <c r="H92" s="37">
        <f>SUM(G88:G91)</f>
        <v>8999.2049999999999</v>
      </c>
    </row>
    <row r="93" spans="1:8" ht="15.75" thickBot="1" x14ac:dyDescent="0.3">
      <c r="A93" s="501" t="s">
        <v>40</v>
      </c>
      <c r="B93" s="502"/>
      <c r="C93" s="22"/>
      <c r="D93" s="22"/>
      <c r="E93" s="25"/>
      <c r="F93" s="206"/>
      <c r="G93" s="25"/>
      <c r="H93" s="26"/>
    </row>
    <row r="94" spans="1:8" x14ac:dyDescent="0.25">
      <c r="A94" s="503" t="s">
        <v>32</v>
      </c>
      <c r="B94" s="504"/>
      <c r="C94" s="38" t="s">
        <v>41</v>
      </c>
      <c r="D94" s="27" t="s">
        <v>29</v>
      </c>
      <c r="E94" s="125" t="s">
        <v>42</v>
      </c>
      <c r="F94" s="203" t="s">
        <v>35</v>
      </c>
      <c r="G94" s="39" t="s">
        <v>36</v>
      </c>
      <c r="H94" s="505"/>
    </row>
    <row r="95" spans="1:8" x14ac:dyDescent="0.25">
      <c r="A95" s="507" t="s">
        <v>215</v>
      </c>
      <c r="B95" s="486"/>
      <c r="C95" s="30"/>
      <c r="D95" s="29" t="s">
        <v>16</v>
      </c>
      <c r="E95" s="126">
        <v>18000</v>
      </c>
      <c r="F95" s="214">
        <v>1</v>
      </c>
      <c r="G95" s="40">
        <f>E95*F95</f>
        <v>18000</v>
      </c>
      <c r="H95" s="506"/>
    </row>
    <row r="96" spans="1:8" ht="15.75" thickBot="1" x14ac:dyDescent="0.3">
      <c r="A96" s="513"/>
      <c r="B96" s="514"/>
      <c r="C96" s="34"/>
      <c r="D96" s="33"/>
      <c r="E96" s="127"/>
      <c r="F96" s="205"/>
      <c r="G96" s="41"/>
      <c r="H96" s="512"/>
    </row>
    <row r="97" spans="1:8" ht="15.75" thickBot="1" x14ac:dyDescent="0.3">
      <c r="A97" s="36"/>
      <c r="B97" s="22"/>
      <c r="C97" s="22"/>
      <c r="D97" s="22"/>
      <c r="E97" s="25"/>
      <c r="F97" s="206"/>
      <c r="G97" s="25" t="s">
        <v>39</v>
      </c>
      <c r="H97" s="42">
        <f>SUM(G95:G96)</f>
        <v>18000</v>
      </c>
    </row>
    <row r="98" spans="1:8" ht="15.75" thickBot="1" x14ac:dyDescent="0.3">
      <c r="A98" s="510" t="s">
        <v>49</v>
      </c>
      <c r="B98" s="511"/>
      <c r="C98" s="22"/>
      <c r="D98" s="22"/>
      <c r="E98" s="25"/>
      <c r="F98" s="206"/>
      <c r="G98" s="25"/>
      <c r="H98" s="26"/>
    </row>
    <row r="99" spans="1:8" x14ac:dyDescent="0.25">
      <c r="A99" s="503" t="s">
        <v>50</v>
      </c>
      <c r="B99" s="504"/>
      <c r="C99" s="43" t="s">
        <v>73</v>
      </c>
      <c r="D99" s="27" t="s">
        <v>52</v>
      </c>
      <c r="E99" s="125" t="s">
        <v>34</v>
      </c>
      <c r="F99" s="203" t="s">
        <v>35</v>
      </c>
      <c r="G99" s="39" t="s">
        <v>36</v>
      </c>
      <c r="H99" s="505"/>
    </row>
    <row r="100" spans="1:8" x14ac:dyDescent="0.25">
      <c r="A100" s="593" t="s">
        <v>74</v>
      </c>
      <c r="B100" s="594"/>
      <c r="C100" s="44" t="s">
        <v>68</v>
      </c>
      <c r="D100" s="44"/>
      <c r="E100" s="72"/>
      <c r="F100" s="217"/>
      <c r="G100" s="45"/>
      <c r="H100" s="506"/>
    </row>
    <row r="101" spans="1:8" x14ac:dyDescent="0.25">
      <c r="A101" s="569"/>
      <c r="B101" s="570"/>
      <c r="C101" s="44"/>
      <c r="D101" s="44"/>
      <c r="E101" s="72"/>
      <c r="F101" s="217"/>
      <c r="G101" s="45"/>
      <c r="H101" s="506"/>
    </row>
    <row r="102" spans="1:8" ht="15.75" thickBot="1" x14ac:dyDescent="0.3">
      <c r="A102" s="513"/>
      <c r="B102" s="514"/>
      <c r="C102" s="34"/>
      <c r="D102" s="34"/>
      <c r="E102" s="127"/>
      <c r="F102" s="205"/>
      <c r="G102" s="41"/>
      <c r="H102" s="512"/>
    </row>
    <row r="103" spans="1:8" ht="15.75" thickBot="1" x14ac:dyDescent="0.3">
      <c r="A103" s="36"/>
      <c r="B103" s="22"/>
      <c r="C103" s="22"/>
      <c r="D103" s="22"/>
      <c r="E103" s="25"/>
      <c r="F103" s="206"/>
      <c r="G103" s="25" t="s">
        <v>39</v>
      </c>
      <c r="H103" s="42">
        <f>SUM(G100:G102)</f>
        <v>0</v>
      </c>
    </row>
    <row r="104" spans="1:8" ht="15.75" thickBot="1" x14ac:dyDescent="0.3">
      <c r="A104" s="501" t="s">
        <v>53</v>
      </c>
      <c r="B104" s="502"/>
      <c r="C104" s="22"/>
      <c r="D104" s="22"/>
      <c r="E104" s="25"/>
      <c r="F104" s="206"/>
      <c r="G104" s="25"/>
      <c r="H104" s="26"/>
    </row>
    <row r="105" spans="1:8" ht="29.25" customHeight="1" x14ac:dyDescent="0.25">
      <c r="A105" s="621" t="s">
        <v>213</v>
      </c>
      <c r="B105" s="622"/>
      <c r="C105" s="43" t="s">
        <v>56</v>
      </c>
      <c r="D105" s="27" t="s">
        <v>57</v>
      </c>
      <c r="E105" s="128" t="s">
        <v>58</v>
      </c>
      <c r="F105" s="203" t="s">
        <v>59</v>
      </c>
      <c r="G105" s="39" t="s">
        <v>36</v>
      </c>
      <c r="H105" s="517"/>
    </row>
    <row r="106" spans="1:8" x14ac:dyDescent="0.25">
      <c r="A106" s="495" t="str">
        <f>'CUADRILLAS DE OBRA'!B25</f>
        <v>CUADRILLA 2</v>
      </c>
      <c r="B106" s="520"/>
      <c r="C106" s="123">
        <f>'CUADRILLAS DE OBRA'!E26</f>
        <v>13249</v>
      </c>
      <c r="D106" s="200">
        <f>PRESTACIONES!E28</f>
        <v>0.8952</v>
      </c>
      <c r="E106" s="72">
        <f>'CUADRILLAS DE OBRA'!G26</f>
        <v>25110</v>
      </c>
      <c r="F106" s="218">
        <v>0.31</v>
      </c>
      <c r="G106" s="45">
        <f>E106*F106</f>
        <v>7784.1</v>
      </c>
      <c r="H106" s="518"/>
    </row>
    <row r="107" spans="1:8" ht="15.75" thickBot="1" x14ac:dyDescent="0.3">
      <c r="A107" s="50"/>
      <c r="B107" s="34"/>
      <c r="C107" s="34"/>
      <c r="D107" s="34"/>
      <c r="E107" s="127"/>
      <c r="F107" s="205"/>
      <c r="G107" s="41"/>
      <c r="H107" s="519"/>
    </row>
    <row r="108" spans="1:8" ht="15.75" thickBot="1" x14ac:dyDescent="0.3">
      <c r="A108" s="36"/>
      <c r="B108" s="22"/>
      <c r="C108" s="22"/>
      <c r="D108" s="22"/>
      <c r="E108" s="25"/>
      <c r="F108" s="206"/>
      <c r="G108" s="25" t="s">
        <v>39</v>
      </c>
      <c r="H108" s="42">
        <f>SUM(G106:G107)</f>
        <v>7784.1</v>
      </c>
    </row>
    <row r="109" spans="1:8" ht="15.75" thickBot="1" x14ac:dyDescent="0.3">
      <c r="A109" s="501" t="s">
        <v>61</v>
      </c>
      <c r="B109" s="502"/>
      <c r="C109" s="22"/>
      <c r="D109" s="22"/>
      <c r="E109" s="25"/>
      <c r="F109" s="206"/>
      <c r="G109" s="25"/>
      <c r="H109" s="26"/>
    </row>
    <row r="110" spans="1:8" x14ac:dyDescent="0.25">
      <c r="A110" s="521" t="s">
        <v>32</v>
      </c>
      <c r="B110" s="522"/>
      <c r="C110" s="522"/>
      <c r="D110" s="522"/>
      <c r="E110" s="523"/>
      <c r="F110" s="51" t="s">
        <v>62</v>
      </c>
      <c r="G110" s="52" t="s">
        <v>63</v>
      </c>
      <c r="H110" s="524"/>
    </row>
    <row r="111" spans="1:8" x14ac:dyDescent="0.25">
      <c r="A111" s="487" t="s">
        <v>24</v>
      </c>
      <c r="B111" s="488"/>
      <c r="C111" s="488"/>
      <c r="D111" s="488"/>
      <c r="E111" s="489"/>
      <c r="F111" s="53">
        <v>0</v>
      </c>
      <c r="G111" s="54">
        <f>ROUND((H108+H103+H97+H92)*F111,0)</f>
        <v>0</v>
      </c>
      <c r="H111" s="525"/>
    </row>
    <row r="112" spans="1:8" x14ac:dyDescent="0.25">
      <c r="A112" s="487" t="s">
        <v>25</v>
      </c>
      <c r="B112" s="488"/>
      <c r="C112" s="488"/>
      <c r="D112" s="488"/>
      <c r="E112" s="489"/>
      <c r="F112" s="53">
        <v>0</v>
      </c>
      <c r="G112" s="54">
        <f>ROUND((H92+H97+H103+H108)*F112,0)</f>
        <v>0</v>
      </c>
      <c r="H112" s="525"/>
    </row>
    <row r="113" spans="1:9" ht="15.75" thickBot="1" x14ac:dyDescent="0.3">
      <c r="A113" s="483" t="s">
        <v>64</v>
      </c>
      <c r="B113" s="484"/>
      <c r="C113" s="484"/>
      <c r="D113" s="484"/>
      <c r="E113" s="485"/>
      <c r="F113" s="55">
        <v>0</v>
      </c>
      <c r="G113" s="56">
        <f>ROUND((H92+H97+H103+H108)*F113,0)</f>
        <v>0</v>
      </c>
      <c r="H113" s="526"/>
    </row>
    <row r="114" spans="1:9" ht="15.75" thickBot="1" x14ac:dyDescent="0.3">
      <c r="A114" s="490" t="s">
        <v>39</v>
      </c>
      <c r="B114" s="576"/>
      <c r="C114" s="576"/>
      <c r="D114" s="576"/>
      <c r="E114" s="576"/>
      <c r="F114" s="576"/>
      <c r="G114" s="576"/>
      <c r="H114" s="37">
        <f>SUM(G111:G113)</f>
        <v>0</v>
      </c>
    </row>
    <row r="115" spans="1:9" ht="15.75" thickBot="1" x14ac:dyDescent="0.3">
      <c r="A115" s="492"/>
      <c r="B115" s="564"/>
      <c r="C115" s="564"/>
      <c r="D115" s="564"/>
      <c r="E115" s="564"/>
      <c r="F115" s="564"/>
      <c r="G115" s="564"/>
      <c r="H115" s="494"/>
    </row>
    <row r="116" spans="1:9" ht="15.75" thickBot="1" x14ac:dyDescent="0.3">
      <c r="A116" s="565"/>
      <c r="B116" s="566"/>
      <c r="C116" s="566"/>
      <c r="D116" s="567"/>
      <c r="E116" s="623" t="s">
        <v>65</v>
      </c>
      <c r="F116" s="624"/>
      <c r="G116" s="625"/>
      <c r="H116" s="73">
        <f>ROUND(SUM(H87:H114),0)</f>
        <v>34783</v>
      </c>
      <c r="I116" s="201" t="s">
        <v>214</v>
      </c>
    </row>
    <row r="117" spans="1:9" x14ac:dyDescent="0.25">
      <c r="A117" s="461" t="s">
        <v>66</v>
      </c>
      <c r="B117" s="461"/>
      <c r="C117" s="58"/>
      <c r="D117" s="58"/>
      <c r="E117" s="59"/>
      <c r="F117" s="202"/>
      <c r="G117" s="59"/>
      <c r="H117" s="60"/>
    </row>
    <row r="118" spans="1:9" x14ac:dyDescent="0.25">
      <c r="A118" s="460" t="s">
        <v>320</v>
      </c>
      <c r="B118" s="460"/>
      <c r="C118" s="58"/>
      <c r="D118" s="58"/>
      <c r="E118" s="59"/>
      <c r="F118" s="202"/>
      <c r="G118" s="59"/>
      <c r="H118" s="60"/>
    </row>
    <row r="119" spans="1:9" ht="15.75" thickBot="1" x14ac:dyDescent="0.3"/>
    <row r="120" spans="1:9" ht="15.75" thickBot="1" x14ac:dyDescent="0.3">
      <c r="A120" s="63" t="s">
        <v>28</v>
      </c>
      <c r="B120" s="527" t="str">
        <f>PRESUPUESTO!B12</f>
        <v>Retiro de material sobrante hasta sitio autorizado</v>
      </c>
      <c r="C120" s="528"/>
      <c r="D120" s="528"/>
      <c r="E120" s="528"/>
      <c r="F120" s="529"/>
      <c r="G120" s="64" t="s">
        <v>29</v>
      </c>
      <c r="H120" s="65" t="s">
        <v>68</v>
      </c>
    </row>
    <row r="121" spans="1:9" ht="15.75" thickBot="1" x14ac:dyDescent="0.3">
      <c r="A121" s="66">
        <v>2.0299999999999998</v>
      </c>
      <c r="B121" s="530"/>
      <c r="C121" s="531"/>
      <c r="D121" s="531"/>
      <c r="E121" s="531"/>
      <c r="F121" s="532"/>
      <c r="G121" s="67" t="s">
        <v>30</v>
      </c>
      <c r="H121" s="68"/>
    </row>
    <row r="122" spans="1:9" ht="15.75" thickBot="1" x14ac:dyDescent="0.3">
      <c r="A122" s="20"/>
      <c r="B122" s="21"/>
      <c r="C122" s="21"/>
      <c r="D122" s="21"/>
      <c r="E122" s="23"/>
      <c r="F122" s="206"/>
      <c r="G122" s="23"/>
      <c r="H122" s="24"/>
    </row>
    <row r="123" spans="1:9" ht="15.75" thickBot="1" x14ac:dyDescent="0.3">
      <c r="A123" s="510" t="s">
        <v>31</v>
      </c>
      <c r="B123" s="511"/>
      <c r="C123" s="22"/>
      <c r="D123" s="22"/>
      <c r="E123" s="25"/>
      <c r="F123" s="206"/>
      <c r="G123" s="25"/>
      <c r="H123" s="26"/>
    </row>
    <row r="124" spans="1:9" x14ac:dyDescent="0.25">
      <c r="A124" s="503" t="s">
        <v>32</v>
      </c>
      <c r="B124" s="504"/>
      <c r="C124" s="27" t="s">
        <v>69</v>
      </c>
      <c r="D124" s="27" t="s">
        <v>52</v>
      </c>
      <c r="E124" s="125" t="s">
        <v>34</v>
      </c>
      <c r="F124" s="203" t="s">
        <v>35</v>
      </c>
      <c r="G124" s="28" t="s">
        <v>36</v>
      </c>
      <c r="H124" s="582"/>
    </row>
    <row r="125" spans="1:9" x14ac:dyDescent="0.25">
      <c r="A125" s="559" t="s">
        <v>70</v>
      </c>
      <c r="B125" s="560"/>
      <c r="C125" s="29" t="s">
        <v>38</v>
      </c>
      <c r="D125" s="29"/>
      <c r="E125" s="126"/>
      <c r="F125" s="204"/>
      <c r="G125" s="31">
        <f xml:space="preserve"> H147 * (0.05)</f>
        <v>807.12</v>
      </c>
      <c r="H125" s="583"/>
    </row>
    <row r="126" spans="1:9" x14ac:dyDescent="0.25">
      <c r="A126" s="508"/>
      <c r="B126" s="590"/>
      <c r="C126" s="29"/>
      <c r="D126" s="30"/>
      <c r="E126" s="72"/>
      <c r="F126" s="204"/>
      <c r="G126" s="31"/>
      <c r="H126" s="583"/>
    </row>
    <row r="127" spans="1:9" x14ac:dyDescent="0.25">
      <c r="A127" s="508"/>
      <c r="B127" s="509"/>
      <c r="C127" s="29"/>
      <c r="D127" s="30"/>
      <c r="E127" s="72"/>
      <c r="F127" s="204"/>
      <c r="G127" s="31"/>
      <c r="H127" s="583"/>
    </row>
    <row r="128" spans="1:9" x14ac:dyDescent="0.25">
      <c r="A128" s="559"/>
      <c r="B128" s="560"/>
      <c r="C128" s="29"/>
      <c r="D128" s="69"/>
      <c r="E128" s="72"/>
      <c r="F128" s="204"/>
      <c r="G128" s="31"/>
      <c r="H128" s="583"/>
    </row>
    <row r="129" spans="1:8" ht="15.75" thickBot="1" x14ac:dyDescent="0.3">
      <c r="A129" s="513"/>
      <c r="B129" s="514"/>
      <c r="C129" s="33"/>
      <c r="D129" s="33"/>
      <c r="E129" s="127"/>
      <c r="F129" s="205"/>
      <c r="G129" s="35"/>
      <c r="H129" s="584"/>
    </row>
    <row r="130" spans="1:8" ht="15.75" thickBot="1" x14ac:dyDescent="0.3">
      <c r="A130" s="36"/>
      <c r="B130" s="22"/>
      <c r="C130" s="22"/>
      <c r="D130" s="22"/>
      <c r="E130" s="25"/>
      <c r="F130" s="206"/>
      <c r="G130" s="25" t="s">
        <v>39</v>
      </c>
      <c r="H130" s="37">
        <f>SUM(G125:G129)</f>
        <v>807.12</v>
      </c>
    </row>
    <row r="131" spans="1:8" ht="15.75" thickBot="1" x14ac:dyDescent="0.3">
      <c r="A131" s="501" t="s">
        <v>40</v>
      </c>
      <c r="B131" s="502"/>
      <c r="C131" s="22"/>
      <c r="D131" s="22"/>
      <c r="E131" s="25"/>
      <c r="F131" s="206"/>
      <c r="G131" s="25"/>
      <c r="H131" s="26"/>
    </row>
    <row r="132" spans="1:8" x14ac:dyDescent="0.25">
      <c r="A132" s="503" t="s">
        <v>32</v>
      </c>
      <c r="B132" s="504"/>
      <c r="C132" s="38" t="s">
        <v>41</v>
      </c>
      <c r="D132" s="27" t="s">
        <v>29</v>
      </c>
      <c r="E132" s="125" t="s">
        <v>42</v>
      </c>
      <c r="F132" s="203" t="s">
        <v>35</v>
      </c>
      <c r="G132" s="39" t="s">
        <v>36</v>
      </c>
      <c r="H132" s="505"/>
    </row>
    <row r="133" spans="1:8" x14ac:dyDescent="0.25">
      <c r="A133" s="559"/>
      <c r="B133" s="560"/>
      <c r="C133" s="30"/>
      <c r="D133" s="29"/>
      <c r="E133" s="126"/>
      <c r="F133" s="214"/>
      <c r="G133" s="40"/>
      <c r="H133" s="506"/>
    </row>
    <row r="134" spans="1:8" ht="15.75" thickBot="1" x14ac:dyDescent="0.3">
      <c r="A134" s="513"/>
      <c r="B134" s="514"/>
      <c r="C134" s="34"/>
      <c r="D134" s="33"/>
      <c r="E134" s="127"/>
      <c r="F134" s="205"/>
      <c r="G134" s="41"/>
      <c r="H134" s="512"/>
    </row>
    <row r="135" spans="1:8" ht="15.75" thickBot="1" x14ac:dyDescent="0.3">
      <c r="A135" s="36"/>
      <c r="B135" s="22"/>
      <c r="C135" s="22"/>
      <c r="D135" s="22"/>
      <c r="E135" s="25"/>
      <c r="F135" s="206"/>
      <c r="G135" s="25" t="s">
        <v>39</v>
      </c>
      <c r="H135" s="42">
        <f>SUM(G133:G134)</f>
        <v>0</v>
      </c>
    </row>
    <row r="136" spans="1:8" ht="15.75" thickBot="1" x14ac:dyDescent="0.3">
      <c r="A136" s="510" t="s">
        <v>49</v>
      </c>
      <c r="B136" s="511"/>
      <c r="C136" s="22"/>
      <c r="D136" s="22"/>
      <c r="E136" s="25"/>
      <c r="F136" s="206"/>
      <c r="G136" s="25"/>
      <c r="H136" s="26"/>
    </row>
    <row r="137" spans="1:8" x14ac:dyDescent="0.25">
      <c r="A137" s="503" t="s">
        <v>50</v>
      </c>
      <c r="B137" s="504"/>
      <c r="C137" s="43" t="s">
        <v>73</v>
      </c>
      <c r="D137" s="27" t="s">
        <v>52</v>
      </c>
      <c r="E137" s="125" t="s">
        <v>34</v>
      </c>
      <c r="F137" s="203" t="s">
        <v>35</v>
      </c>
      <c r="G137" s="39" t="s">
        <v>36</v>
      </c>
      <c r="H137" s="505"/>
    </row>
    <row r="138" spans="1:8" x14ac:dyDescent="0.25">
      <c r="A138" s="593" t="s">
        <v>75</v>
      </c>
      <c r="B138" s="594"/>
      <c r="C138" s="44" t="s">
        <v>68</v>
      </c>
      <c r="D138" s="44" t="s">
        <v>76</v>
      </c>
      <c r="E138" s="72">
        <v>20000</v>
      </c>
      <c r="F138" s="217">
        <v>0.25</v>
      </c>
      <c r="G138" s="45">
        <f>F138*E138</f>
        <v>5000</v>
      </c>
      <c r="H138" s="506"/>
    </row>
    <row r="139" spans="1:8" x14ac:dyDescent="0.25">
      <c r="A139" s="569"/>
      <c r="B139" s="570"/>
      <c r="C139" s="44"/>
      <c r="D139" s="44"/>
      <c r="E139" s="72"/>
      <c r="F139" s="217"/>
      <c r="G139" s="45"/>
      <c r="H139" s="506"/>
    </row>
    <row r="140" spans="1:8" ht="15.75" thickBot="1" x14ac:dyDescent="0.3">
      <c r="A140" s="513"/>
      <c r="B140" s="514"/>
      <c r="C140" s="34"/>
      <c r="D140" s="34"/>
      <c r="E140" s="127"/>
      <c r="F140" s="205"/>
      <c r="G140" s="41"/>
      <c r="H140" s="512"/>
    </row>
    <row r="141" spans="1:8" ht="15.75" thickBot="1" x14ac:dyDescent="0.3">
      <c r="A141" s="36"/>
      <c r="B141" s="22"/>
      <c r="C141" s="22"/>
      <c r="D141" s="22"/>
      <c r="E141" s="25"/>
      <c r="F141" s="206"/>
      <c r="G141" s="25" t="s">
        <v>39</v>
      </c>
      <c r="H141" s="42">
        <f>SUM(G138:G140)</f>
        <v>5000</v>
      </c>
    </row>
    <row r="142" spans="1:8" ht="15.75" thickBot="1" x14ac:dyDescent="0.3">
      <c r="A142" s="501" t="s">
        <v>53</v>
      </c>
      <c r="B142" s="502"/>
      <c r="C142" s="22"/>
      <c r="D142" s="22"/>
      <c r="E142" s="25"/>
      <c r="F142" s="206"/>
      <c r="G142" s="25"/>
      <c r="H142" s="26"/>
    </row>
    <row r="143" spans="1:8" ht="30" customHeight="1" x14ac:dyDescent="0.25">
      <c r="A143" s="621" t="s">
        <v>213</v>
      </c>
      <c r="B143" s="622"/>
      <c r="C143" s="43" t="s">
        <v>56</v>
      </c>
      <c r="D143" s="27" t="s">
        <v>57</v>
      </c>
      <c r="E143" s="128" t="s">
        <v>58</v>
      </c>
      <c r="F143" s="203" t="s">
        <v>59</v>
      </c>
      <c r="G143" s="39" t="s">
        <v>36</v>
      </c>
      <c r="H143" s="517"/>
    </row>
    <row r="144" spans="1:8" x14ac:dyDescent="0.25">
      <c r="A144" s="492" t="str">
        <f>'CUADRILLAS DE OBRA'!B22</f>
        <v>CUADRILLA 1</v>
      </c>
      <c r="B144" s="568"/>
      <c r="C144" s="123">
        <f>'CUADRILLAS DE OBRA'!E23</f>
        <v>9464</v>
      </c>
      <c r="D144" s="200">
        <f>PRESTACIONES!E28</f>
        <v>0.8952</v>
      </c>
      <c r="E144" s="72">
        <f>'CUADRILLAS DE OBRA'!G23</f>
        <v>17936</v>
      </c>
      <c r="F144" s="218">
        <v>0.9</v>
      </c>
      <c r="G144" s="45">
        <f>E144*F144</f>
        <v>16142.4</v>
      </c>
      <c r="H144" s="518"/>
    </row>
    <row r="145" spans="1:9" x14ac:dyDescent="0.25">
      <c r="A145" s="47"/>
      <c r="B145" s="48"/>
      <c r="C145" s="44"/>
      <c r="D145" s="48"/>
      <c r="E145" s="72"/>
      <c r="F145" s="218"/>
      <c r="G145" s="72"/>
      <c r="H145" s="518"/>
    </row>
    <row r="146" spans="1:9" ht="15.75" thickBot="1" x14ac:dyDescent="0.3">
      <c r="A146" s="50"/>
      <c r="B146" s="34"/>
      <c r="C146" s="34"/>
      <c r="D146" s="34"/>
      <c r="E146" s="127"/>
      <c r="F146" s="205"/>
      <c r="G146" s="41"/>
      <c r="H146" s="519"/>
    </row>
    <row r="147" spans="1:9" ht="15.75" thickBot="1" x14ac:dyDescent="0.3">
      <c r="A147" s="36"/>
      <c r="B147" s="22"/>
      <c r="C147" s="22"/>
      <c r="D147" s="22"/>
      <c r="E147" s="25"/>
      <c r="F147" s="206"/>
      <c r="G147" s="25" t="s">
        <v>39</v>
      </c>
      <c r="H147" s="42">
        <f>SUM(G144:G146)</f>
        <v>16142.4</v>
      </c>
    </row>
    <row r="148" spans="1:9" ht="15.75" thickBot="1" x14ac:dyDescent="0.3">
      <c r="A148" s="501" t="s">
        <v>61</v>
      </c>
      <c r="B148" s="502"/>
      <c r="C148" s="22"/>
      <c r="D148" s="22"/>
      <c r="E148" s="25"/>
      <c r="F148" s="206"/>
      <c r="G148" s="25"/>
      <c r="H148" s="26"/>
    </row>
    <row r="149" spans="1:9" x14ac:dyDescent="0.25">
      <c r="A149" s="521" t="s">
        <v>32</v>
      </c>
      <c r="B149" s="522"/>
      <c r="C149" s="522"/>
      <c r="D149" s="522"/>
      <c r="E149" s="523"/>
      <c r="F149" s="51" t="s">
        <v>62</v>
      </c>
      <c r="G149" s="52" t="s">
        <v>63</v>
      </c>
      <c r="H149" s="524"/>
    </row>
    <row r="150" spans="1:9" x14ac:dyDescent="0.25">
      <c r="A150" s="487" t="s">
        <v>24</v>
      </c>
      <c r="B150" s="488"/>
      <c r="C150" s="488"/>
      <c r="D150" s="488"/>
      <c r="E150" s="489"/>
      <c r="F150" s="53">
        <v>0</v>
      </c>
      <c r="G150" s="54">
        <f>ROUND((H147+H141+H135+H130)*F150,0)</f>
        <v>0</v>
      </c>
      <c r="H150" s="525"/>
    </row>
    <row r="151" spans="1:9" x14ac:dyDescent="0.25">
      <c r="A151" s="487" t="s">
        <v>25</v>
      </c>
      <c r="B151" s="488"/>
      <c r="C151" s="488"/>
      <c r="D151" s="488"/>
      <c r="E151" s="489"/>
      <c r="F151" s="53">
        <v>0</v>
      </c>
      <c r="G151" s="54">
        <f>ROUND((H130+H135+H141+H147)*F151,0)</f>
        <v>0</v>
      </c>
      <c r="H151" s="525"/>
    </row>
    <row r="152" spans="1:9" ht="15.75" thickBot="1" x14ac:dyDescent="0.3">
      <c r="A152" s="483" t="s">
        <v>64</v>
      </c>
      <c r="B152" s="484"/>
      <c r="C152" s="484"/>
      <c r="D152" s="484"/>
      <c r="E152" s="485"/>
      <c r="F152" s="55">
        <v>0</v>
      </c>
      <c r="G152" s="56">
        <f>ROUND((H130+H135+H141+H147)*F152,0)</f>
        <v>0</v>
      </c>
      <c r="H152" s="526"/>
    </row>
    <row r="153" spans="1:9" ht="15.75" thickBot="1" x14ac:dyDescent="0.3">
      <c r="A153" s="490" t="s">
        <v>39</v>
      </c>
      <c r="B153" s="576"/>
      <c r="C153" s="576"/>
      <c r="D153" s="576"/>
      <c r="E153" s="576"/>
      <c r="F153" s="576"/>
      <c r="G153" s="576"/>
      <c r="H153" s="37">
        <f>SUM(G150:G152)</f>
        <v>0</v>
      </c>
    </row>
    <row r="154" spans="1:9" ht="15.75" thickBot="1" x14ac:dyDescent="0.3">
      <c r="A154" s="492"/>
      <c r="B154" s="564"/>
      <c r="C154" s="564"/>
      <c r="D154" s="564"/>
      <c r="E154" s="564"/>
      <c r="F154" s="564"/>
      <c r="G154" s="564"/>
      <c r="H154" s="494"/>
    </row>
    <row r="155" spans="1:9" ht="15.75" thickBot="1" x14ac:dyDescent="0.3">
      <c r="A155" s="565"/>
      <c r="B155" s="566"/>
      <c r="C155" s="566"/>
      <c r="D155" s="567"/>
      <c r="E155" s="623" t="s">
        <v>65</v>
      </c>
      <c r="F155" s="624"/>
      <c r="G155" s="625"/>
      <c r="H155" s="73">
        <f>ROUND(SUM(H124:H153),0)</f>
        <v>21950</v>
      </c>
      <c r="I155" s="201"/>
    </row>
    <row r="156" spans="1:9" x14ac:dyDescent="0.25">
      <c r="A156" s="461" t="s">
        <v>66</v>
      </c>
      <c r="B156" s="461"/>
      <c r="C156" s="58"/>
      <c r="D156" s="58"/>
      <c r="E156" s="59"/>
      <c r="F156" s="202"/>
      <c r="G156" s="59"/>
      <c r="H156" s="60"/>
    </row>
    <row r="157" spans="1:9" ht="15.75" thickBot="1" x14ac:dyDescent="0.3">
      <c r="A157" s="460" t="s">
        <v>320</v>
      </c>
      <c r="B157" s="460"/>
      <c r="C157" s="58"/>
      <c r="D157" s="58"/>
      <c r="E157" s="59"/>
      <c r="F157" s="202"/>
      <c r="G157" s="59"/>
      <c r="H157" s="60"/>
    </row>
    <row r="158" spans="1:9" ht="15.75" thickBot="1" x14ac:dyDescent="0.3">
      <c r="A158" s="63" t="s">
        <v>28</v>
      </c>
      <c r="B158" s="527" t="str">
        <f>PRESUPUESTO!B22</f>
        <v>Bancos en concreto pintados  de colores 0.50mx 0.50mx 0.5m</v>
      </c>
      <c r="C158" s="528"/>
      <c r="D158" s="528"/>
      <c r="E158" s="528"/>
      <c r="F158" s="529"/>
      <c r="G158" s="64" t="s">
        <v>29</v>
      </c>
      <c r="H158" s="65" t="str">
        <f>PRESUPUESTO!C22</f>
        <v>und</v>
      </c>
    </row>
    <row r="159" spans="1:9" ht="24" customHeight="1" thickBot="1" x14ac:dyDescent="0.3">
      <c r="A159" s="66" t="str">
        <f>PRESUPUESTO!A22</f>
        <v>3.9</v>
      </c>
      <c r="B159" s="530"/>
      <c r="C159" s="531"/>
      <c r="D159" s="531"/>
      <c r="E159" s="531"/>
      <c r="F159" s="532"/>
      <c r="G159" s="67" t="s">
        <v>30</v>
      </c>
      <c r="H159" s="68"/>
    </row>
    <row r="160" spans="1:9" ht="15.75" thickBot="1" x14ac:dyDescent="0.3">
      <c r="A160" s="20"/>
      <c r="B160" s="21"/>
      <c r="C160" s="21"/>
      <c r="D160" s="21"/>
      <c r="E160" s="23"/>
      <c r="F160" s="206"/>
      <c r="G160" s="23"/>
      <c r="H160" s="24"/>
    </row>
    <row r="161" spans="1:8" ht="15.75" thickBot="1" x14ac:dyDescent="0.3">
      <c r="A161" s="501" t="s">
        <v>31</v>
      </c>
      <c r="B161" s="502"/>
      <c r="C161" s="22"/>
      <c r="D161" s="22"/>
      <c r="E161" s="25"/>
      <c r="F161" s="206"/>
      <c r="G161" s="25"/>
      <c r="H161" s="26"/>
    </row>
    <row r="162" spans="1:8" x14ac:dyDescent="0.25">
      <c r="A162" s="533" t="s">
        <v>32</v>
      </c>
      <c r="B162" s="534"/>
      <c r="C162" s="27" t="s">
        <v>69</v>
      </c>
      <c r="D162" s="27" t="s">
        <v>52</v>
      </c>
      <c r="E162" s="125" t="s">
        <v>34</v>
      </c>
      <c r="F162" s="203" t="s">
        <v>35</v>
      </c>
      <c r="G162" s="28" t="s">
        <v>36</v>
      </c>
      <c r="H162" s="517"/>
    </row>
    <row r="163" spans="1:8" x14ac:dyDescent="0.25">
      <c r="A163" s="508" t="s">
        <v>70</v>
      </c>
      <c r="B163" s="509"/>
      <c r="C163" s="29" t="s">
        <v>38</v>
      </c>
      <c r="D163" s="29" t="s">
        <v>38</v>
      </c>
      <c r="E163" s="126"/>
      <c r="F163" s="204"/>
      <c r="G163" s="31">
        <f>H183*(0.05)</f>
        <v>948.85</v>
      </c>
      <c r="H163" s="518"/>
    </row>
    <row r="164" spans="1:8" x14ac:dyDescent="0.25">
      <c r="A164" s="508" t="s">
        <v>284</v>
      </c>
      <c r="B164" s="509"/>
      <c r="C164" s="29"/>
      <c r="D164" s="29"/>
      <c r="E164" s="126">
        <v>7500</v>
      </c>
      <c r="F164" s="204">
        <v>4.4999999999999998E-2</v>
      </c>
      <c r="G164" s="31">
        <f>+E164*F164</f>
        <v>337.5</v>
      </c>
      <c r="H164" s="518"/>
    </row>
    <row r="165" spans="1:8" ht="15.75" thickBot="1" x14ac:dyDescent="0.3">
      <c r="A165" s="535"/>
      <c r="B165" s="536"/>
      <c r="C165" s="33"/>
      <c r="D165" s="33"/>
      <c r="E165" s="127"/>
      <c r="F165" s="205"/>
      <c r="G165" s="35"/>
      <c r="H165" s="519"/>
    </row>
    <row r="166" spans="1:8" ht="15.75" thickBot="1" x14ac:dyDescent="0.3">
      <c r="A166" s="36"/>
      <c r="B166" s="22"/>
      <c r="C166" s="22"/>
      <c r="D166" s="22"/>
      <c r="E166" s="25"/>
      <c r="F166" s="206"/>
      <c r="G166" s="25" t="s">
        <v>39</v>
      </c>
      <c r="H166" s="37">
        <f>ROUND(SUM(G163:G165),0)</f>
        <v>1286</v>
      </c>
    </row>
    <row r="167" spans="1:8" ht="15.75" thickBot="1" x14ac:dyDescent="0.3">
      <c r="A167" s="501" t="s">
        <v>40</v>
      </c>
      <c r="B167" s="502"/>
      <c r="C167" s="22"/>
      <c r="D167" s="22"/>
      <c r="E167" s="25"/>
      <c r="F167" s="206"/>
      <c r="G167" s="25"/>
      <c r="H167" s="26"/>
    </row>
    <row r="168" spans="1:8" x14ac:dyDescent="0.25">
      <c r="A168" s="503" t="s">
        <v>32</v>
      </c>
      <c r="B168" s="504"/>
      <c r="C168" s="38" t="s">
        <v>41</v>
      </c>
      <c r="D168" s="27" t="s">
        <v>29</v>
      </c>
      <c r="E168" s="125" t="s">
        <v>42</v>
      </c>
      <c r="F168" s="203" t="s">
        <v>35</v>
      </c>
      <c r="G168" s="39" t="s">
        <v>36</v>
      </c>
      <c r="H168" s="505"/>
    </row>
    <row r="169" spans="1:8" ht="27.75" customHeight="1" x14ac:dyDescent="0.25">
      <c r="A169" s="507" t="s">
        <v>216</v>
      </c>
      <c r="B169" s="486"/>
      <c r="C169" s="74"/>
      <c r="D169" s="29" t="s">
        <v>16</v>
      </c>
      <c r="E169" s="126">
        <f>+'BASICO CONCRETO'!G35</f>
        <v>443580</v>
      </c>
      <c r="F169" s="214">
        <f>0.5*0.5*0.5</f>
        <v>0.125</v>
      </c>
      <c r="G169" s="45">
        <f>+E169*F169</f>
        <v>55447.5</v>
      </c>
      <c r="H169" s="506"/>
    </row>
    <row r="170" spans="1:8" x14ac:dyDescent="0.25">
      <c r="A170" s="377" t="s">
        <v>285</v>
      </c>
      <c r="B170" s="374"/>
      <c r="C170" s="375"/>
      <c r="D170" s="81" t="s">
        <v>19</v>
      </c>
      <c r="E170" s="131">
        <v>26000</v>
      </c>
      <c r="F170" s="82">
        <f>2*0.15</f>
        <v>0.3</v>
      </c>
      <c r="G170" s="376">
        <f>+E170*F170</f>
        <v>7800</v>
      </c>
      <c r="H170" s="506"/>
    </row>
    <row r="171" spans="1:8" ht="15.75" thickBot="1" x14ac:dyDescent="0.3">
      <c r="A171" s="513" t="s">
        <v>364</v>
      </c>
      <c r="B171" s="514"/>
      <c r="C171" s="34"/>
      <c r="D171" s="458" t="s">
        <v>365</v>
      </c>
      <c r="E171" s="127">
        <v>35000</v>
      </c>
      <c r="F171" s="205">
        <v>1</v>
      </c>
      <c r="G171" s="98">
        <f>+E171*F171</f>
        <v>35000</v>
      </c>
      <c r="H171" s="512"/>
    </row>
    <row r="172" spans="1:8" ht="15.75" thickBot="1" x14ac:dyDescent="0.3">
      <c r="A172" s="36"/>
      <c r="B172" s="22"/>
      <c r="C172" s="22"/>
      <c r="D172" s="22"/>
      <c r="E172" s="25"/>
      <c r="F172" s="206"/>
      <c r="G172" s="25" t="s">
        <v>39</v>
      </c>
      <c r="H172" s="42">
        <f>ROUND(SUM(G169:G171),0)</f>
        <v>98248</v>
      </c>
    </row>
    <row r="173" spans="1:8" ht="15.75" thickBot="1" x14ac:dyDescent="0.3">
      <c r="A173" s="510" t="s">
        <v>49</v>
      </c>
      <c r="B173" s="511"/>
      <c r="C173" s="22"/>
      <c r="D173" s="22"/>
      <c r="E173" s="25"/>
      <c r="F173" s="206"/>
      <c r="G173" s="25"/>
      <c r="H173" s="26"/>
    </row>
    <row r="174" spans="1:8" x14ac:dyDescent="0.25">
      <c r="A174" s="503" t="s">
        <v>50</v>
      </c>
      <c r="B174" s="504"/>
      <c r="C174" s="43" t="s">
        <v>73</v>
      </c>
      <c r="D174" s="27" t="s">
        <v>52</v>
      </c>
      <c r="E174" s="125" t="s">
        <v>34</v>
      </c>
      <c r="F174" s="203" t="s">
        <v>35</v>
      </c>
      <c r="G174" s="39" t="s">
        <v>36</v>
      </c>
      <c r="H174" s="505"/>
    </row>
    <row r="175" spans="1:8" x14ac:dyDescent="0.25">
      <c r="A175" s="569"/>
      <c r="B175" s="570"/>
      <c r="C175" s="44"/>
      <c r="D175" s="44"/>
      <c r="E175" s="72"/>
      <c r="F175" s="217"/>
      <c r="G175" s="45"/>
      <c r="H175" s="506"/>
    </row>
    <row r="176" spans="1:8" ht="15.75" thickBot="1" x14ac:dyDescent="0.3">
      <c r="A176" s="513"/>
      <c r="B176" s="514"/>
      <c r="C176" s="34"/>
      <c r="D176" s="34"/>
      <c r="E176" s="127"/>
      <c r="F176" s="205"/>
      <c r="G176" s="41"/>
      <c r="H176" s="512"/>
    </row>
    <row r="177" spans="1:9" ht="15.75" thickBot="1" x14ac:dyDescent="0.3">
      <c r="A177" s="36"/>
      <c r="B177" s="22"/>
      <c r="C177" s="22"/>
      <c r="D177" s="22"/>
      <c r="E177" s="25"/>
      <c r="F177" s="206"/>
      <c r="G177" s="25" t="s">
        <v>39</v>
      </c>
      <c r="H177" s="42">
        <f>SUM(G175:G176)</f>
        <v>0</v>
      </c>
    </row>
    <row r="178" spans="1:9" ht="15.75" thickBot="1" x14ac:dyDescent="0.3">
      <c r="A178" s="75" t="s">
        <v>53</v>
      </c>
      <c r="B178" s="22"/>
      <c r="C178" s="22"/>
      <c r="D178" s="22"/>
      <c r="E178" s="25"/>
      <c r="F178" s="206"/>
      <c r="G178" s="25"/>
      <c r="H178" s="26"/>
    </row>
    <row r="179" spans="1:9" ht="27" customHeight="1" x14ac:dyDescent="0.25">
      <c r="A179" s="515" t="s">
        <v>213</v>
      </c>
      <c r="B179" s="516"/>
      <c r="C179" s="43" t="s">
        <v>56</v>
      </c>
      <c r="D179" s="27" t="s">
        <v>57</v>
      </c>
      <c r="E179" s="128" t="s">
        <v>58</v>
      </c>
      <c r="F179" s="203" t="s">
        <v>59</v>
      </c>
      <c r="G179" s="39" t="s">
        <v>36</v>
      </c>
      <c r="H179" s="517"/>
    </row>
    <row r="180" spans="1:9" x14ac:dyDescent="0.25">
      <c r="A180" s="595" t="str">
        <f>'CUADRILLAS DE OBRA'!B25</f>
        <v>CUADRILLA 2</v>
      </c>
      <c r="B180" s="596"/>
      <c r="C180" s="123">
        <f>'CUADRILLAS DE OBRA'!E26</f>
        <v>13249</v>
      </c>
      <c r="D180" s="200">
        <f>PRESTACIONES!E28</f>
        <v>0.8952</v>
      </c>
      <c r="E180" s="72">
        <f>D180*C180</f>
        <v>11860.504800000001</v>
      </c>
      <c r="F180" s="217">
        <v>1.6</v>
      </c>
      <c r="G180" s="72">
        <f>E180*F180</f>
        <v>18976.807680000002</v>
      </c>
      <c r="H180" s="518"/>
    </row>
    <row r="181" spans="1:9" x14ac:dyDescent="0.25">
      <c r="A181" s="47"/>
      <c r="B181" s="48"/>
      <c r="C181" s="44"/>
      <c r="D181" s="48"/>
      <c r="E181" s="72"/>
      <c r="F181" s="217"/>
      <c r="G181" s="72"/>
      <c r="H181" s="518"/>
    </row>
    <row r="182" spans="1:9" ht="15.75" thickBot="1" x14ac:dyDescent="0.3">
      <c r="A182" s="50"/>
      <c r="B182" s="34"/>
      <c r="C182" s="34"/>
      <c r="D182" s="34"/>
      <c r="E182" s="127"/>
      <c r="F182" s="205"/>
      <c r="G182" s="41"/>
      <c r="H182" s="519"/>
    </row>
    <row r="183" spans="1:9" ht="15.75" thickBot="1" x14ac:dyDescent="0.3">
      <c r="A183" s="36"/>
      <c r="B183" s="22"/>
      <c r="C183" s="22"/>
      <c r="D183" s="22"/>
      <c r="E183" s="25"/>
      <c r="F183" s="206"/>
      <c r="G183" s="25" t="s">
        <v>39</v>
      </c>
      <c r="H183" s="42">
        <f>ROUND(SUM(G180:G182),0)</f>
        <v>18977</v>
      </c>
    </row>
    <row r="184" spans="1:9" ht="15.75" thickBot="1" x14ac:dyDescent="0.3">
      <c r="A184" s="501" t="s">
        <v>61</v>
      </c>
      <c r="B184" s="502"/>
      <c r="C184" s="22"/>
      <c r="D184" s="22"/>
      <c r="E184" s="25"/>
      <c r="F184" s="206"/>
      <c r="G184" s="25"/>
      <c r="H184" s="26"/>
    </row>
    <row r="185" spans="1:9" x14ac:dyDescent="0.25">
      <c r="A185" s="521" t="s">
        <v>32</v>
      </c>
      <c r="B185" s="522"/>
      <c r="C185" s="522"/>
      <c r="D185" s="522"/>
      <c r="E185" s="523"/>
      <c r="F185" s="51" t="s">
        <v>62</v>
      </c>
      <c r="G185" s="52" t="s">
        <v>63</v>
      </c>
      <c r="H185" s="524"/>
    </row>
    <row r="186" spans="1:9" x14ac:dyDescent="0.25">
      <c r="A186" s="487" t="s">
        <v>24</v>
      </c>
      <c r="B186" s="488"/>
      <c r="C186" s="488"/>
      <c r="D186" s="488"/>
      <c r="E186" s="489"/>
      <c r="F186" s="53">
        <v>0</v>
      </c>
      <c r="G186" s="54">
        <f>ROUND((H183+H177+H172+H166)*F186,0)</f>
        <v>0</v>
      </c>
      <c r="H186" s="525"/>
    </row>
    <row r="187" spans="1:9" x14ac:dyDescent="0.25">
      <c r="A187" s="487" t="s">
        <v>25</v>
      </c>
      <c r="B187" s="488"/>
      <c r="C187" s="488"/>
      <c r="D187" s="488"/>
      <c r="E187" s="489"/>
      <c r="F187" s="53">
        <v>0</v>
      </c>
      <c r="G187" s="54">
        <f>ROUND((H166+H172+H177+H183)*F187,0)</f>
        <v>0</v>
      </c>
      <c r="H187" s="525"/>
    </row>
    <row r="188" spans="1:9" ht="15.75" thickBot="1" x14ac:dyDescent="0.3">
      <c r="A188" s="483" t="s">
        <v>64</v>
      </c>
      <c r="B188" s="484"/>
      <c r="C188" s="484"/>
      <c r="D188" s="484"/>
      <c r="E188" s="485"/>
      <c r="F188" s="55">
        <v>0</v>
      </c>
      <c r="G188" s="56">
        <f>ROUND((H166+H172+H177+H183)*F188,0)</f>
        <v>0</v>
      </c>
      <c r="H188" s="526"/>
    </row>
    <row r="189" spans="1:9" ht="15.75" thickBot="1" x14ac:dyDescent="0.3">
      <c r="A189" s="490" t="s">
        <v>39</v>
      </c>
      <c r="B189" s="576"/>
      <c r="C189" s="576"/>
      <c r="D189" s="576"/>
      <c r="E189" s="576"/>
      <c r="F189" s="576"/>
      <c r="G189" s="576"/>
      <c r="H189" s="37">
        <f>SUM(G186:G188)</f>
        <v>0</v>
      </c>
    </row>
    <row r="190" spans="1:9" ht="15.75" thickBot="1" x14ac:dyDescent="0.3">
      <c r="A190" s="492"/>
      <c r="B190" s="564"/>
      <c r="C190" s="564"/>
      <c r="D190" s="564"/>
      <c r="E190" s="564"/>
      <c r="F190" s="564"/>
      <c r="G190" s="564"/>
      <c r="H190" s="494"/>
    </row>
    <row r="191" spans="1:9" ht="15.75" thickBot="1" x14ac:dyDescent="0.3">
      <c r="A191" s="565"/>
      <c r="B191" s="566"/>
      <c r="C191" s="566"/>
      <c r="D191" s="567"/>
      <c r="E191" s="498" t="s">
        <v>65</v>
      </c>
      <c r="F191" s="499"/>
      <c r="G191" s="500"/>
      <c r="H191" s="76">
        <f>ROUND(SUM(H162:H189),0)</f>
        <v>118511</v>
      </c>
      <c r="I191" s="201" t="s">
        <v>214</v>
      </c>
    </row>
    <row r="192" spans="1:9" x14ac:dyDescent="0.25">
      <c r="A192" s="461" t="s">
        <v>66</v>
      </c>
      <c r="B192" s="461"/>
      <c r="C192" s="58"/>
      <c r="D192" s="58"/>
      <c r="E192" s="59"/>
      <c r="F192" s="202"/>
      <c r="G192" s="59"/>
      <c r="H192" s="60"/>
    </row>
    <row r="193" spans="1:10" ht="15.75" thickBot="1" x14ac:dyDescent="0.3">
      <c r="A193" s="460" t="s">
        <v>320</v>
      </c>
      <c r="B193" s="460"/>
      <c r="C193" s="58"/>
      <c r="D193" s="58"/>
      <c r="E193" s="59"/>
      <c r="F193" s="202"/>
      <c r="G193" s="59"/>
      <c r="H193" s="60"/>
    </row>
    <row r="194" spans="1:10" ht="15.75" customHeight="1" thickBot="1" x14ac:dyDescent="0.3">
      <c r="A194" s="63" t="s">
        <v>28</v>
      </c>
      <c r="B194" s="527" t="str">
        <f>PRESUPUESTO!B29</f>
        <v>Kiosco en guadua hexagonal L=6M, (Incluye cubierta)</v>
      </c>
      <c r="C194" s="528"/>
      <c r="D194" s="528"/>
      <c r="E194" s="528"/>
      <c r="F194" s="529"/>
      <c r="G194" s="64" t="s">
        <v>29</v>
      </c>
      <c r="H194" s="88" t="str">
        <f>PRESUPUESTO!C29</f>
        <v>und</v>
      </c>
    </row>
    <row r="195" spans="1:10" ht="15.75" thickBot="1" x14ac:dyDescent="0.3">
      <c r="A195" s="84" t="str">
        <f>PRESUPUESTO!A29</f>
        <v>4.6</v>
      </c>
      <c r="B195" s="530"/>
      <c r="C195" s="531"/>
      <c r="D195" s="531"/>
      <c r="E195" s="531"/>
      <c r="F195" s="532"/>
      <c r="G195" s="67" t="s">
        <v>30</v>
      </c>
      <c r="H195" s="68"/>
    </row>
    <row r="196" spans="1:10" ht="15.75" thickBot="1" x14ac:dyDescent="0.3">
      <c r="A196" s="20"/>
      <c r="B196" s="21"/>
      <c r="C196" s="21"/>
      <c r="D196" s="21"/>
      <c r="E196" s="23"/>
      <c r="F196" s="282"/>
      <c r="G196" s="23"/>
      <c r="H196" s="24"/>
    </row>
    <row r="197" spans="1:10" ht="15.75" thickBot="1" x14ac:dyDescent="0.3">
      <c r="A197" s="510" t="s">
        <v>31</v>
      </c>
      <c r="B197" s="511"/>
      <c r="C197" s="22"/>
      <c r="D197" s="22"/>
      <c r="E197" s="25"/>
      <c r="F197" s="282"/>
      <c r="G197" s="25"/>
      <c r="H197" s="26"/>
    </row>
    <row r="198" spans="1:10" x14ac:dyDescent="0.25">
      <c r="A198" s="503" t="s">
        <v>32</v>
      </c>
      <c r="B198" s="504"/>
      <c r="C198" s="281" t="s">
        <v>69</v>
      </c>
      <c r="D198" s="281" t="s">
        <v>52</v>
      </c>
      <c r="E198" s="125" t="s">
        <v>34</v>
      </c>
      <c r="F198" s="281" t="s">
        <v>35</v>
      </c>
      <c r="G198" s="28" t="s">
        <v>36</v>
      </c>
      <c r="H198" s="582"/>
    </row>
    <row r="199" spans="1:10" x14ac:dyDescent="0.25">
      <c r="A199" s="559" t="s">
        <v>70</v>
      </c>
      <c r="B199" s="560"/>
      <c r="C199" s="283" t="s">
        <v>38</v>
      </c>
      <c r="D199" s="283" t="s">
        <v>77</v>
      </c>
      <c r="E199" s="126"/>
      <c r="F199" s="283"/>
      <c r="G199" s="31">
        <f xml:space="preserve"> H224 * (0.05)</f>
        <v>265809</v>
      </c>
      <c r="H199" s="583"/>
    </row>
    <row r="200" spans="1:10" x14ac:dyDescent="0.25">
      <c r="A200" s="559"/>
      <c r="B200" s="560"/>
      <c r="C200" s="283"/>
      <c r="D200" s="283"/>
      <c r="E200" s="126"/>
      <c r="F200" s="283"/>
      <c r="G200" s="31"/>
      <c r="H200" s="583"/>
    </row>
    <row r="201" spans="1:10" ht="15.75" thickBot="1" x14ac:dyDescent="0.3">
      <c r="A201" s="513"/>
      <c r="B201" s="514"/>
      <c r="C201" s="284"/>
      <c r="D201" s="284"/>
      <c r="E201" s="127"/>
      <c r="F201" s="284"/>
      <c r="G201" s="35"/>
      <c r="H201" s="584"/>
    </row>
    <row r="202" spans="1:10" ht="15.75" thickBot="1" x14ac:dyDescent="0.3">
      <c r="A202" s="36"/>
      <c r="B202" s="22"/>
      <c r="C202" s="22"/>
      <c r="D202" s="22"/>
      <c r="E202" s="25"/>
      <c r="F202" s="282"/>
      <c r="G202" s="25" t="s">
        <v>39</v>
      </c>
      <c r="H202" s="37">
        <f>SUM(G199:G201)</f>
        <v>265809</v>
      </c>
    </row>
    <row r="203" spans="1:10" ht="15.75" thickBot="1" x14ac:dyDescent="0.3">
      <c r="A203" s="501" t="s">
        <v>40</v>
      </c>
      <c r="B203" s="502"/>
      <c r="C203" s="22"/>
      <c r="D203" s="22"/>
      <c r="E203" s="25"/>
      <c r="F203" s="282"/>
      <c r="G203" s="25"/>
      <c r="H203" s="26"/>
    </row>
    <row r="204" spans="1:10" x14ac:dyDescent="0.25">
      <c r="A204" s="503" t="s">
        <v>32</v>
      </c>
      <c r="B204" s="504"/>
      <c r="C204" s="38" t="s">
        <v>41</v>
      </c>
      <c r="D204" s="281" t="s">
        <v>29</v>
      </c>
      <c r="E204" s="125" t="s">
        <v>42</v>
      </c>
      <c r="F204" s="281" t="s">
        <v>35</v>
      </c>
      <c r="G204" s="39" t="s">
        <v>36</v>
      </c>
      <c r="H204" s="505"/>
    </row>
    <row r="205" spans="1:10" ht="32.25" customHeight="1" x14ac:dyDescent="0.25">
      <c r="A205" s="577" t="s">
        <v>362</v>
      </c>
      <c r="B205" s="572"/>
      <c r="C205" s="78"/>
      <c r="D205" s="71" t="s">
        <v>360</v>
      </c>
      <c r="E205" s="129">
        <v>18000</v>
      </c>
      <c r="F205" s="71">
        <v>50</v>
      </c>
      <c r="G205" s="102">
        <f>E205*F205</f>
        <v>900000</v>
      </c>
      <c r="H205" s="506"/>
    </row>
    <row r="206" spans="1:10" x14ac:dyDescent="0.25">
      <c r="A206" s="559" t="s">
        <v>353</v>
      </c>
      <c r="B206" s="560"/>
      <c r="C206" s="78"/>
      <c r="D206" s="71" t="s">
        <v>360</v>
      </c>
      <c r="E206" s="129">
        <v>75200</v>
      </c>
      <c r="F206" s="71">
        <v>20</v>
      </c>
      <c r="G206" s="102">
        <f>E206*F206</f>
        <v>1504000</v>
      </c>
      <c r="H206" s="506"/>
    </row>
    <row r="207" spans="1:10" ht="31.5" customHeight="1" x14ac:dyDescent="0.25">
      <c r="A207" s="507" t="s">
        <v>354</v>
      </c>
      <c r="B207" s="486"/>
      <c r="C207" s="79"/>
      <c r="D207" s="283" t="s">
        <v>78</v>
      </c>
      <c r="E207" s="65">
        <v>160000</v>
      </c>
      <c r="F207" s="71">
        <f>ROUND(1*0.17*0.35,2)</f>
        <v>0.06</v>
      </c>
      <c r="G207" s="102">
        <f>E207*F207</f>
        <v>9600</v>
      </c>
      <c r="H207" s="506"/>
      <c r="J207" s="83"/>
    </row>
    <row r="208" spans="1:10" ht="32.25" customHeight="1" x14ac:dyDescent="0.25">
      <c r="A208" s="507" t="s">
        <v>355</v>
      </c>
      <c r="B208" s="486"/>
      <c r="C208" s="80"/>
      <c r="D208" s="81" t="s">
        <v>18</v>
      </c>
      <c r="E208" s="130">
        <v>250</v>
      </c>
      <c r="F208" s="82">
        <v>1</v>
      </c>
      <c r="G208" s="102">
        <f t="shared" ref="G208:G211" si="0">E208*F208</f>
        <v>250</v>
      </c>
      <c r="H208" s="506"/>
    </row>
    <row r="209" spans="1:8" ht="33" customHeight="1" x14ac:dyDescent="0.25">
      <c r="A209" s="507" t="s">
        <v>356</v>
      </c>
      <c r="B209" s="486"/>
      <c r="C209" s="80"/>
      <c r="D209" s="81" t="s">
        <v>357</v>
      </c>
      <c r="E209" s="131">
        <v>332500</v>
      </c>
      <c r="F209" s="82">
        <v>1</v>
      </c>
      <c r="G209" s="102">
        <f t="shared" si="0"/>
        <v>332500</v>
      </c>
      <c r="H209" s="506"/>
    </row>
    <row r="210" spans="1:8" ht="33" customHeight="1" x14ac:dyDescent="0.25">
      <c r="A210" s="626" t="s">
        <v>358</v>
      </c>
      <c r="B210" s="627"/>
      <c r="C210" s="80"/>
      <c r="D210" s="81" t="s">
        <v>360</v>
      </c>
      <c r="E210" s="131">
        <v>10000</v>
      </c>
      <c r="F210" s="82">
        <v>20</v>
      </c>
      <c r="G210" s="457">
        <f t="shared" si="0"/>
        <v>200000</v>
      </c>
      <c r="H210" s="506"/>
    </row>
    <row r="211" spans="1:8" ht="30" customHeight="1" thickBot="1" x14ac:dyDescent="0.3">
      <c r="A211" s="626" t="s">
        <v>359</v>
      </c>
      <c r="B211" s="627"/>
      <c r="C211" s="34"/>
      <c r="D211" s="284" t="s">
        <v>361</v>
      </c>
      <c r="E211" s="127">
        <v>75000</v>
      </c>
      <c r="F211" s="284">
        <v>2</v>
      </c>
      <c r="G211" s="41">
        <f t="shared" si="0"/>
        <v>150000</v>
      </c>
      <c r="H211" s="512"/>
    </row>
    <row r="212" spans="1:8" ht="15.75" thickBot="1" x14ac:dyDescent="0.3">
      <c r="A212" s="36"/>
      <c r="B212" s="22"/>
      <c r="C212" s="22"/>
      <c r="D212" s="22"/>
      <c r="E212" s="25"/>
      <c r="F212" s="282"/>
      <c r="G212" s="25" t="s">
        <v>39</v>
      </c>
      <c r="H212" s="42">
        <f>SUM(G205:G211)</f>
        <v>3096350</v>
      </c>
    </row>
    <row r="213" spans="1:8" ht="15.75" thickBot="1" x14ac:dyDescent="0.3">
      <c r="A213" s="510" t="s">
        <v>49</v>
      </c>
      <c r="B213" s="511"/>
      <c r="C213" s="22"/>
      <c r="D213" s="22"/>
      <c r="E213" s="25"/>
      <c r="F213" s="282"/>
      <c r="G213" s="25"/>
      <c r="H213" s="26"/>
    </row>
    <row r="214" spans="1:8" x14ac:dyDescent="0.25">
      <c r="A214" s="503" t="s">
        <v>50</v>
      </c>
      <c r="B214" s="504"/>
      <c r="C214" s="43" t="s">
        <v>73</v>
      </c>
      <c r="D214" s="281" t="s">
        <v>52</v>
      </c>
      <c r="E214" s="125" t="s">
        <v>34</v>
      </c>
      <c r="F214" s="281" t="s">
        <v>35</v>
      </c>
      <c r="G214" s="39" t="s">
        <v>36</v>
      </c>
      <c r="H214" s="505"/>
    </row>
    <row r="215" spans="1:8" x14ac:dyDescent="0.25">
      <c r="A215" s="593" t="s">
        <v>80</v>
      </c>
      <c r="B215" s="594"/>
      <c r="C215" s="44" t="s">
        <v>68</v>
      </c>
      <c r="D215" s="44" t="s">
        <v>76</v>
      </c>
      <c r="E215" s="72">
        <v>814322.34999911429</v>
      </c>
      <c r="F215" s="217">
        <v>1</v>
      </c>
      <c r="G215" s="45">
        <f>F215*E215</f>
        <v>814322.34999911429</v>
      </c>
      <c r="H215" s="506"/>
    </row>
    <row r="216" spans="1:8" x14ac:dyDescent="0.25">
      <c r="A216" s="569"/>
      <c r="B216" s="570"/>
      <c r="C216" s="44"/>
      <c r="D216" s="44"/>
      <c r="E216" s="72"/>
      <c r="F216" s="217"/>
      <c r="G216" s="45"/>
      <c r="H216" s="506"/>
    </row>
    <row r="217" spans="1:8" ht="15.75" thickBot="1" x14ac:dyDescent="0.3">
      <c r="A217" s="513"/>
      <c r="B217" s="514"/>
      <c r="C217" s="34"/>
      <c r="D217" s="34"/>
      <c r="E217" s="127"/>
      <c r="F217" s="284"/>
      <c r="G217" s="41"/>
      <c r="H217" s="512"/>
    </row>
    <row r="218" spans="1:8" ht="15.75" thickBot="1" x14ac:dyDescent="0.3">
      <c r="A218" s="36"/>
      <c r="B218" s="22"/>
      <c r="C218" s="22"/>
      <c r="D218" s="22"/>
      <c r="E218" s="25"/>
      <c r="F218" s="282"/>
      <c r="G218" s="25" t="s">
        <v>39</v>
      </c>
      <c r="H218" s="42">
        <f>SUM(G215:G217)</f>
        <v>814322.34999911429</v>
      </c>
    </row>
    <row r="219" spans="1:8" ht="15.75" thickBot="1" x14ac:dyDescent="0.3">
      <c r="A219" s="501" t="s">
        <v>53</v>
      </c>
      <c r="B219" s="502"/>
      <c r="C219" s="22"/>
      <c r="D219" s="22"/>
      <c r="E219" s="25"/>
      <c r="F219" s="282"/>
      <c r="G219" s="25"/>
      <c r="H219" s="26"/>
    </row>
    <row r="220" spans="1:8" ht="30" customHeight="1" x14ac:dyDescent="0.25">
      <c r="A220" s="621" t="s">
        <v>213</v>
      </c>
      <c r="B220" s="622"/>
      <c r="C220" s="43" t="s">
        <v>56</v>
      </c>
      <c r="D220" s="281" t="s">
        <v>57</v>
      </c>
      <c r="E220" s="128" t="s">
        <v>58</v>
      </c>
      <c r="F220" s="281" t="s">
        <v>59</v>
      </c>
      <c r="G220" s="39" t="s">
        <v>36</v>
      </c>
      <c r="H220" s="517"/>
    </row>
    <row r="221" spans="1:8" x14ac:dyDescent="0.25">
      <c r="A221" s="495" t="str">
        <f>'CUADRILLAS DE OBRA'!B25</f>
        <v>CUADRILLA 2</v>
      </c>
      <c r="B221" s="520"/>
      <c r="C221" s="123">
        <f>'CUADRILLAS DE OBRA'!E26</f>
        <v>13249</v>
      </c>
      <c r="D221" s="200">
        <f>PRESTACIONES!E28</f>
        <v>0.8952</v>
      </c>
      <c r="E221" s="72">
        <f>'CUADRILLAS DE OBRA'!G26</f>
        <v>25110</v>
      </c>
      <c r="F221" s="218">
        <v>150</v>
      </c>
      <c r="G221" s="45">
        <f>E221*F221</f>
        <v>3766500</v>
      </c>
      <c r="H221" s="518"/>
    </row>
    <row r="222" spans="1:8" x14ac:dyDescent="0.25">
      <c r="A222" s="677" t="str">
        <f>'CUADRILLAS DE OBRA'!B31</f>
        <v>CUADRILLA ESPECIAL</v>
      </c>
      <c r="B222" s="678"/>
      <c r="C222" s="88">
        <f>'CUADRILLAS DE OBRA'!E32</f>
        <v>10221</v>
      </c>
      <c r="D222" s="200">
        <f>D221</f>
        <v>0.8952</v>
      </c>
      <c r="E222" s="72">
        <f>'CUADRILLAS DE OBRA'!G32</f>
        <v>19371</v>
      </c>
      <c r="F222" s="218">
        <v>80</v>
      </c>
      <c r="G222" s="45">
        <f>E222*F222</f>
        <v>1549680</v>
      </c>
      <c r="H222" s="518"/>
    </row>
    <row r="223" spans="1:8" ht="15.75" thickBot="1" x14ac:dyDescent="0.3">
      <c r="A223" s="50"/>
      <c r="B223" s="34"/>
      <c r="C223" s="34"/>
      <c r="D223" s="34"/>
      <c r="E223" s="127"/>
      <c r="F223" s="284"/>
      <c r="G223" s="41"/>
      <c r="H223" s="519"/>
    </row>
    <row r="224" spans="1:8" ht="15.75" thickBot="1" x14ac:dyDescent="0.3">
      <c r="A224" s="36"/>
      <c r="B224" s="22"/>
      <c r="C224" s="22"/>
      <c r="D224" s="22"/>
      <c r="E224" s="25"/>
      <c r="F224" s="282"/>
      <c r="G224" s="25" t="s">
        <v>39</v>
      </c>
      <c r="H224" s="42">
        <f>SUM(G221:G223)</f>
        <v>5316180</v>
      </c>
    </row>
    <row r="225" spans="1:9" ht="15.75" thickBot="1" x14ac:dyDescent="0.3">
      <c r="A225" s="501" t="s">
        <v>61</v>
      </c>
      <c r="B225" s="502"/>
      <c r="C225" s="22"/>
      <c r="D225" s="22"/>
      <c r="E225" s="25"/>
      <c r="F225" s="282"/>
      <c r="G225" s="25"/>
      <c r="H225" s="26"/>
    </row>
    <row r="226" spans="1:9" x14ac:dyDescent="0.25">
      <c r="A226" s="521" t="s">
        <v>32</v>
      </c>
      <c r="B226" s="522"/>
      <c r="C226" s="522"/>
      <c r="D226" s="522"/>
      <c r="E226" s="523"/>
      <c r="F226" s="51" t="s">
        <v>62</v>
      </c>
      <c r="G226" s="52" t="s">
        <v>63</v>
      </c>
      <c r="H226" s="524"/>
    </row>
    <row r="227" spans="1:9" x14ac:dyDescent="0.25">
      <c r="A227" s="487" t="s">
        <v>24</v>
      </c>
      <c r="B227" s="488"/>
      <c r="C227" s="488"/>
      <c r="D227" s="488"/>
      <c r="E227" s="489"/>
      <c r="F227" s="53">
        <v>0</v>
      </c>
      <c r="G227" s="54">
        <f>ROUND((H224+H218+H212+H202)*F227,0)</f>
        <v>0</v>
      </c>
      <c r="H227" s="525"/>
    </row>
    <row r="228" spans="1:9" x14ac:dyDescent="0.25">
      <c r="A228" s="487" t="s">
        <v>25</v>
      </c>
      <c r="B228" s="488"/>
      <c r="C228" s="488"/>
      <c r="D228" s="488"/>
      <c r="E228" s="489"/>
      <c r="F228" s="53">
        <v>0</v>
      </c>
      <c r="G228" s="54">
        <f>ROUND((H202+H212+H218+H224)*F228,0)</f>
        <v>0</v>
      </c>
      <c r="H228" s="525"/>
    </row>
    <row r="229" spans="1:9" ht="15.75" thickBot="1" x14ac:dyDescent="0.3">
      <c r="A229" s="483" t="s">
        <v>64</v>
      </c>
      <c r="B229" s="484"/>
      <c r="C229" s="484"/>
      <c r="D229" s="484"/>
      <c r="E229" s="485"/>
      <c r="F229" s="55">
        <v>0</v>
      </c>
      <c r="G229" s="56">
        <f>ROUND((H202+H212+H218+H224)*F229,0)</f>
        <v>0</v>
      </c>
      <c r="H229" s="526"/>
    </row>
    <row r="230" spans="1:9" ht="15.75" thickBot="1" x14ac:dyDescent="0.3">
      <c r="A230" s="490" t="s">
        <v>39</v>
      </c>
      <c r="B230" s="576"/>
      <c r="C230" s="576"/>
      <c r="D230" s="576"/>
      <c r="E230" s="576"/>
      <c r="F230" s="576"/>
      <c r="G230" s="576"/>
      <c r="H230" s="37">
        <f>SUM(G227:G229)</f>
        <v>0</v>
      </c>
    </row>
    <row r="231" spans="1:9" ht="15.75" thickBot="1" x14ac:dyDescent="0.3">
      <c r="A231" s="492"/>
      <c r="B231" s="564"/>
      <c r="C231" s="564"/>
      <c r="D231" s="564"/>
      <c r="E231" s="564"/>
      <c r="F231" s="564"/>
      <c r="G231" s="564"/>
      <c r="H231" s="494"/>
    </row>
    <row r="232" spans="1:9" ht="15.75" thickBot="1" x14ac:dyDescent="0.3">
      <c r="A232" s="565"/>
      <c r="B232" s="566"/>
      <c r="C232" s="566"/>
      <c r="D232" s="567"/>
      <c r="E232" s="623" t="s">
        <v>65</v>
      </c>
      <c r="F232" s="624"/>
      <c r="G232" s="625"/>
      <c r="H232" s="459">
        <v>9492661.8699999992</v>
      </c>
      <c r="I232" s="201"/>
    </row>
    <row r="233" spans="1:9" x14ac:dyDescent="0.25">
      <c r="A233" s="461" t="s">
        <v>66</v>
      </c>
      <c r="B233" s="461"/>
      <c r="C233" s="70"/>
      <c r="D233" s="70"/>
      <c r="E233" s="90"/>
      <c r="F233" s="213"/>
      <c r="G233" s="90"/>
      <c r="H233" s="90"/>
    </row>
    <row r="234" spans="1:9" x14ac:dyDescent="0.25">
      <c r="A234" s="460" t="s">
        <v>320</v>
      </c>
      <c r="B234" s="460"/>
      <c r="C234" s="70"/>
      <c r="D234" s="70"/>
      <c r="E234" s="90"/>
      <c r="F234" s="213"/>
      <c r="G234" s="90"/>
      <c r="H234" s="90"/>
    </row>
    <row r="235" spans="1:9" ht="15.75" thickBot="1" x14ac:dyDescent="0.3"/>
    <row r="236" spans="1:9" ht="15.75" thickBot="1" x14ac:dyDescent="0.3">
      <c r="A236" s="63" t="s">
        <v>28</v>
      </c>
      <c r="B236" s="527" t="str">
        <f>PRESUPUESTO!B14</f>
        <v>Huellas en concreto ciclopeo 3000 PSI-21Mpa, ANCHO= 35 cm x L= 1,2 E= 15 cm a nivel del piso sobre zona verde para protección de la misma</v>
      </c>
      <c r="C236" s="528"/>
      <c r="D236" s="528"/>
      <c r="E236" s="528"/>
      <c r="F236" s="529"/>
      <c r="G236" s="64" t="s">
        <v>29</v>
      </c>
      <c r="H236" s="65" t="str">
        <f>PRESUPUESTO!C14</f>
        <v>und</v>
      </c>
    </row>
    <row r="237" spans="1:9" ht="15.75" thickBot="1" x14ac:dyDescent="0.3">
      <c r="A237" s="66" t="str">
        <f>PRESUPUESTO!A14</f>
        <v>3.1</v>
      </c>
      <c r="B237" s="530"/>
      <c r="C237" s="531"/>
      <c r="D237" s="531"/>
      <c r="E237" s="531"/>
      <c r="F237" s="532"/>
      <c r="G237" s="67" t="s">
        <v>30</v>
      </c>
      <c r="H237" s="68"/>
    </row>
    <row r="238" spans="1:9" ht="15.75" thickBot="1" x14ac:dyDescent="0.3">
      <c r="A238" s="20"/>
      <c r="B238" s="21"/>
      <c r="C238" s="21"/>
      <c r="D238" s="21"/>
      <c r="E238" s="23"/>
      <c r="F238" s="206"/>
      <c r="G238" s="23"/>
      <c r="H238" s="24"/>
    </row>
    <row r="239" spans="1:9" ht="15.75" thickBot="1" x14ac:dyDescent="0.3">
      <c r="A239" s="501" t="s">
        <v>31</v>
      </c>
      <c r="B239" s="502"/>
      <c r="C239" s="22"/>
      <c r="D239" s="22"/>
      <c r="E239" s="25"/>
      <c r="F239" s="206"/>
      <c r="G239" s="25"/>
      <c r="H239" s="26"/>
    </row>
    <row r="240" spans="1:9" x14ac:dyDescent="0.25">
      <c r="A240" s="533" t="s">
        <v>32</v>
      </c>
      <c r="B240" s="534"/>
      <c r="C240" s="27" t="s">
        <v>69</v>
      </c>
      <c r="D240" s="27" t="s">
        <v>52</v>
      </c>
      <c r="E240" s="125" t="s">
        <v>34</v>
      </c>
      <c r="F240" s="203" t="s">
        <v>35</v>
      </c>
      <c r="G240" s="28" t="s">
        <v>36</v>
      </c>
      <c r="H240" s="517"/>
    </row>
    <row r="241" spans="1:8" x14ac:dyDescent="0.25">
      <c r="A241" s="508" t="s">
        <v>70</v>
      </c>
      <c r="B241" s="509"/>
      <c r="C241" s="29" t="s">
        <v>38</v>
      </c>
      <c r="D241" s="29" t="s">
        <v>38</v>
      </c>
      <c r="E241" s="126"/>
      <c r="F241" s="204"/>
      <c r="G241" s="31">
        <f>H264*(0.05)</f>
        <v>1506.6000000000001</v>
      </c>
      <c r="H241" s="518"/>
    </row>
    <row r="242" spans="1:8" x14ac:dyDescent="0.25">
      <c r="A242" s="508"/>
      <c r="B242" s="509"/>
      <c r="C242" s="29"/>
      <c r="D242" s="29"/>
      <c r="E242" s="126"/>
      <c r="F242" s="204"/>
      <c r="G242" s="31"/>
      <c r="H242" s="518"/>
    </row>
    <row r="243" spans="1:8" x14ac:dyDescent="0.25">
      <c r="A243" s="508"/>
      <c r="B243" s="509"/>
      <c r="C243" s="29"/>
      <c r="D243" s="29"/>
      <c r="E243" s="126"/>
      <c r="F243" s="204"/>
      <c r="G243" s="31"/>
      <c r="H243" s="518"/>
    </row>
    <row r="244" spans="1:8" ht="15.75" thickBot="1" x14ac:dyDescent="0.3">
      <c r="A244" s="535"/>
      <c r="B244" s="536"/>
      <c r="C244" s="33"/>
      <c r="D244" s="33"/>
      <c r="E244" s="127"/>
      <c r="F244" s="205"/>
      <c r="G244" s="35"/>
      <c r="H244" s="519"/>
    </row>
    <row r="245" spans="1:8" ht="15.75" thickBot="1" x14ac:dyDescent="0.3">
      <c r="A245" s="36"/>
      <c r="B245" s="22"/>
      <c r="C245" s="22"/>
      <c r="D245" s="22"/>
      <c r="E245" s="25"/>
      <c r="F245" s="206"/>
      <c r="G245" s="25" t="s">
        <v>39</v>
      </c>
      <c r="H245" s="37">
        <f>SUM(G241:G244)</f>
        <v>1506.6000000000001</v>
      </c>
    </row>
    <row r="246" spans="1:8" ht="15.75" thickBot="1" x14ac:dyDescent="0.3">
      <c r="A246" s="501" t="s">
        <v>40</v>
      </c>
      <c r="B246" s="502"/>
      <c r="C246" s="22"/>
      <c r="D246" s="22"/>
      <c r="E246" s="25"/>
      <c r="F246" s="206"/>
      <c r="G246" s="25"/>
      <c r="H246" s="26"/>
    </row>
    <row r="247" spans="1:8" x14ac:dyDescent="0.25">
      <c r="A247" s="503" t="s">
        <v>32</v>
      </c>
      <c r="B247" s="504"/>
      <c r="C247" s="38" t="s">
        <v>41</v>
      </c>
      <c r="D247" s="27" t="s">
        <v>29</v>
      </c>
      <c r="E247" s="125" t="s">
        <v>42</v>
      </c>
      <c r="F247" s="203" t="s">
        <v>35</v>
      </c>
      <c r="G247" s="39" t="s">
        <v>36</v>
      </c>
      <c r="H247" s="505"/>
    </row>
    <row r="248" spans="1:8" ht="31.5" customHeight="1" x14ac:dyDescent="0.25">
      <c r="A248" s="577" t="str">
        <f>'BASICO CONCRETO'!A2:G2</f>
        <v>ITEM                : Concreto clase D (21 MPA)</v>
      </c>
      <c r="B248" s="572"/>
      <c r="C248" s="86"/>
      <c r="D248" s="204" t="s">
        <v>78</v>
      </c>
      <c r="E248" s="65">
        <f>E169</f>
        <v>443580</v>
      </c>
      <c r="F248" s="214">
        <f>(1.2*0.35*0.15)*0.6</f>
        <v>3.78E-2</v>
      </c>
      <c r="G248" s="102">
        <f>E248*F248</f>
        <v>16767.324000000001</v>
      </c>
      <c r="H248" s="506"/>
    </row>
    <row r="249" spans="1:8" ht="26.25" customHeight="1" x14ac:dyDescent="0.25">
      <c r="A249" s="507" t="s">
        <v>286</v>
      </c>
      <c r="B249" s="486"/>
      <c r="C249" s="80"/>
      <c r="D249" s="81" t="s">
        <v>18</v>
      </c>
      <c r="E249" s="130">
        <v>2500</v>
      </c>
      <c r="F249" s="82">
        <v>1</v>
      </c>
      <c r="G249" s="40">
        <f t="shared" ref="G249" si="1">F249*E249</f>
        <v>2500</v>
      </c>
      <c r="H249" s="506"/>
    </row>
    <row r="250" spans="1:8" x14ac:dyDescent="0.25">
      <c r="A250" s="559" t="s">
        <v>217</v>
      </c>
      <c r="B250" s="560"/>
      <c r="C250" s="74"/>
      <c r="D250" s="204" t="s">
        <v>78</v>
      </c>
      <c r="E250" s="215">
        <v>95000</v>
      </c>
      <c r="F250" s="214">
        <f>(3.1416*0.36*0.15)*0.4</f>
        <v>6.7858559999999998E-2</v>
      </c>
      <c r="G250" s="45">
        <f>(E250*F250)+(E250*F250*C250)</f>
        <v>6446.5631999999996</v>
      </c>
      <c r="H250" s="506"/>
    </row>
    <row r="251" spans="1:8" ht="15.75" thickBot="1" x14ac:dyDescent="0.3">
      <c r="A251" s="535"/>
      <c r="B251" s="536"/>
      <c r="C251" s="34"/>
      <c r="D251" s="33"/>
      <c r="E251" s="127"/>
      <c r="F251" s="205"/>
      <c r="G251" s="41"/>
      <c r="H251" s="512"/>
    </row>
    <row r="252" spans="1:8" ht="15.75" thickBot="1" x14ac:dyDescent="0.3">
      <c r="A252" s="36"/>
      <c r="B252" s="22"/>
      <c r="C252" s="22"/>
      <c r="D252" s="22"/>
      <c r="E252" s="25"/>
      <c r="F252" s="206"/>
      <c r="G252" s="25" t="s">
        <v>39</v>
      </c>
      <c r="H252" s="42">
        <f>SUM(G248:G251)</f>
        <v>25713.887200000001</v>
      </c>
    </row>
    <row r="253" spans="1:8" ht="15.75" thickBot="1" x14ac:dyDescent="0.3">
      <c r="A253" s="510" t="s">
        <v>49</v>
      </c>
      <c r="B253" s="511"/>
      <c r="C253" s="22"/>
      <c r="D253" s="22"/>
      <c r="E253" s="25"/>
      <c r="F253" s="206"/>
      <c r="G253" s="25"/>
      <c r="H253" s="26"/>
    </row>
    <row r="254" spans="1:8" x14ac:dyDescent="0.25">
      <c r="A254" s="503" t="s">
        <v>50</v>
      </c>
      <c r="B254" s="504"/>
      <c r="C254" s="43" t="s">
        <v>73</v>
      </c>
      <c r="D254" s="27" t="s">
        <v>52</v>
      </c>
      <c r="E254" s="125" t="s">
        <v>34</v>
      </c>
      <c r="F254" s="203" t="s">
        <v>35</v>
      </c>
      <c r="G254" s="39" t="s">
        <v>36</v>
      </c>
      <c r="H254" s="505"/>
    </row>
    <row r="255" spans="1:8" x14ac:dyDescent="0.25">
      <c r="A255" s="593" t="s">
        <v>80</v>
      </c>
      <c r="B255" s="594"/>
      <c r="C255" s="44" t="s">
        <v>68</v>
      </c>
      <c r="D255" s="44"/>
      <c r="E255" s="72">
        <v>110000</v>
      </c>
      <c r="F255" s="217">
        <v>0.15</v>
      </c>
      <c r="G255" s="45">
        <f>E255*F255</f>
        <v>16500</v>
      </c>
      <c r="H255" s="506"/>
    </row>
    <row r="256" spans="1:8" x14ac:dyDescent="0.25">
      <c r="A256" s="569"/>
      <c r="B256" s="570"/>
      <c r="C256" s="44"/>
      <c r="D256" s="44"/>
      <c r="E256" s="72"/>
      <c r="F256" s="217"/>
      <c r="G256" s="45"/>
      <c r="H256" s="506"/>
    </row>
    <row r="257" spans="1:9" ht="15.75" thickBot="1" x14ac:dyDescent="0.3">
      <c r="A257" s="513"/>
      <c r="B257" s="514"/>
      <c r="C257" s="34"/>
      <c r="D257" s="34"/>
      <c r="E257" s="127"/>
      <c r="F257" s="205"/>
      <c r="G257" s="41"/>
      <c r="H257" s="512"/>
    </row>
    <row r="258" spans="1:9" ht="15.75" thickBot="1" x14ac:dyDescent="0.3">
      <c r="A258" s="36"/>
      <c r="B258" s="22"/>
      <c r="C258" s="22"/>
      <c r="D258" s="22"/>
      <c r="E258" s="25"/>
      <c r="F258" s="206"/>
      <c r="G258" s="25" t="s">
        <v>39</v>
      </c>
      <c r="H258" s="42">
        <f>SUM(G255:G257)</f>
        <v>16500</v>
      </c>
    </row>
    <row r="259" spans="1:9" ht="15.75" thickBot="1" x14ac:dyDescent="0.3">
      <c r="A259" s="75" t="s">
        <v>53</v>
      </c>
      <c r="B259" s="22"/>
      <c r="C259" s="22"/>
      <c r="D259" s="22"/>
      <c r="E259" s="25"/>
      <c r="F259" s="206"/>
      <c r="G259" s="25"/>
      <c r="H259" s="26"/>
    </row>
    <row r="260" spans="1:9" ht="30" customHeight="1" x14ac:dyDescent="0.25">
      <c r="A260" s="515" t="s">
        <v>213</v>
      </c>
      <c r="B260" s="516"/>
      <c r="C260" s="43" t="s">
        <v>56</v>
      </c>
      <c r="D260" s="27" t="s">
        <v>57</v>
      </c>
      <c r="E260" s="128" t="s">
        <v>58</v>
      </c>
      <c r="F260" s="203" t="s">
        <v>59</v>
      </c>
      <c r="G260" s="39" t="s">
        <v>36</v>
      </c>
      <c r="H260" s="517"/>
    </row>
    <row r="261" spans="1:9" x14ac:dyDescent="0.25">
      <c r="A261" s="595" t="str">
        <f>'CUADRILLAS DE OBRA'!B25</f>
        <v>CUADRILLA 2</v>
      </c>
      <c r="B261" s="596"/>
      <c r="C261" s="49">
        <f>'CUADRILLAS DE OBRA'!E26</f>
        <v>13249</v>
      </c>
      <c r="D261" s="200">
        <f>PRESTACIONES!E28</f>
        <v>0.8952</v>
      </c>
      <c r="E261" s="72">
        <f>'CUADRILLAS DE OBRA'!G26</f>
        <v>25110</v>
      </c>
      <c r="F261" s="217">
        <v>1.2</v>
      </c>
      <c r="G261" s="72">
        <f>E261*F261</f>
        <v>30132</v>
      </c>
      <c r="H261" s="518"/>
    </row>
    <row r="262" spans="1:9" x14ac:dyDescent="0.25">
      <c r="A262" s="47"/>
      <c r="B262" s="48"/>
      <c r="C262" s="44"/>
      <c r="D262" s="48"/>
      <c r="E262" s="72"/>
      <c r="F262" s="217"/>
      <c r="G262" s="72"/>
      <c r="H262" s="518"/>
    </row>
    <row r="263" spans="1:9" ht="15.75" thickBot="1" x14ac:dyDescent="0.3">
      <c r="A263" s="50"/>
      <c r="B263" s="34"/>
      <c r="C263" s="34"/>
      <c r="D263" s="34"/>
      <c r="E263" s="127"/>
      <c r="F263" s="205"/>
      <c r="G263" s="41"/>
      <c r="H263" s="519"/>
    </row>
    <row r="264" spans="1:9" ht="15.75" thickBot="1" x14ac:dyDescent="0.3">
      <c r="A264" s="36"/>
      <c r="B264" s="22"/>
      <c r="C264" s="22"/>
      <c r="D264" s="22"/>
      <c r="E264" s="25"/>
      <c r="F264" s="206"/>
      <c r="G264" s="25" t="s">
        <v>39</v>
      </c>
      <c r="H264" s="42">
        <f>SUM(G261:G263)</f>
        <v>30132</v>
      </c>
    </row>
    <row r="265" spans="1:9" ht="15.75" thickBot="1" x14ac:dyDescent="0.3">
      <c r="A265" s="501" t="s">
        <v>61</v>
      </c>
      <c r="B265" s="502"/>
      <c r="C265" s="22"/>
      <c r="D265" s="22"/>
      <c r="E265" s="25"/>
      <c r="F265" s="206"/>
      <c r="G265" s="25"/>
      <c r="H265" s="26"/>
    </row>
    <row r="266" spans="1:9" x14ac:dyDescent="0.25">
      <c r="A266" s="521" t="s">
        <v>32</v>
      </c>
      <c r="B266" s="522"/>
      <c r="C266" s="522"/>
      <c r="D266" s="522"/>
      <c r="E266" s="523"/>
      <c r="F266" s="51" t="s">
        <v>62</v>
      </c>
      <c r="G266" s="52" t="s">
        <v>63</v>
      </c>
      <c r="H266" s="524"/>
    </row>
    <row r="267" spans="1:9" x14ac:dyDescent="0.25">
      <c r="A267" s="487" t="s">
        <v>24</v>
      </c>
      <c r="B267" s="488"/>
      <c r="C267" s="488"/>
      <c r="D267" s="488"/>
      <c r="E267" s="489"/>
      <c r="F267" s="53">
        <v>0</v>
      </c>
      <c r="G267" s="54">
        <f>ROUND((H264+H258+H252+H245)*F267,0)</f>
        <v>0</v>
      </c>
      <c r="H267" s="525"/>
    </row>
    <row r="268" spans="1:9" x14ac:dyDescent="0.25">
      <c r="A268" s="487" t="s">
        <v>25</v>
      </c>
      <c r="B268" s="488"/>
      <c r="C268" s="488"/>
      <c r="D268" s="488"/>
      <c r="E268" s="489"/>
      <c r="F268" s="53">
        <v>0</v>
      </c>
      <c r="G268" s="54">
        <f>ROUND((H245+H252+H258+H264)*F268,0)</f>
        <v>0</v>
      </c>
      <c r="H268" s="525"/>
    </row>
    <row r="269" spans="1:9" ht="15.75" thickBot="1" x14ac:dyDescent="0.3">
      <c r="A269" s="483" t="s">
        <v>64</v>
      </c>
      <c r="B269" s="484"/>
      <c r="C269" s="484"/>
      <c r="D269" s="484"/>
      <c r="E269" s="485"/>
      <c r="F269" s="55">
        <v>0</v>
      </c>
      <c r="G269" s="56">
        <f>ROUND((H245+H252+H258+H264)*F269,0)</f>
        <v>0</v>
      </c>
      <c r="H269" s="526"/>
    </row>
    <row r="270" spans="1:9" ht="15.75" thickBot="1" x14ac:dyDescent="0.3">
      <c r="A270" s="490" t="s">
        <v>39</v>
      </c>
      <c r="B270" s="576"/>
      <c r="C270" s="576"/>
      <c r="D270" s="576"/>
      <c r="E270" s="576"/>
      <c r="F270" s="576"/>
      <c r="G270" s="576"/>
      <c r="H270" s="37">
        <f>SUM(G267:G269)</f>
        <v>0</v>
      </c>
    </row>
    <row r="271" spans="1:9" ht="15.75" thickBot="1" x14ac:dyDescent="0.3">
      <c r="A271" s="492"/>
      <c r="B271" s="564"/>
      <c r="C271" s="564"/>
      <c r="D271" s="564"/>
      <c r="E271" s="564"/>
      <c r="F271" s="564"/>
      <c r="G271" s="564"/>
      <c r="H271" s="494"/>
    </row>
    <row r="272" spans="1:9" ht="15.75" thickBot="1" x14ac:dyDescent="0.3">
      <c r="A272" s="565"/>
      <c r="B272" s="566"/>
      <c r="C272" s="566"/>
      <c r="D272" s="567"/>
      <c r="E272" s="498" t="s">
        <v>65</v>
      </c>
      <c r="F272" s="499"/>
      <c r="G272" s="500"/>
      <c r="H272" s="76">
        <f>ROUND(SUM(H240:H270),0)</f>
        <v>73852</v>
      </c>
      <c r="I272" s="201" t="s">
        <v>214</v>
      </c>
    </row>
    <row r="273" spans="1:11" x14ac:dyDescent="0.25">
      <c r="A273" s="58"/>
      <c r="B273" s="58"/>
      <c r="C273" s="58"/>
      <c r="D273" s="58"/>
      <c r="E273" s="59"/>
      <c r="F273" s="202"/>
      <c r="G273" s="59"/>
      <c r="H273" s="60"/>
    </row>
    <row r="274" spans="1:11" x14ac:dyDescent="0.25">
      <c r="A274" s="461" t="s">
        <v>66</v>
      </c>
      <c r="B274" s="461"/>
      <c r="C274" s="58"/>
      <c r="D274" s="58"/>
      <c r="E274" s="59"/>
      <c r="F274" s="202"/>
      <c r="G274" s="59"/>
      <c r="H274" s="60"/>
    </row>
    <row r="275" spans="1:11" x14ac:dyDescent="0.25">
      <c r="A275" s="460" t="s">
        <v>320</v>
      </c>
      <c r="B275" s="460"/>
      <c r="C275" s="58"/>
      <c r="D275" s="58"/>
      <c r="E275" s="59"/>
      <c r="F275" s="202"/>
      <c r="G275" s="59"/>
      <c r="H275" s="60"/>
    </row>
    <row r="276" spans="1:11" ht="15.75" thickBot="1" x14ac:dyDescent="0.3"/>
    <row r="277" spans="1:11" ht="15.75" thickBot="1" x14ac:dyDescent="0.3">
      <c r="A277" s="63" t="s">
        <v>28</v>
      </c>
      <c r="B277" s="527" t="str">
        <f>PRESUPUESTO!B15</f>
        <v>Cuneta, canuela Conc.3000PSI.A=40CM E=5CM</v>
      </c>
      <c r="C277" s="528"/>
      <c r="D277" s="528"/>
      <c r="E277" s="528"/>
      <c r="F277" s="529"/>
      <c r="G277" s="64" t="s">
        <v>29</v>
      </c>
      <c r="H277" s="65" t="str">
        <f>PRESUPUESTO!C15</f>
        <v>m</v>
      </c>
    </row>
    <row r="278" spans="1:11" ht="15.75" thickBot="1" x14ac:dyDescent="0.3">
      <c r="A278" s="84" t="str">
        <f>PRESUPUESTO!A15</f>
        <v>3.2</v>
      </c>
      <c r="B278" s="530"/>
      <c r="C278" s="531"/>
      <c r="D278" s="531"/>
      <c r="E278" s="531"/>
      <c r="F278" s="532"/>
      <c r="G278" s="67" t="s">
        <v>30</v>
      </c>
      <c r="H278" s="68"/>
    </row>
    <row r="279" spans="1:11" ht="15.75" thickBot="1" x14ac:dyDescent="0.3">
      <c r="A279" s="20"/>
      <c r="B279" s="21"/>
      <c r="C279" s="21"/>
      <c r="D279" s="21"/>
      <c r="E279" s="23"/>
      <c r="F279" s="206"/>
      <c r="G279" s="23"/>
      <c r="H279" s="24"/>
    </row>
    <row r="280" spans="1:11" ht="15.75" thickBot="1" x14ac:dyDescent="0.3">
      <c r="A280" s="510" t="s">
        <v>31</v>
      </c>
      <c r="B280" s="511"/>
      <c r="C280" s="22"/>
      <c r="D280" s="22"/>
      <c r="E280" s="25"/>
      <c r="F280" s="206"/>
      <c r="G280" s="25"/>
      <c r="H280" s="26"/>
    </row>
    <row r="281" spans="1:11" x14ac:dyDescent="0.25">
      <c r="A281" s="503" t="s">
        <v>32</v>
      </c>
      <c r="B281" s="504"/>
      <c r="C281" s="27" t="s">
        <v>69</v>
      </c>
      <c r="D281" s="27" t="s">
        <v>52</v>
      </c>
      <c r="E281" s="125" t="s">
        <v>34</v>
      </c>
      <c r="F281" s="203" t="s">
        <v>35</v>
      </c>
      <c r="G281" s="28" t="s">
        <v>36</v>
      </c>
      <c r="H281" s="582"/>
    </row>
    <row r="282" spans="1:11" x14ac:dyDescent="0.25">
      <c r="A282" s="559" t="s">
        <v>70</v>
      </c>
      <c r="B282" s="560"/>
      <c r="C282" s="29" t="s">
        <v>38</v>
      </c>
      <c r="D282" s="29" t="s">
        <v>77</v>
      </c>
      <c r="E282" s="126"/>
      <c r="F282" s="204"/>
      <c r="G282" s="31">
        <f>ROUND( H304 * (0.05),0)</f>
        <v>789</v>
      </c>
      <c r="H282" s="583"/>
    </row>
    <row r="283" spans="1:11" x14ac:dyDescent="0.25">
      <c r="A283" s="559"/>
      <c r="B283" s="560"/>
      <c r="C283" s="29"/>
      <c r="D283" s="29"/>
      <c r="E283" s="126"/>
      <c r="F283" s="204"/>
      <c r="G283" s="31"/>
      <c r="H283" s="583"/>
    </row>
    <row r="284" spans="1:11" ht="15.75" thickBot="1" x14ac:dyDescent="0.3">
      <c r="A284" s="513"/>
      <c r="B284" s="514"/>
      <c r="C284" s="33"/>
      <c r="D284" s="33"/>
      <c r="E284" s="127"/>
      <c r="F284" s="205"/>
      <c r="G284" s="35"/>
      <c r="H284" s="584"/>
    </row>
    <row r="285" spans="1:11" ht="15.75" thickBot="1" x14ac:dyDescent="0.3">
      <c r="A285" s="36"/>
      <c r="B285" s="22"/>
      <c r="C285" s="22"/>
      <c r="D285" s="22"/>
      <c r="E285" s="25"/>
      <c r="F285" s="206"/>
      <c r="G285" s="25" t="s">
        <v>39</v>
      </c>
      <c r="H285" s="37">
        <f>SUM(G282:G284)</f>
        <v>789</v>
      </c>
    </row>
    <row r="286" spans="1:11" ht="15.75" thickBot="1" x14ac:dyDescent="0.3">
      <c r="A286" s="501" t="s">
        <v>40</v>
      </c>
      <c r="B286" s="502"/>
      <c r="C286" s="22"/>
      <c r="D286" s="22"/>
      <c r="E286" s="25"/>
      <c r="F286" s="206"/>
      <c r="G286" s="25"/>
      <c r="H286" s="26"/>
    </row>
    <row r="287" spans="1:11" x14ac:dyDescent="0.25">
      <c r="A287" s="503" t="s">
        <v>32</v>
      </c>
      <c r="B287" s="504"/>
      <c r="C287" s="38" t="s">
        <v>41</v>
      </c>
      <c r="D287" s="27" t="s">
        <v>29</v>
      </c>
      <c r="E287" s="125" t="s">
        <v>42</v>
      </c>
      <c r="F287" s="203" t="s">
        <v>35</v>
      </c>
      <c r="G287" s="39" t="s">
        <v>36</v>
      </c>
      <c r="H287" s="505"/>
      <c r="K287">
        <f>0.03*0.35/2</f>
        <v>5.2499999999999995E-3</v>
      </c>
    </row>
    <row r="288" spans="1:11" ht="28.5" customHeight="1" x14ac:dyDescent="0.25">
      <c r="A288" s="577" t="str">
        <f>A248</f>
        <v>ITEM                : Concreto clase D (21 MPA)</v>
      </c>
      <c r="B288" s="572"/>
      <c r="C288" s="85"/>
      <c r="D288" s="29" t="s">
        <v>78</v>
      </c>
      <c r="E288" s="65">
        <f>E248</f>
        <v>443580</v>
      </c>
      <c r="F288" s="71">
        <v>3.7999999999999999E-2</v>
      </c>
      <c r="G288" s="102">
        <f>E288*F288</f>
        <v>16856.04</v>
      </c>
      <c r="H288" s="506"/>
      <c r="K288">
        <f>SUM(K287:K287)</f>
        <v>5.2499999999999995E-3</v>
      </c>
    </row>
    <row r="289" spans="1:8" ht="15" customHeight="1" x14ac:dyDescent="0.25">
      <c r="A289" s="507" t="s">
        <v>286</v>
      </c>
      <c r="B289" s="486"/>
      <c r="C289" s="80"/>
      <c r="D289" s="81" t="s">
        <v>18</v>
      </c>
      <c r="E289" s="130">
        <v>2500</v>
      </c>
      <c r="F289" s="82">
        <v>1</v>
      </c>
      <c r="G289" s="40">
        <f t="shared" ref="G289" si="2">F289*E289</f>
        <v>2500</v>
      </c>
      <c r="H289" s="506"/>
    </row>
    <row r="290" spans="1:8" ht="31.5" customHeight="1" x14ac:dyDescent="0.25">
      <c r="A290" s="559" t="s">
        <v>217</v>
      </c>
      <c r="B290" s="560"/>
      <c r="C290" s="74"/>
      <c r="D290" s="425" t="s">
        <v>78</v>
      </c>
      <c r="E290" s="215">
        <v>95000</v>
      </c>
      <c r="F290" s="214">
        <f>(3.1416*1*0.15)*0.4</f>
        <v>0.188496</v>
      </c>
      <c r="G290" s="45">
        <f>(E290*F290)+(E290*F290*C290)</f>
        <v>17907.12</v>
      </c>
      <c r="H290" s="506"/>
    </row>
    <row r="291" spans="1:8" ht="15.75" thickBot="1" x14ac:dyDescent="0.3">
      <c r="A291" s="513"/>
      <c r="B291" s="514"/>
      <c r="C291" s="34"/>
      <c r="D291" s="33"/>
      <c r="E291" s="127"/>
      <c r="F291" s="205"/>
      <c r="G291" s="41"/>
      <c r="H291" s="512"/>
    </row>
    <row r="292" spans="1:8" ht="15.75" thickBot="1" x14ac:dyDescent="0.3">
      <c r="A292" s="36"/>
      <c r="B292" s="22"/>
      <c r="C292" s="22"/>
      <c r="D292" s="22"/>
      <c r="E292" s="25"/>
      <c r="F292" s="206"/>
      <c r="G292" s="25" t="s">
        <v>39</v>
      </c>
      <c r="H292" s="42">
        <f>SUM(G288:G290)</f>
        <v>37263.160000000003</v>
      </c>
    </row>
    <row r="293" spans="1:8" ht="15.75" thickBot="1" x14ac:dyDescent="0.3">
      <c r="A293" s="510" t="s">
        <v>49</v>
      </c>
      <c r="B293" s="511"/>
      <c r="C293" s="22"/>
      <c r="D293" s="22"/>
      <c r="E293" s="25"/>
      <c r="F293" s="206"/>
      <c r="G293" s="25"/>
      <c r="H293" s="26"/>
    </row>
    <row r="294" spans="1:8" x14ac:dyDescent="0.25">
      <c r="A294" s="503" t="s">
        <v>50</v>
      </c>
      <c r="B294" s="504"/>
      <c r="C294" s="43" t="s">
        <v>73</v>
      </c>
      <c r="D294" s="27" t="s">
        <v>52</v>
      </c>
      <c r="E294" s="125" t="s">
        <v>34</v>
      </c>
      <c r="F294" s="203" t="s">
        <v>35</v>
      </c>
      <c r="G294" s="39" t="s">
        <v>36</v>
      </c>
      <c r="H294" s="505"/>
    </row>
    <row r="295" spans="1:8" x14ac:dyDescent="0.25">
      <c r="A295" s="593" t="s">
        <v>74</v>
      </c>
      <c r="B295" s="594"/>
      <c r="C295" s="44" t="s">
        <v>68</v>
      </c>
      <c r="D295" s="44" t="s">
        <v>76</v>
      </c>
      <c r="E295" s="72">
        <f>E256</f>
        <v>0</v>
      </c>
      <c r="F295" s="217">
        <v>0.03</v>
      </c>
      <c r="G295" s="45">
        <f>F295*E295</f>
        <v>0</v>
      </c>
      <c r="H295" s="506"/>
    </row>
    <row r="296" spans="1:8" x14ac:dyDescent="0.25">
      <c r="A296" s="569"/>
      <c r="B296" s="570"/>
      <c r="C296" s="44"/>
      <c r="D296" s="44"/>
      <c r="E296" s="72"/>
      <c r="F296" s="217"/>
      <c r="G296" s="45"/>
      <c r="H296" s="506"/>
    </row>
    <row r="297" spans="1:8" ht="15.75" thickBot="1" x14ac:dyDescent="0.3">
      <c r="A297" s="513"/>
      <c r="B297" s="514"/>
      <c r="C297" s="34"/>
      <c r="D297" s="34"/>
      <c r="E297" s="127"/>
      <c r="F297" s="205"/>
      <c r="G297" s="41"/>
      <c r="H297" s="512"/>
    </row>
    <row r="298" spans="1:8" ht="15.75" thickBot="1" x14ac:dyDescent="0.3">
      <c r="A298" s="36"/>
      <c r="B298" s="22"/>
      <c r="C298" s="22"/>
      <c r="D298" s="22"/>
      <c r="E298" s="25"/>
      <c r="F298" s="206"/>
      <c r="G298" s="25" t="s">
        <v>39</v>
      </c>
      <c r="H298" s="42">
        <f>SUM(G295:G297)</f>
        <v>0</v>
      </c>
    </row>
    <row r="299" spans="1:8" ht="15.75" thickBot="1" x14ac:dyDescent="0.3">
      <c r="A299" s="501" t="s">
        <v>53</v>
      </c>
      <c r="B299" s="502"/>
      <c r="C299" s="22"/>
      <c r="D299" s="22"/>
      <c r="E299" s="25"/>
      <c r="F299" s="206"/>
      <c r="G299" s="25"/>
      <c r="H299" s="26"/>
    </row>
    <row r="300" spans="1:8" ht="30" customHeight="1" x14ac:dyDescent="0.25">
      <c r="A300" s="621" t="s">
        <v>213</v>
      </c>
      <c r="B300" s="622"/>
      <c r="C300" s="43" t="s">
        <v>56</v>
      </c>
      <c r="D300" s="27" t="s">
        <v>57</v>
      </c>
      <c r="E300" s="128" t="s">
        <v>58</v>
      </c>
      <c r="F300" s="203" t="s">
        <v>59</v>
      </c>
      <c r="G300" s="39" t="s">
        <v>36</v>
      </c>
      <c r="H300" s="517"/>
    </row>
    <row r="301" spans="1:8" x14ac:dyDescent="0.25">
      <c r="A301" s="612" t="str">
        <f>'CUADRILLAS DE OBRA'!B25</f>
        <v>CUADRILLA 2</v>
      </c>
      <c r="B301" s="613"/>
      <c r="C301" s="123">
        <f>'CUADRILLAS DE OBRA'!E29</f>
        <v>20820</v>
      </c>
      <c r="D301" s="200">
        <f>PRESTACIONES!E28</f>
        <v>0.8952</v>
      </c>
      <c r="E301" s="72">
        <f>'CUADRILLAS DE OBRA'!G29</f>
        <v>39458</v>
      </c>
      <c r="F301" s="218">
        <v>0.4</v>
      </c>
      <c r="G301" s="45">
        <f>E301*F301</f>
        <v>15783.2</v>
      </c>
      <c r="H301" s="518"/>
    </row>
    <row r="302" spans="1:8" x14ac:dyDescent="0.25">
      <c r="A302" s="47"/>
      <c r="B302" s="48"/>
      <c r="C302" s="44"/>
      <c r="D302" s="48"/>
      <c r="E302" s="72"/>
      <c r="F302" s="218"/>
      <c r="G302" s="45"/>
      <c r="H302" s="518"/>
    </row>
    <row r="303" spans="1:8" ht="15.75" thickBot="1" x14ac:dyDescent="0.3">
      <c r="A303" s="50"/>
      <c r="B303" s="34"/>
      <c r="C303" s="34"/>
      <c r="D303" s="34"/>
      <c r="E303" s="127"/>
      <c r="F303" s="205"/>
      <c r="G303" s="41"/>
      <c r="H303" s="519"/>
    </row>
    <row r="304" spans="1:8" ht="15.75" thickBot="1" x14ac:dyDescent="0.3">
      <c r="A304" s="36"/>
      <c r="B304" s="22"/>
      <c r="C304" s="22"/>
      <c r="D304" s="22"/>
      <c r="E304" s="25"/>
      <c r="F304" s="206"/>
      <c r="G304" s="25" t="s">
        <v>39</v>
      </c>
      <c r="H304" s="42">
        <f>SUM(G301:G303)</f>
        <v>15783.2</v>
      </c>
    </row>
    <row r="305" spans="1:9" ht="15.75" thickBot="1" x14ac:dyDescent="0.3">
      <c r="A305" s="501" t="s">
        <v>61</v>
      </c>
      <c r="B305" s="502"/>
      <c r="C305" s="22"/>
      <c r="D305" s="22"/>
      <c r="E305" s="25"/>
      <c r="F305" s="206"/>
      <c r="G305" s="25"/>
      <c r="H305" s="26"/>
    </row>
    <row r="306" spans="1:9" x14ac:dyDescent="0.25">
      <c r="A306" s="521" t="s">
        <v>32</v>
      </c>
      <c r="B306" s="522"/>
      <c r="C306" s="522"/>
      <c r="D306" s="522"/>
      <c r="E306" s="523"/>
      <c r="F306" s="51" t="s">
        <v>62</v>
      </c>
      <c r="G306" s="52" t="s">
        <v>63</v>
      </c>
      <c r="H306" s="524"/>
    </row>
    <row r="307" spans="1:9" x14ac:dyDescent="0.25">
      <c r="A307" s="487" t="s">
        <v>24</v>
      </c>
      <c r="B307" s="488"/>
      <c r="C307" s="488"/>
      <c r="D307" s="488"/>
      <c r="E307" s="489"/>
      <c r="F307" s="53">
        <v>0</v>
      </c>
      <c r="G307" s="54">
        <f>ROUND((H304+H298+H292+H285)*F307,0)</f>
        <v>0</v>
      </c>
      <c r="H307" s="525"/>
    </row>
    <row r="308" spans="1:9" x14ac:dyDescent="0.25">
      <c r="A308" s="487" t="s">
        <v>25</v>
      </c>
      <c r="B308" s="488"/>
      <c r="C308" s="488"/>
      <c r="D308" s="488"/>
      <c r="E308" s="489"/>
      <c r="F308" s="53">
        <v>0</v>
      </c>
      <c r="G308" s="54">
        <f>ROUND((H285+H292+H298+H304)*F308,0)</f>
        <v>0</v>
      </c>
      <c r="H308" s="525"/>
    </row>
    <row r="309" spans="1:9" ht="15.75" thickBot="1" x14ac:dyDescent="0.3">
      <c r="A309" s="483" t="s">
        <v>64</v>
      </c>
      <c r="B309" s="484"/>
      <c r="C309" s="484"/>
      <c r="D309" s="484"/>
      <c r="E309" s="485"/>
      <c r="F309" s="55">
        <v>0</v>
      </c>
      <c r="G309" s="56">
        <f>ROUND((H285+H292+H298+H304)*F309,0)</f>
        <v>0</v>
      </c>
      <c r="H309" s="526"/>
    </row>
    <row r="310" spans="1:9" ht="15.75" thickBot="1" x14ac:dyDescent="0.3">
      <c r="A310" s="490" t="s">
        <v>39</v>
      </c>
      <c r="B310" s="576"/>
      <c r="C310" s="576"/>
      <c r="D310" s="576"/>
      <c r="E310" s="576"/>
      <c r="F310" s="576"/>
      <c r="G310" s="576"/>
      <c r="H310" s="37"/>
    </row>
    <row r="311" spans="1:9" ht="15.75" thickBot="1" x14ac:dyDescent="0.3">
      <c r="A311" s="492"/>
      <c r="B311" s="564"/>
      <c r="C311" s="564"/>
      <c r="D311" s="564"/>
      <c r="E311" s="564"/>
      <c r="F311" s="564"/>
      <c r="G311" s="564"/>
      <c r="H311" s="494"/>
    </row>
    <row r="312" spans="1:9" ht="15.75" thickBot="1" x14ac:dyDescent="0.3">
      <c r="A312" s="565"/>
      <c r="B312" s="566"/>
      <c r="C312" s="566"/>
      <c r="D312" s="567"/>
      <c r="E312" s="623" t="s">
        <v>65</v>
      </c>
      <c r="F312" s="624"/>
      <c r="G312" s="625"/>
      <c r="H312" s="73">
        <f>ROUND(SUM(H281:H304),0)</f>
        <v>53835</v>
      </c>
      <c r="I312" s="201" t="s">
        <v>214</v>
      </c>
    </row>
    <row r="313" spans="1:9" x14ac:dyDescent="0.25">
      <c r="A313" s="461" t="s">
        <v>66</v>
      </c>
      <c r="B313" s="461"/>
      <c r="C313" s="70"/>
      <c r="D313" s="70"/>
      <c r="E313" s="90"/>
      <c r="F313" s="213"/>
      <c r="G313" s="90"/>
      <c r="H313" s="90"/>
    </row>
    <row r="314" spans="1:9" x14ac:dyDescent="0.25">
      <c r="A314" s="460" t="s">
        <v>320</v>
      </c>
      <c r="B314" s="460"/>
      <c r="C314" s="70"/>
      <c r="D314" s="70"/>
      <c r="E314" s="90"/>
      <c r="F314" s="213"/>
      <c r="G314" s="90"/>
      <c r="H314" s="90"/>
    </row>
    <row r="315" spans="1:9" ht="15.75" thickBot="1" x14ac:dyDescent="0.3">
      <c r="A315" s="253"/>
      <c r="B315" s="253"/>
      <c r="C315" s="70"/>
      <c r="D315" s="70"/>
      <c r="E315" s="90"/>
      <c r="F315" s="213"/>
      <c r="G315" s="90"/>
      <c r="H315" s="90"/>
    </row>
    <row r="316" spans="1:9" ht="15.75" thickBot="1" x14ac:dyDescent="0.3">
      <c r="A316" s="63" t="s">
        <v>28</v>
      </c>
      <c r="B316" s="527" t="str">
        <f>PRESUPUESTO!B16</f>
        <v>Bases en concreto para instalaciòn de juegos en llanta, Diametro=1,5m, E= 15 cm; 3000PSI -21MP</v>
      </c>
      <c r="C316" s="528"/>
      <c r="D316" s="528"/>
      <c r="E316" s="528"/>
      <c r="F316" s="529"/>
      <c r="G316" s="64" t="s">
        <v>29</v>
      </c>
      <c r="H316" s="65" t="str">
        <f>PRESUPUESTO!C16</f>
        <v>und</v>
      </c>
    </row>
    <row r="317" spans="1:9" ht="15.75" thickBot="1" x14ac:dyDescent="0.3">
      <c r="A317" s="84" t="str">
        <f>CANTIDADES!A29</f>
        <v>3.3</v>
      </c>
      <c r="B317" s="530"/>
      <c r="C317" s="531"/>
      <c r="D317" s="531"/>
      <c r="E317" s="531"/>
      <c r="F317" s="532"/>
      <c r="G317" s="67" t="s">
        <v>30</v>
      </c>
      <c r="H317" s="68"/>
    </row>
    <row r="318" spans="1:9" ht="15.75" thickBot="1" x14ac:dyDescent="0.3">
      <c r="A318" s="20"/>
      <c r="B318" s="21"/>
      <c r="C318" s="21"/>
      <c r="D318" s="21"/>
      <c r="E318" s="23"/>
      <c r="F318" s="257"/>
      <c r="G318" s="23"/>
      <c r="H318" s="24"/>
    </row>
    <row r="319" spans="1:9" ht="15.75" thickBot="1" x14ac:dyDescent="0.3">
      <c r="A319" s="510" t="s">
        <v>31</v>
      </c>
      <c r="B319" s="511"/>
      <c r="C319" s="22"/>
      <c r="D319" s="22"/>
      <c r="E319" s="25"/>
      <c r="F319" s="257"/>
      <c r="G319" s="25"/>
      <c r="H319" s="26"/>
    </row>
    <row r="320" spans="1:9" x14ac:dyDescent="0.25">
      <c r="A320" s="503" t="s">
        <v>32</v>
      </c>
      <c r="B320" s="504"/>
      <c r="C320" s="254" t="s">
        <v>69</v>
      </c>
      <c r="D320" s="254" t="s">
        <v>52</v>
      </c>
      <c r="E320" s="125" t="s">
        <v>34</v>
      </c>
      <c r="F320" s="254" t="s">
        <v>35</v>
      </c>
      <c r="G320" s="28" t="s">
        <v>36</v>
      </c>
      <c r="H320" s="582"/>
    </row>
    <row r="321" spans="1:8" x14ac:dyDescent="0.25">
      <c r="A321" s="559" t="s">
        <v>70</v>
      </c>
      <c r="B321" s="560"/>
      <c r="C321" s="255" t="s">
        <v>38</v>
      </c>
      <c r="D321" s="255" t="s">
        <v>77</v>
      </c>
      <c r="E321" s="126"/>
      <c r="F321" s="255"/>
      <c r="G321" s="31">
        <f>ROUND( H342 * (0.05),0)</f>
        <v>2260</v>
      </c>
      <c r="H321" s="583"/>
    </row>
    <row r="322" spans="1:8" x14ac:dyDescent="0.25">
      <c r="A322" s="559"/>
      <c r="B322" s="560"/>
      <c r="C322" s="255"/>
      <c r="D322" s="255"/>
      <c r="E322" s="126"/>
      <c r="F322" s="255"/>
      <c r="G322" s="31"/>
      <c r="H322" s="583"/>
    </row>
    <row r="323" spans="1:8" ht="15.75" thickBot="1" x14ac:dyDescent="0.3">
      <c r="A323" s="513"/>
      <c r="B323" s="514"/>
      <c r="C323" s="256"/>
      <c r="D323" s="256"/>
      <c r="E323" s="127"/>
      <c r="F323" s="256"/>
      <c r="G323" s="35"/>
      <c r="H323" s="584"/>
    </row>
    <row r="324" spans="1:8" ht="15.75" thickBot="1" x14ac:dyDescent="0.3">
      <c r="A324" s="36"/>
      <c r="B324" s="22"/>
      <c r="C324" s="22"/>
      <c r="D324" s="22"/>
      <c r="E324" s="25"/>
      <c r="F324" s="257"/>
      <c r="G324" s="25" t="s">
        <v>39</v>
      </c>
      <c r="H324" s="37">
        <f>SUM(G321:G323)</f>
        <v>2260</v>
      </c>
    </row>
    <row r="325" spans="1:8" ht="15.75" thickBot="1" x14ac:dyDescent="0.3">
      <c r="A325" s="501" t="s">
        <v>40</v>
      </c>
      <c r="B325" s="502"/>
      <c r="C325" s="22"/>
      <c r="D325" s="22"/>
      <c r="E325" s="25"/>
      <c r="F325" s="257"/>
      <c r="G325" s="25"/>
      <c r="H325" s="26"/>
    </row>
    <row r="326" spans="1:8" x14ac:dyDescent="0.25">
      <c r="A326" s="503" t="s">
        <v>32</v>
      </c>
      <c r="B326" s="504"/>
      <c r="C326" s="38" t="s">
        <v>41</v>
      </c>
      <c r="D326" s="254" t="s">
        <v>29</v>
      </c>
      <c r="E326" s="125" t="s">
        <v>42</v>
      </c>
      <c r="F326" s="254" t="s">
        <v>35</v>
      </c>
      <c r="G326" s="39" t="s">
        <v>36</v>
      </c>
      <c r="H326" s="505"/>
    </row>
    <row r="327" spans="1:8" ht="31.5" customHeight="1" x14ac:dyDescent="0.25">
      <c r="A327" s="577" t="str">
        <f>A288</f>
        <v>ITEM                : Concreto clase D (21 MPA)</v>
      </c>
      <c r="B327" s="572"/>
      <c r="C327" s="85"/>
      <c r="D327" s="255" t="s">
        <v>78</v>
      </c>
      <c r="E327" s="65">
        <f>E288</f>
        <v>443580</v>
      </c>
      <c r="F327" s="71">
        <f>ROUND(3.1416*0.56*0.15,2)</f>
        <v>0.26</v>
      </c>
      <c r="G327" s="102">
        <f>E327*F327</f>
        <v>115330.8</v>
      </c>
      <c r="H327" s="506"/>
    </row>
    <row r="328" spans="1:8" ht="15" customHeight="1" x14ac:dyDescent="0.25">
      <c r="A328" s="507" t="s">
        <v>286</v>
      </c>
      <c r="B328" s="486"/>
      <c r="C328" s="80"/>
      <c r="D328" s="81" t="s">
        <v>18</v>
      </c>
      <c r="E328" s="130">
        <v>2500</v>
      </c>
      <c r="F328" s="82">
        <v>1</v>
      </c>
      <c r="G328" s="102">
        <f t="shared" ref="G328" si="3">E328*F328</f>
        <v>2500</v>
      </c>
      <c r="H328" s="506"/>
    </row>
    <row r="329" spans="1:8" ht="15.75" thickBot="1" x14ac:dyDescent="0.3">
      <c r="A329" s="513"/>
      <c r="B329" s="514"/>
      <c r="C329" s="34"/>
      <c r="D329" s="256"/>
      <c r="E329" s="127"/>
      <c r="F329" s="256"/>
      <c r="G329" s="41"/>
      <c r="H329" s="512"/>
    </row>
    <row r="330" spans="1:8" ht="15.75" thickBot="1" x14ac:dyDescent="0.3">
      <c r="A330" s="36"/>
      <c r="B330" s="22"/>
      <c r="C330" s="22"/>
      <c r="D330" s="22"/>
      <c r="E330" s="25"/>
      <c r="F330" s="257"/>
      <c r="G330" s="25" t="s">
        <v>39</v>
      </c>
      <c r="H330" s="42">
        <f>SUM(G327:G328)</f>
        <v>117830.8</v>
      </c>
    </row>
    <row r="331" spans="1:8" ht="15.75" thickBot="1" x14ac:dyDescent="0.3">
      <c r="A331" s="510" t="s">
        <v>49</v>
      </c>
      <c r="B331" s="511"/>
      <c r="C331" s="22"/>
      <c r="D331" s="22"/>
      <c r="E331" s="25"/>
      <c r="F331" s="257"/>
      <c r="G331" s="25"/>
      <c r="H331" s="26"/>
    </row>
    <row r="332" spans="1:8" x14ac:dyDescent="0.25">
      <c r="A332" s="503" t="s">
        <v>50</v>
      </c>
      <c r="B332" s="504"/>
      <c r="C332" s="43" t="s">
        <v>73</v>
      </c>
      <c r="D332" s="254" t="s">
        <v>52</v>
      </c>
      <c r="E332" s="125" t="s">
        <v>34</v>
      </c>
      <c r="F332" s="254" t="s">
        <v>35</v>
      </c>
      <c r="G332" s="39" t="s">
        <v>36</v>
      </c>
      <c r="H332" s="505"/>
    </row>
    <row r="333" spans="1:8" x14ac:dyDescent="0.25">
      <c r="A333" s="593" t="s">
        <v>74</v>
      </c>
      <c r="B333" s="594"/>
      <c r="C333" s="44" t="s">
        <v>68</v>
      </c>
      <c r="D333" s="44" t="s">
        <v>76</v>
      </c>
      <c r="E333" s="72">
        <f>E295</f>
        <v>0</v>
      </c>
      <c r="F333" s="217">
        <v>0.03</v>
      </c>
      <c r="G333" s="45">
        <f>F333*E333</f>
        <v>0</v>
      </c>
      <c r="H333" s="506"/>
    </row>
    <row r="334" spans="1:8" x14ac:dyDescent="0.25">
      <c r="A334" s="569"/>
      <c r="B334" s="570"/>
      <c r="C334" s="44"/>
      <c r="D334" s="44"/>
      <c r="E334" s="72"/>
      <c r="F334" s="217"/>
      <c r="G334" s="45"/>
      <c r="H334" s="506"/>
    </row>
    <row r="335" spans="1:8" ht="15.75" thickBot="1" x14ac:dyDescent="0.3">
      <c r="A335" s="513"/>
      <c r="B335" s="514"/>
      <c r="C335" s="34"/>
      <c r="D335" s="34"/>
      <c r="E335" s="127"/>
      <c r="F335" s="256"/>
      <c r="G335" s="41"/>
      <c r="H335" s="512"/>
    </row>
    <row r="336" spans="1:8" ht="15.75" thickBot="1" x14ac:dyDescent="0.3">
      <c r="A336" s="36"/>
      <c r="B336" s="22"/>
      <c r="C336" s="22"/>
      <c r="D336" s="22"/>
      <c r="E336" s="25"/>
      <c r="F336" s="257"/>
      <c r="G336" s="25" t="s">
        <v>39</v>
      </c>
      <c r="H336" s="42">
        <f>SUM(G333:G335)</f>
        <v>0</v>
      </c>
    </row>
    <row r="337" spans="1:9" ht="15.75" thickBot="1" x14ac:dyDescent="0.3">
      <c r="A337" s="501" t="s">
        <v>53</v>
      </c>
      <c r="B337" s="502"/>
      <c r="C337" s="22"/>
      <c r="D337" s="22"/>
      <c r="E337" s="25"/>
      <c r="F337" s="257"/>
      <c r="G337" s="25"/>
      <c r="H337" s="26"/>
    </row>
    <row r="338" spans="1:9" x14ac:dyDescent="0.25">
      <c r="A338" s="621" t="s">
        <v>213</v>
      </c>
      <c r="B338" s="622"/>
      <c r="C338" s="43" t="s">
        <v>56</v>
      </c>
      <c r="D338" s="254" t="s">
        <v>57</v>
      </c>
      <c r="E338" s="128" t="s">
        <v>58</v>
      </c>
      <c r="F338" s="254" t="s">
        <v>59</v>
      </c>
      <c r="G338" s="39" t="s">
        <v>36</v>
      </c>
      <c r="H338" s="517"/>
    </row>
    <row r="339" spans="1:9" x14ac:dyDescent="0.25">
      <c r="A339" s="612" t="str">
        <f>'CUADRILLAS DE OBRA'!B25</f>
        <v>CUADRILLA 2</v>
      </c>
      <c r="B339" s="613"/>
      <c r="C339" s="123">
        <f>'CUADRILLAS DE OBRA'!E26</f>
        <v>13249</v>
      </c>
      <c r="D339" s="200">
        <f>PRESTACIONES!E28</f>
        <v>0.8952</v>
      </c>
      <c r="E339" s="72">
        <f>'CUADRILLAS DE OBRA'!G26</f>
        <v>25110</v>
      </c>
      <c r="F339" s="218">
        <v>1.8</v>
      </c>
      <c r="G339" s="45">
        <f>E339*F339</f>
        <v>45198</v>
      </c>
      <c r="H339" s="518"/>
    </row>
    <row r="340" spans="1:9" x14ac:dyDescent="0.25">
      <c r="A340" s="47"/>
      <c r="B340" s="48"/>
      <c r="C340" s="44"/>
      <c r="D340" s="48"/>
      <c r="E340" s="72"/>
      <c r="F340" s="218"/>
      <c r="G340" s="45"/>
      <c r="H340" s="518"/>
    </row>
    <row r="341" spans="1:9" ht="15.75" thickBot="1" x14ac:dyDescent="0.3">
      <c r="A341" s="50"/>
      <c r="B341" s="34"/>
      <c r="C341" s="34"/>
      <c r="D341" s="34"/>
      <c r="E341" s="127"/>
      <c r="F341" s="256"/>
      <c r="G341" s="41"/>
      <c r="H341" s="519"/>
    </row>
    <row r="342" spans="1:9" ht="15.75" thickBot="1" x14ac:dyDescent="0.3">
      <c r="A342" s="36"/>
      <c r="B342" s="22"/>
      <c r="C342" s="22"/>
      <c r="D342" s="22"/>
      <c r="E342" s="25"/>
      <c r="F342" s="257"/>
      <c r="G342" s="25" t="s">
        <v>39</v>
      </c>
      <c r="H342" s="42">
        <f>SUM(G339:G341)</f>
        <v>45198</v>
      </c>
    </row>
    <row r="343" spans="1:9" ht="15.75" thickBot="1" x14ac:dyDescent="0.3">
      <c r="A343" s="501" t="s">
        <v>61</v>
      </c>
      <c r="B343" s="502"/>
      <c r="C343" s="22"/>
      <c r="D343" s="22"/>
      <c r="E343" s="25"/>
      <c r="F343" s="257"/>
      <c r="G343" s="25"/>
      <c r="H343" s="26"/>
    </row>
    <row r="344" spans="1:9" x14ac:dyDescent="0.25">
      <c r="A344" s="521" t="s">
        <v>32</v>
      </c>
      <c r="B344" s="522"/>
      <c r="C344" s="522"/>
      <c r="D344" s="522"/>
      <c r="E344" s="523"/>
      <c r="F344" s="51" t="s">
        <v>62</v>
      </c>
      <c r="G344" s="52" t="s">
        <v>63</v>
      </c>
      <c r="H344" s="524"/>
    </row>
    <row r="345" spans="1:9" x14ac:dyDescent="0.25">
      <c r="A345" s="487" t="s">
        <v>24</v>
      </c>
      <c r="B345" s="488"/>
      <c r="C345" s="488"/>
      <c r="D345" s="488"/>
      <c r="E345" s="489"/>
      <c r="F345" s="53">
        <v>0</v>
      </c>
      <c r="G345" s="54">
        <f>ROUND((H342+H336+H330+H324)*F345,0)</f>
        <v>0</v>
      </c>
      <c r="H345" s="525"/>
    </row>
    <row r="346" spans="1:9" x14ac:dyDescent="0.25">
      <c r="A346" s="487" t="s">
        <v>25</v>
      </c>
      <c r="B346" s="488"/>
      <c r="C346" s="488"/>
      <c r="D346" s="488"/>
      <c r="E346" s="489"/>
      <c r="F346" s="53">
        <v>0</v>
      </c>
      <c r="G346" s="54">
        <f>ROUND((H324+H330+H336+H342)*F346,0)</f>
        <v>0</v>
      </c>
      <c r="H346" s="525"/>
    </row>
    <row r="347" spans="1:9" ht="15.75" thickBot="1" x14ac:dyDescent="0.3">
      <c r="A347" s="483" t="s">
        <v>64</v>
      </c>
      <c r="B347" s="484"/>
      <c r="C347" s="484"/>
      <c r="D347" s="484"/>
      <c r="E347" s="485"/>
      <c r="F347" s="55">
        <v>0</v>
      </c>
      <c r="G347" s="56">
        <f>ROUND((H324+H330+H336+H342)*F347,0)</f>
        <v>0</v>
      </c>
      <c r="H347" s="526"/>
    </row>
    <row r="348" spans="1:9" ht="15.75" thickBot="1" x14ac:dyDescent="0.3">
      <c r="A348" s="490" t="s">
        <v>39</v>
      </c>
      <c r="B348" s="576"/>
      <c r="C348" s="576"/>
      <c r="D348" s="576"/>
      <c r="E348" s="576"/>
      <c r="F348" s="576"/>
      <c r="G348" s="576"/>
      <c r="H348" s="37"/>
    </row>
    <row r="349" spans="1:9" ht="15.75" thickBot="1" x14ac:dyDescent="0.3">
      <c r="A349" s="492"/>
      <c r="B349" s="564"/>
      <c r="C349" s="564"/>
      <c r="D349" s="564"/>
      <c r="E349" s="564"/>
      <c r="F349" s="564"/>
      <c r="G349" s="564"/>
      <c r="H349" s="494"/>
    </row>
    <row r="350" spans="1:9" ht="15.75" thickBot="1" x14ac:dyDescent="0.3">
      <c r="A350" s="565"/>
      <c r="B350" s="566"/>
      <c r="C350" s="566"/>
      <c r="D350" s="567"/>
      <c r="E350" s="623" t="s">
        <v>65</v>
      </c>
      <c r="F350" s="624"/>
      <c r="G350" s="625"/>
      <c r="H350" s="73">
        <f>ROUND(SUM(H320:H342),0)</f>
        <v>165289</v>
      </c>
      <c r="I350" s="285" t="s">
        <v>214</v>
      </c>
    </row>
    <row r="351" spans="1:9" x14ac:dyDescent="0.25">
      <c r="A351" s="461" t="s">
        <v>66</v>
      </c>
      <c r="B351" s="461"/>
      <c r="C351" s="70"/>
      <c r="D351" s="70"/>
      <c r="E351" s="90"/>
      <c r="F351" s="213"/>
      <c r="G351" s="90"/>
      <c r="H351" s="90"/>
    </row>
    <row r="352" spans="1:9" x14ac:dyDescent="0.25">
      <c r="A352" s="460" t="s">
        <v>320</v>
      </c>
      <c r="B352" s="460"/>
      <c r="C352" s="70"/>
      <c r="D352" s="70"/>
      <c r="E352" s="90"/>
      <c r="F352" s="213"/>
      <c r="G352" s="90"/>
      <c r="H352" s="90"/>
    </row>
    <row r="353" spans="1:8" ht="15.75" thickBot="1" x14ac:dyDescent="0.3"/>
    <row r="354" spans="1:8" ht="15.75" thickBot="1" x14ac:dyDescent="0.3">
      <c r="A354" s="63" t="s">
        <v>28</v>
      </c>
      <c r="B354" s="527" t="str">
        <f>PRESUPUESTO!B17</f>
        <v>Bases en concreto para instalaciòn de juegos infantiles   45 cm x 45 cm x 45 cm, 3000PSI -21MP</v>
      </c>
      <c r="C354" s="528"/>
      <c r="D354" s="528"/>
      <c r="E354" s="528"/>
      <c r="F354" s="529"/>
      <c r="G354" s="64" t="s">
        <v>29</v>
      </c>
      <c r="H354" s="88" t="str">
        <f>PRESUPUESTO!C17</f>
        <v>und</v>
      </c>
    </row>
    <row r="355" spans="1:8" ht="15.75" thickBot="1" x14ac:dyDescent="0.3">
      <c r="A355" s="84" t="str">
        <f>PRESUPUESTO!A17</f>
        <v>3.4</v>
      </c>
      <c r="B355" s="530"/>
      <c r="C355" s="531"/>
      <c r="D355" s="531"/>
      <c r="E355" s="531"/>
      <c r="F355" s="532"/>
      <c r="G355" s="67" t="s">
        <v>30</v>
      </c>
      <c r="H355" s="68"/>
    </row>
    <row r="356" spans="1:8" ht="15.75" thickBot="1" x14ac:dyDescent="0.3">
      <c r="A356" s="20"/>
      <c r="B356" s="21"/>
      <c r="C356" s="21"/>
      <c r="D356" s="21"/>
      <c r="E356" s="23"/>
      <c r="F356" s="206"/>
      <c r="G356" s="23"/>
      <c r="H356" s="24"/>
    </row>
    <row r="357" spans="1:8" ht="15.75" thickBot="1" x14ac:dyDescent="0.3">
      <c r="A357" s="510" t="s">
        <v>31</v>
      </c>
      <c r="B357" s="511"/>
      <c r="C357" s="22"/>
      <c r="D357" s="22"/>
      <c r="E357" s="25"/>
      <c r="F357" s="206"/>
      <c r="G357" s="25"/>
      <c r="H357" s="26"/>
    </row>
    <row r="358" spans="1:8" x14ac:dyDescent="0.25">
      <c r="A358" s="503" t="s">
        <v>32</v>
      </c>
      <c r="B358" s="504"/>
      <c r="C358" s="27" t="s">
        <v>69</v>
      </c>
      <c r="D358" s="27" t="s">
        <v>52</v>
      </c>
      <c r="E358" s="125" t="s">
        <v>34</v>
      </c>
      <c r="F358" s="203" t="s">
        <v>35</v>
      </c>
      <c r="G358" s="28" t="s">
        <v>36</v>
      </c>
      <c r="H358" s="582"/>
    </row>
    <row r="359" spans="1:8" x14ac:dyDescent="0.25">
      <c r="A359" s="559" t="s">
        <v>70</v>
      </c>
      <c r="B359" s="560"/>
      <c r="C359" s="29" t="s">
        <v>38</v>
      </c>
      <c r="D359" s="29" t="s">
        <v>77</v>
      </c>
      <c r="E359" s="126"/>
      <c r="F359" s="204"/>
      <c r="G359" s="31">
        <f xml:space="preserve"> H383 * (0.05)</f>
        <v>1004.4000000000001</v>
      </c>
      <c r="H359" s="583"/>
    </row>
    <row r="360" spans="1:8" x14ac:dyDescent="0.25">
      <c r="A360" s="508"/>
      <c r="B360" s="509"/>
      <c r="C360" s="29"/>
      <c r="D360" s="29"/>
      <c r="E360" s="126"/>
      <c r="F360" s="204"/>
      <c r="G360" s="31"/>
      <c r="H360" s="583"/>
    </row>
    <row r="361" spans="1:8" x14ac:dyDescent="0.25">
      <c r="A361" s="559"/>
      <c r="B361" s="560"/>
      <c r="C361" s="29"/>
      <c r="D361" s="29"/>
      <c r="E361" s="126"/>
      <c r="F361" s="204"/>
      <c r="G361" s="31"/>
      <c r="H361" s="583"/>
    </row>
    <row r="362" spans="1:8" ht="15.75" thickBot="1" x14ac:dyDescent="0.3">
      <c r="A362" s="513"/>
      <c r="B362" s="514"/>
      <c r="C362" s="33"/>
      <c r="D362" s="33"/>
      <c r="E362" s="127"/>
      <c r="F362" s="205"/>
      <c r="G362" s="35"/>
      <c r="H362" s="584"/>
    </row>
    <row r="363" spans="1:8" ht="15.75" thickBot="1" x14ac:dyDescent="0.3">
      <c r="A363" s="36"/>
      <c r="B363" s="22"/>
      <c r="C363" s="22"/>
      <c r="D363" s="22"/>
      <c r="E363" s="25"/>
      <c r="F363" s="206"/>
      <c r="G363" s="25" t="s">
        <v>39</v>
      </c>
      <c r="H363" s="37">
        <f>SUM(G359:G362)</f>
        <v>1004.4000000000001</v>
      </c>
    </row>
    <row r="364" spans="1:8" ht="15.75" thickBot="1" x14ac:dyDescent="0.3">
      <c r="A364" s="501" t="s">
        <v>40</v>
      </c>
      <c r="B364" s="502"/>
      <c r="C364" s="22"/>
      <c r="D364" s="22"/>
      <c r="E364" s="25"/>
      <c r="F364" s="206"/>
      <c r="G364" s="25"/>
      <c r="H364" s="26"/>
    </row>
    <row r="365" spans="1:8" x14ac:dyDescent="0.25">
      <c r="A365" s="503" t="s">
        <v>32</v>
      </c>
      <c r="B365" s="504"/>
      <c r="C365" s="38" t="s">
        <v>41</v>
      </c>
      <c r="D365" s="27" t="s">
        <v>29</v>
      </c>
      <c r="E365" s="125" t="s">
        <v>42</v>
      </c>
      <c r="F365" s="203" t="s">
        <v>35</v>
      </c>
      <c r="G365" s="39" t="s">
        <v>36</v>
      </c>
      <c r="H365" s="505"/>
    </row>
    <row r="366" spans="1:8" x14ac:dyDescent="0.25">
      <c r="A366" s="559" t="s">
        <v>81</v>
      </c>
      <c r="B366" s="560"/>
      <c r="C366" s="78"/>
      <c r="D366" s="71" t="s">
        <v>79</v>
      </c>
      <c r="E366" s="129">
        <v>2700</v>
      </c>
      <c r="F366" s="71">
        <v>0.05</v>
      </c>
      <c r="G366" s="102">
        <f>E366*F366</f>
        <v>135</v>
      </c>
      <c r="H366" s="506"/>
    </row>
    <row r="367" spans="1:8" ht="27.75" customHeight="1" x14ac:dyDescent="0.25">
      <c r="A367" s="507" t="str">
        <f>A288</f>
        <v>ITEM                : Concreto clase D (21 MPA)</v>
      </c>
      <c r="B367" s="486"/>
      <c r="C367" s="79"/>
      <c r="D367" s="29" t="s">
        <v>78</v>
      </c>
      <c r="E367" s="65">
        <f>E288</f>
        <v>443580</v>
      </c>
      <c r="F367" s="71">
        <f>ROUND(0.45*0.45*0.45,2)</f>
        <v>0.09</v>
      </c>
      <c r="G367" s="45">
        <f>(F367*E367)+(E367*F367*C367)</f>
        <v>39922.199999999997</v>
      </c>
      <c r="H367" s="506"/>
    </row>
    <row r="368" spans="1:8" x14ac:dyDescent="0.25">
      <c r="A368" s="507" t="s">
        <v>82</v>
      </c>
      <c r="B368" s="486"/>
      <c r="C368" s="80"/>
      <c r="D368" s="81" t="s">
        <v>18</v>
      </c>
      <c r="E368" s="130">
        <v>2600</v>
      </c>
      <c r="F368" s="82">
        <f>1/3</f>
        <v>0.33333333333333331</v>
      </c>
      <c r="G368" s="102">
        <f t="shared" ref="G368" si="4">E368*F368</f>
        <v>866.66666666666663</v>
      </c>
      <c r="H368" s="506"/>
    </row>
    <row r="369" spans="1:8" x14ac:dyDescent="0.25">
      <c r="A369" s="559"/>
      <c r="B369" s="560"/>
      <c r="C369" s="80"/>
      <c r="D369" s="81"/>
      <c r="E369" s="131"/>
      <c r="F369" s="82"/>
      <c r="G369" s="136"/>
      <c r="H369" s="506"/>
    </row>
    <row r="370" spans="1:8" ht="15.75" thickBot="1" x14ac:dyDescent="0.3">
      <c r="A370" s="513"/>
      <c r="B370" s="514"/>
      <c r="C370" s="34"/>
      <c r="D370" s="33"/>
      <c r="E370" s="127"/>
      <c r="F370" s="205"/>
      <c r="G370" s="41"/>
      <c r="H370" s="512"/>
    </row>
    <row r="371" spans="1:8" ht="15.75" thickBot="1" x14ac:dyDescent="0.3">
      <c r="A371" s="36"/>
      <c r="B371" s="22"/>
      <c r="C371" s="22"/>
      <c r="D371" s="22"/>
      <c r="E371" s="25"/>
      <c r="F371" s="206"/>
      <c r="G371" s="25" t="s">
        <v>39</v>
      </c>
      <c r="H371" s="42">
        <f>G366+G367+G368</f>
        <v>40923.866666666661</v>
      </c>
    </row>
    <row r="372" spans="1:8" ht="15.75" thickBot="1" x14ac:dyDescent="0.3">
      <c r="A372" s="510" t="s">
        <v>49</v>
      </c>
      <c r="B372" s="511"/>
      <c r="C372" s="22"/>
      <c r="D372" s="22"/>
      <c r="E372" s="25"/>
      <c r="F372" s="206"/>
      <c r="G372" s="25"/>
      <c r="H372" s="26"/>
    </row>
    <row r="373" spans="1:8" x14ac:dyDescent="0.25">
      <c r="A373" s="503" t="s">
        <v>50</v>
      </c>
      <c r="B373" s="504"/>
      <c r="C373" s="43" t="s">
        <v>73</v>
      </c>
      <c r="D373" s="27" t="s">
        <v>52</v>
      </c>
      <c r="E373" s="125" t="s">
        <v>34</v>
      </c>
      <c r="F373" s="203" t="s">
        <v>35</v>
      </c>
      <c r="G373" s="39" t="s">
        <v>36</v>
      </c>
      <c r="H373" s="505"/>
    </row>
    <row r="374" spans="1:8" x14ac:dyDescent="0.25">
      <c r="A374" s="593" t="s">
        <v>74</v>
      </c>
      <c r="B374" s="594"/>
      <c r="C374" s="44" t="s">
        <v>68</v>
      </c>
      <c r="D374" s="44" t="s">
        <v>76</v>
      </c>
      <c r="E374" s="72">
        <v>50000</v>
      </c>
      <c r="F374" s="217">
        <v>0</v>
      </c>
      <c r="G374" s="45">
        <f>F374*E374</f>
        <v>0</v>
      </c>
      <c r="H374" s="506"/>
    </row>
    <row r="375" spans="1:8" x14ac:dyDescent="0.25">
      <c r="A375" s="569"/>
      <c r="B375" s="570"/>
      <c r="C375" s="44"/>
      <c r="D375" s="44"/>
      <c r="E375" s="72"/>
      <c r="F375" s="217"/>
      <c r="G375" s="45"/>
      <c r="H375" s="506"/>
    </row>
    <row r="376" spans="1:8" ht="15.75" thickBot="1" x14ac:dyDescent="0.3">
      <c r="A376" s="513"/>
      <c r="B376" s="514"/>
      <c r="C376" s="34"/>
      <c r="D376" s="34"/>
      <c r="E376" s="127"/>
      <c r="F376" s="205"/>
      <c r="G376" s="41"/>
      <c r="H376" s="512"/>
    </row>
    <row r="377" spans="1:8" ht="15.75" thickBot="1" x14ac:dyDescent="0.3">
      <c r="A377" s="36"/>
      <c r="B377" s="22"/>
      <c r="C377" s="22"/>
      <c r="D377" s="22"/>
      <c r="E377" s="25"/>
      <c r="F377" s="206"/>
      <c r="G377" s="25" t="s">
        <v>39</v>
      </c>
      <c r="H377" s="42">
        <f>SUM(G374:G376)</f>
        <v>0</v>
      </c>
    </row>
    <row r="378" spans="1:8" ht="15.75" thickBot="1" x14ac:dyDescent="0.3">
      <c r="A378" s="501" t="s">
        <v>53</v>
      </c>
      <c r="B378" s="502"/>
      <c r="C378" s="22"/>
      <c r="D378" s="22"/>
      <c r="E378" s="25"/>
      <c r="F378" s="206"/>
      <c r="G378" s="25"/>
      <c r="H378" s="26"/>
    </row>
    <row r="379" spans="1:8" ht="28.5" customHeight="1" x14ac:dyDescent="0.25">
      <c r="A379" s="621" t="s">
        <v>213</v>
      </c>
      <c r="B379" s="622"/>
      <c r="C379" s="43" t="s">
        <v>56</v>
      </c>
      <c r="D379" s="27" t="s">
        <v>57</v>
      </c>
      <c r="E379" s="128" t="s">
        <v>58</v>
      </c>
      <c r="F379" s="203" t="s">
        <v>59</v>
      </c>
      <c r="G379" s="39" t="s">
        <v>36</v>
      </c>
      <c r="H379" s="517"/>
    </row>
    <row r="380" spans="1:8" x14ac:dyDescent="0.25">
      <c r="A380" s="675" t="str">
        <f>'CUADRILLAS DE OBRA'!B25</f>
        <v>CUADRILLA 2</v>
      </c>
      <c r="B380" s="676"/>
      <c r="C380" s="123">
        <f>'CUADRILLAS DE OBRA'!E26</f>
        <v>13249</v>
      </c>
      <c r="D380" s="200">
        <f>PRESTACIONES!E28</f>
        <v>0.8952</v>
      </c>
      <c r="E380" s="72">
        <f>'CUADRILLAS DE OBRA'!G26</f>
        <v>25110</v>
      </c>
      <c r="F380" s="218">
        <v>0.8</v>
      </c>
      <c r="G380" s="45">
        <f>E380*F380</f>
        <v>20088</v>
      </c>
      <c r="H380" s="518"/>
    </row>
    <row r="381" spans="1:8" x14ac:dyDescent="0.25">
      <c r="A381" s="227"/>
      <c r="B381" s="226"/>
      <c r="C381" s="44"/>
      <c r="D381" s="48"/>
      <c r="E381" s="72"/>
      <c r="F381" s="218"/>
      <c r="G381" s="45"/>
      <c r="H381" s="518"/>
    </row>
    <row r="382" spans="1:8" ht="15.75" thickBot="1" x14ac:dyDescent="0.3">
      <c r="A382" s="50"/>
      <c r="B382" s="34"/>
      <c r="C382" s="34"/>
      <c r="D382" s="34"/>
      <c r="E382" s="127"/>
      <c r="F382" s="205"/>
      <c r="G382" s="41"/>
      <c r="H382" s="519"/>
    </row>
    <row r="383" spans="1:8" ht="15.75" thickBot="1" x14ac:dyDescent="0.3">
      <c r="A383" s="36"/>
      <c r="B383" s="22"/>
      <c r="C383" s="22"/>
      <c r="D383" s="22"/>
      <c r="E383" s="25"/>
      <c r="F383" s="206"/>
      <c r="G383" s="25" t="s">
        <v>39</v>
      </c>
      <c r="H383" s="42">
        <f>SUM(G380:G382)</f>
        <v>20088</v>
      </c>
    </row>
    <row r="384" spans="1:8" ht="15.75" thickBot="1" x14ac:dyDescent="0.3">
      <c r="A384" s="501" t="s">
        <v>61</v>
      </c>
      <c r="B384" s="502"/>
      <c r="C384" s="22"/>
      <c r="D384" s="22"/>
      <c r="E384" s="25"/>
      <c r="F384" s="206"/>
      <c r="G384" s="25"/>
      <c r="H384" s="26"/>
    </row>
    <row r="385" spans="1:9" x14ac:dyDescent="0.25">
      <c r="A385" s="521" t="s">
        <v>32</v>
      </c>
      <c r="B385" s="522"/>
      <c r="C385" s="522"/>
      <c r="D385" s="522"/>
      <c r="E385" s="523"/>
      <c r="F385" s="51" t="s">
        <v>62</v>
      </c>
      <c r="G385" s="52" t="s">
        <v>63</v>
      </c>
      <c r="H385" s="524"/>
    </row>
    <row r="386" spans="1:9" x14ac:dyDescent="0.25">
      <c r="A386" s="487" t="s">
        <v>24</v>
      </c>
      <c r="B386" s="488"/>
      <c r="C386" s="488"/>
      <c r="D386" s="488"/>
      <c r="E386" s="489"/>
      <c r="F386" s="53">
        <v>0</v>
      </c>
      <c r="G386" s="54">
        <f>ROUND((H383+H377+H371+H363)*F386,0)</f>
        <v>0</v>
      </c>
      <c r="H386" s="525"/>
    </row>
    <row r="387" spans="1:9" x14ac:dyDescent="0.25">
      <c r="A387" s="487" t="s">
        <v>25</v>
      </c>
      <c r="B387" s="488"/>
      <c r="C387" s="488"/>
      <c r="D387" s="488"/>
      <c r="E387" s="489"/>
      <c r="F387" s="53">
        <v>0</v>
      </c>
      <c r="G387" s="54">
        <f>ROUND((H363+H371+H377+H383)*F387,0)</f>
        <v>0</v>
      </c>
      <c r="H387" s="525"/>
    </row>
    <row r="388" spans="1:9" ht="15.75" thickBot="1" x14ac:dyDescent="0.3">
      <c r="A388" s="483" t="s">
        <v>64</v>
      </c>
      <c r="B388" s="484"/>
      <c r="C388" s="484"/>
      <c r="D388" s="484"/>
      <c r="E388" s="485"/>
      <c r="F388" s="55">
        <v>0</v>
      </c>
      <c r="G388" s="56">
        <f>ROUND((H363+H371+H377+H383)*F388,0)</f>
        <v>0</v>
      </c>
      <c r="H388" s="526"/>
    </row>
    <row r="389" spans="1:9" ht="15.75" thickBot="1" x14ac:dyDescent="0.3">
      <c r="A389" s="490" t="s">
        <v>39</v>
      </c>
      <c r="B389" s="576"/>
      <c r="C389" s="576"/>
      <c r="D389" s="576"/>
      <c r="E389" s="576"/>
      <c r="F389" s="576"/>
      <c r="G389" s="576"/>
      <c r="H389" s="37">
        <f>SUM(G386:G388)</f>
        <v>0</v>
      </c>
    </row>
    <row r="390" spans="1:9" ht="15.75" thickBot="1" x14ac:dyDescent="0.3">
      <c r="A390" s="492"/>
      <c r="B390" s="564"/>
      <c r="C390" s="564"/>
      <c r="D390" s="564"/>
      <c r="E390" s="564"/>
      <c r="F390" s="564"/>
      <c r="G390" s="564"/>
      <c r="H390" s="494"/>
    </row>
    <row r="391" spans="1:9" ht="15.75" thickBot="1" x14ac:dyDescent="0.3">
      <c r="A391" s="565"/>
      <c r="B391" s="566"/>
      <c r="C391" s="566"/>
      <c r="D391" s="567"/>
      <c r="E391" s="623" t="s">
        <v>65</v>
      </c>
      <c r="F391" s="624"/>
      <c r="G391" s="625"/>
      <c r="H391" s="89">
        <f>ROUND(SUM(H358:H389),0)</f>
        <v>62016</v>
      </c>
      <c r="I391" s="201" t="s">
        <v>214</v>
      </c>
    </row>
    <row r="392" spans="1:9" x14ac:dyDescent="0.25">
      <c r="A392" s="461" t="s">
        <v>66</v>
      </c>
      <c r="B392" s="461"/>
      <c r="C392" s="70"/>
      <c r="D392" s="70"/>
      <c r="E392" s="90"/>
      <c r="F392" s="213"/>
      <c r="G392" s="90"/>
      <c r="H392" s="90"/>
    </row>
    <row r="393" spans="1:9" x14ac:dyDescent="0.25">
      <c r="A393" s="460" t="s">
        <v>320</v>
      </c>
      <c r="B393" s="460"/>
      <c r="C393" s="70"/>
      <c r="D393" s="70"/>
      <c r="E393" s="90"/>
      <c r="F393" s="213"/>
      <c r="G393" s="90"/>
      <c r="H393" s="90"/>
    </row>
    <row r="394" spans="1:9" ht="15.75" thickBot="1" x14ac:dyDescent="0.3"/>
    <row r="395" spans="1:9" ht="15.75" customHeight="1" thickBot="1" x14ac:dyDescent="0.3">
      <c r="A395" s="91" t="s">
        <v>28</v>
      </c>
      <c r="B395" s="606" t="str">
        <f>PRESUPUESTO!B18</f>
        <v>Bases en concreto para instalaciòn de  bancas   E= 15cm,  .3000PSI -21MP</v>
      </c>
      <c r="C395" s="607"/>
      <c r="D395" s="607"/>
      <c r="E395" s="607"/>
      <c r="F395" s="608"/>
      <c r="G395" s="92" t="s">
        <v>29</v>
      </c>
      <c r="H395" s="65" t="str">
        <f>PRESUPUESTO!C18</f>
        <v>m2</v>
      </c>
      <c r="I395" s="229"/>
    </row>
    <row r="396" spans="1:9" ht="15.75" thickBot="1" x14ac:dyDescent="0.3">
      <c r="A396" s="93" t="str">
        <f>PRESUPUESTO!A18</f>
        <v>3.5</v>
      </c>
      <c r="B396" s="609"/>
      <c r="C396" s="610"/>
      <c r="D396" s="610"/>
      <c r="E396" s="610"/>
      <c r="F396" s="611"/>
      <c r="G396" s="94" t="s">
        <v>30</v>
      </c>
      <c r="H396" s="95"/>
    </row>
    <row r="397" spans="1:9" ht="15.75" thickBot="1" x14ac:dyDescent="0.3">
      <c r="A397" s="20"/>
      <c r="B397" s="21"/>
      <c r="C397" s="21"/>
      <c r="D397" s="21"/>
      <c r="E397" s="23"/>
      <c r="F397" s="206"/>
      <c r="G397" s="23"/>
      <c r="H397" s="24"/>
    </row>
    <row r="398" spans="1:9" ht="15.75" thickBot="1" x14ac:dyDescent="0.3">
      <c r="A398" s="600" t="s">
        <v>31</v>
      </c>
      <c r="B398" s="601"/>
      <c r="C398" s="22"/>
      <c r="D398" s="22"/>
      <c r="E398" s="25"/>
      <c r="F398" s="206"/>
      <c r="G398" s="25"/>
      <c r="H398" s="26"/>
    </row>
    <row r="399" spans="1:9" x14ac:dyDescent="0.25">
      <c r="A399" s="533" t="s">
        <v>32</v>
      </c>
      <c r="B399" s="534"/>
      <c r="C399" s="27" t="s">
        <v>69</v>
      </c>
      <c r="D399" s="27" t="s">
        <v>52</v>
      </c>
      <c r="E399" s="132" t="s">
        <v>34</v>
      </c>
      <c r="F399" s="96" t="s">
        <v>35</v>
      </c>
      <c r="G399" s="97" t="s">
        <v>36</v>
      </c>
      <c r="H399" s="614"/>
    </row>
    <row r="400" spans="1:9" x14ac:dyDescent="0.25">
      <c r="A400" s="508" t="s">
        <v>70</v>
      </c>
      <c r="B400" s="509"/>
      <c r="C400" s="29" t="s">
        <v>38</v>
      </c>
      <c r="D400" s="29" t="s">
        <v>38</v>
      </c>
      <c r="E400" s="72"/>
      <c r="F400" s="77"/>
      <c r="G400" s="98">
        <f>(H425*0.05)</f>
        <v>1004.4000000000001</v>
      </c>
      <c r="H400" s="615"/>
    </row>
    <row r="401" spans="1:8" x14ac:dyDescent="0.25">
      <c r="A401" s="508"/>
      <c r="B401" s="509"/>
      <c r="C401" s="29"/>
      <c r="D401" s="29"/>
      <c r="E401" s="72"/>
      <c r="F401" s="77"/>
      <c r="G401" s="98"/>
      <c r="H401" s="615"/>
    </row>
    <row r="402" spans="1:8" x14ac:dyDescent="0.25">
      <c r="A402" s="508"/>
      <c r="B402" s="509"/>
      <c r="C402" s="29"/>
      <c r="D402" s="29"/>
      <c r="E402" s="72"/>
      <c r="F402" s="77"/>
      <c r="G402" s="98"/>
      <c r="H402" s="615"/>
    </row>
    <row r="403" spans="1:8" ht="15.75" thickBot="1" x14ac:dyDescent="0.3">
      <c r="A403" s="535"/>
      <c r="B403" s="536"/>
      <c r="C403" s="33"/>
      <c r="D403" s="33"/>
      <c r="E403" s="133"/>
      <c r="F403" s="219"/>
      <c r="G403" s="99"/>
      <c r="H403" s="616"/>
    </row>
    <row r="404" spans="1:8" ht="15.75" thickBot="1" x14ac:dyDescent="0.3">
      <c r="A404" s="36"/>
      <c r="B404" s="22"/>
      <c r="C404" s="22"/>
      <c r="D404" s="22"/>
      <c r="E404" s="60"/>
      <c r="F404" s="202"/>
      <c r="G404" s="60" t="s">
        <v>39</v>
      </c>
      <c r="H404" s="73">
        <f>ROUND(SUM(G400:G400),0)</f>
        <v>1004</v>
      </c>
    </row>
    <row r="405" spans="1:8" ht="15.75" thickBot="1" x14ac:dyDescent="0.3">
      <c r="A405" s="600" t="s">
        <v>40</v>
      </c>
      <c r="B405" s="601"/>
      <c r="C405" s="22"/>
      <c r="D405" s="22"/>
      <c r="E405" s="60"/>
      <c r="F405" s="202"/>
      <c r="G405" s="60"/>
      <c r="H405" s="100"/>
    </row>
    <row r="406" spans="1:8" ht="27" customHeight="1" x14ac:dyDescent="0.25">
      <c r="A406" s="617"/>
      <c r="B406" s="618"/>
      <c r="C406" s="38" t="s">
        <v>41</v>
      </c>
      <c r="D406" s="27" t="s">
        <v>29</v>
      </c>
      <c r="E406" s="125" t="s">
        <v>42</v>
      </c>
      <c r="F406" s="203" t="s">
        <v>35</v>
      </c>
      <c r="G406" s="39" t="s">
        <v>36</v>
      </c>
      <c r="H406" s="505"/>
    </row>
    <row r="407" spans="1:8" x14ac:dyDescent="0.25">
      <c r="A407" s="559" t="s">
        <v>81</v>
      </c>
      <c r="B407" s="560"/>
      <c r="C407" s="78"/>
      <c r="D407" s="71" t="s">
        <v>79</v>
      </c>
      <c r="E407" s="129">
        <v>2700</v>
      </c>
      <c r="F407" s="71">
        <v>0.05</v>
      </c>
      <c r="G407" s="102">
        <f>E407*F407</f>
        <v>135</v>
      </c>
      <c r="H407" s="506"/>
    </row>
    <row r="408" spans="1:8" x14ac:dyDescent="0.25">
      <c r="A408" s="507" t="str">
        <f>A367</f>
        <v>ITEM                : Concreto clase D (21 MPA)</v>
      </c>
      <c r="B408" s="486"/>
      <c r="C408" s="79"/>
      <c r="D408" s="204" t="s">
        <v>78</v>
      </c>
      <c r="E408" s="65">
        <f>E288</f>
        <v>443580</v>
      </c>
      <c r="F408" s="71">
        <f>ROUND(1*1*0.15,2)</f>
        <v>0.15</v>
      </c>
      <c r="G408" s="45">
        <f>(F408*E408)+(E408*F408*C408)</f>
        <v>66537</v>
      </c>
      <c r="H408" s="506"/>
    </row>
    <row r="409" spans="1:8" x14ac:dyDescent="0.25">
      <c r="A409" s="507" t="s">
        <v>82</v>
      </c>
      <c r="B409" s="486"/>
      <c r="C409" s="80"/>
      <c r="D409" s="81" t="s">
        <v>18</v>
      </c>
      <c r="E409" s="130">
        <v>2600</v>
      </c>
      <c r="F409" s="82">
        <f>1/3</f>
        <v>0.33333333333333331</v>
      </c>
      <c r="G409" s="102">
        <f t="shared" ref="G409" si="5">E409*F409</f>
        <v>866.66666666666663</v>
      </c>
      <c r="H409" s="506"/>
    </row>
    <row r="410" spans="1:8" x14ac:dyDescent="0.25">
      <c r="A410" s="559"/>
      <c r="B410" s="560"/>
      <c r="C410" s="30"/>
      <c r="D410" s="29"/>
      <c r="E410" s="126"/>
      <c r="F410" s="220"/>
      <c r="G410" s="40"/>
      <c r="H410" s="506"/>
    </row>
    <row r="411" spans="1:8" x14ac:dyDescent="0.25">
      <c r="A411" s="559"/>
      <c r="B411" s="560"/>
      <c r="C411" s="74"/>
      <c r="D411" s="29"/>
      <c r="E411" s="126"/>
      <c r="F411" s="221"/>
      <c r="G411" s="40"/>
      <c r="H411" s="506"/>
    </row>
    <row r="412" spans="1:8" ht="15.75" thickBot="1" x14ac:dyDescent="0.3">
      <c r="A412" s="513"/>
      <c r="B412" s="514"/>
      <c r="C412" s="34"/>
      <c r="D412" s="33"/>
      <c r="E412" s="127"/>
      <c r="F412" s="205"/>
      <c r="G412" s="41"/>
      <c r="H412" s="512"/>
    </row>
    <row r="413" spans="1:8" ht="15.75" thickBot="1" x14ac:dyDescent="0.3">
      <c r="A413" s="36"/>
      <c r="B413" s="22"/>
      <c r="C413" s="22"/>
      <c r="D413" s="22"/>
      <c r="E413" s="25"/>
      <c r="F413" s="206"/>
      <c r="G413" s="25" t="s">
        <v>39</v>
      </c>
      <c r="H413" s="42">
        <f>ROUND(SUM(G407:G412),0)</f>
        <v>67539</v>
      </c>
    </row>
    <row r="414" spans="1:8" ht="15.75" thickBot="1" x14ac:dyDescent="0.3">
      <c r="A414" s="604" t="s">
        <v>49</v>
      </c>
      <c r="B414" s="605"/>
      <c r="C414" s="22"/>
      <c r="D414" s="22"/>
      <c r="E414" s="25"/>
      <c r="F414" s="206"/>
      <c r="G414" s="25"/>
      <c r="H414" s="26"/>
    </row>
    <row r="415" spans="1:8" x14ac:dyDescent="0.25">
      <c r="A415" s="503" t="s">
        <v>50</v>
      </c>
      <c r="B415" s="504"/>
      <c r="C415" s="43" t="s">
        <v>73</v>
      </c>
      <c r="D415" s="27" t="s">
        <v>52</v>
      </c>
      <c r="E415" s="125" t="s">
        <v>34</v>
      </c>
      <c r="F415" s="203" t="s">
        <v>35</v>
      </c>
      <c r="G415" s="39" t="s">
        <v>36</v>
      </c>
      <c r="H415" s="505"/>
    </row>
    <row r="416" spans="1:8" x14ac:dyDescent="0.25">
      <c r="A416" s="569"/>
      <c r="B416" s="570"/>
      <c r="C416" s="44"/>
      <c r="D416" s="44"/>
      <c r="E416" s="72"/>
      <c r="F416" s="217"/>
      <c r="G416" s="45"/>
      <c r="H416" s="506"/>
    </row>
    <row r="417" spans="1:8" ht="15.75" thickBot="1" x14ac:dyDescent="0.3">
      <c r="A417" s="513"/>
      <c r="B417" s="514"/>
      <c r="C417" s="34"/>
      <c r="D417" s="34"/>
      <c r="E417" s="127"/>
      <c r="F417" s="205"/>
      <c r="G417" s="41"/>
      <c r="H417" s="512"/>
    </row>
    <row r="418" spans="1:8" ht="15.75" thickBot="1" x14ac:dyDescent="0.3">
      <c r="A418" s="36"/>
      <c r="B418" s="22"/>
      <c r="C418" s="22"/>
      <c r="D418" s="22"/>
      <c r="E418" s="25"/>
      <c r="F418" s="206"/>
      <c r="G418" s="25" t="s">
        <v>39</v>
      </c>
      <c r="H418" s="42">
        <v>0</v>
      </c>
    </row>
    <row r="419" spans="1:8" ht="15.75" thickBot="1" x14ac:dyDescent="0.3">
      <c r="A419" s="101" t="s">
        <v>53</v>
      </c>
      <c r="B419" s="22"/>
      <c r="C419" s="22"/>
      <c r="D419" s="22"/>
      <c r="E419" s="25"/>
      <c r="F419" s="206"/>
      <c r="G419" s="25"/>
      <c r="H419" s="26"/>
    </row>
    <row r="420" spans="1:8" ht="30" customHeight="1" x14ac:dyDescent="0.25">
      <c r="A420" s="619" t="s">
        <v>213</v>
      </c>
      <c r="B420" s="620"/>
      <c r="C420" s="43" t="s">
        <v>56</v>
      </c>
      <c r="D420" s="27" t="s">
        <v>57</v>
      </c>
      <c r="E420" s="128" t="s">
        <v>58</v>
      </c>
      <c r="F420" s="203" t="s">
        <v>59</v>
      </c>
      <c r="G420" s="39" t="s">
        <v>36</v>
      </c>
      <c r="H420" s="517"/>
    </row>
    <row r="421" spans="1:8" x14ac:dyDescent="0.25">
      <c r="A421" s="492" t="str">
        <f>'CUADRILLAS DE OBRA'!B25</f>
        <v>CUADRILLA 2</v>
      </c>
      <c r="B421" s="568"/>
      <c r="C421" s="134">
        <f>'CUADRILLAS DE OBRA'!E26</f>
        <v>13249</v>
      </c>
      <c r="D421" s="228">
        <f>PRESTACIONES!E28</f>
        <v>0.8952</v>
      </c>
      <c r="E421" s="72">
        <f>'CUADRILLAS DE OBRA'!G26</f>
        <v>25110</v>
      </c>
      <c r="F421" s="71">
        <v>0.8</v>
      </c>
      <c r="G421" s="102">
        <f>ROUND(E421*F421,0)</f>
        <v>20088</v>
      </c>
      <c r="H421" s="518"/>
    </row>
    <row r="422" spans="1:8" x14ac:dyDescent="0.25">
      <c r="A422" s="47"/>
      <c r="B422" s="48"/>
      <c r="C422" s="49"/>
      <c r="D422" s="48"/>
      <c r="E422" s="72"/>
      <c r="F422" s="71"/>
      <c r="G422" s="102"/>
      <c r="H422" s="518"/>
    </row>
    <row r="423" spans="1:8" x14ac:dyDescent="0.25">
      <c r="A423" s="47"/>
      <c r="B423" s="48"/>
      <c r="C423" s="44"/>
      <c r="D423" s="48"/>
      <c r="E423" s="72"/>
      <c r="F423" s="71"/>
      <c r="G423" s="102"/>
      <c r="H423" s="518"/>
    </row>
    <row r="424" spans="1:8" ht="15.75" thickBot="1" x14ac:dyDescent="0.3">
      <c r="A424" s="50"/>
      <c r="B424" s="34"/>
      <c r="C424" s="34"/>
      <c r="D424" s="34"/>
      <c r="E424" s="127"/>
      <c r="F424" s="205"/>
      <c r="G424" s="41"/>
      <c r="H424" s="519"/>
    </row>
    <row r="425" spans="1:8" ht="15.75" thickBot="1" x14ac:dyDescent="0.3">
      <c r="A425" s="36"/>
      <c r="B425" s="22"/>
      <c r="C425" s="22"/>
      <c r="D425" s="22"/>
      <c r="E425" s="25"/>
      <c r="F425" s="206"/>
      <c r="G425" s="25" t="s">
        <v>39</v>
      </c>
      <c r="H425" s="42">
        <f>ROUND(SUM(G421:G423),0)</f>
        <v>20088</v>
      </c>
    </row>
    <row r="426" spans="1:8" ht="15.75" thickBot="1" x14ac:dyDescent="0.3">
      <c r="A426" s="600" t="s">
        <v>61</v>
      </c>
      <c r="B426" s="601"/>
      <c r="C426" s="22"/>
      <c r="D426" s="22"/>
      <c r="E426" s="25"/>
      <c r="F426" s="206"/>
      <c r="G426" s="25"/>
      <c r="H426" s="26"/>
    </row>
    <row r="427" spans="1:8" x14ac:dyDescent="0.25">
      <c r="A427" s="521" t="s">
        <v>32</v>
      </c>
      <c r="B427" s="522"/>
      <c r="C427" s="522"/>
      <c r="D427" s="522"/>
      <c r="E427" s="523"/>
      <c r="F427" s="51" t="s">
        <v>62</v>
      </c>
      <c r="G427" s="52" t="s">
        <v>63</v>
      </c>
      <c r="H427" s="524"/>
    </row>
    <row r="428" spans="1:8" x14ac:dyDescent="0.25">
      <c r="A428" s="487" t="s">
        <v>24</v>
      </c>
      <c r="B428" s="488"/>
      <c r="C428" s="488"/>
      <c r="D428" s="488"/>
      <c r="E428" s="489"/>
      <c r="F428" s="53">
        <v>0</v>
      </c>
      <c r="G428" s="54">
        <v>0</v>
      </c>
      <c r="H428" s="525"/>
    </row>
    <row r="429" spans="1:8" x14ac:dyDescent="0.25">
      <c r="A429" s="487" t="s">
        <v>25</v>
      </c>
      <c r="B429" s="488"/>
      <c r="C429" s="488"/>
      <c r="D429" s="488"/>
      <c r="E429" s="489"/>
      <c r="F429" s="53">
        <v>0</v>
      </c>
      <c r="G429" s="54">
        <v>0</v>
      </c>
      <c r="H429" s="525"/>
    </row>
    <row r="430" spans="1:8" ht="15.75" thickBot="1" x14ac:dyDescent="0.3">
      <c r="A430" s="483" t="s">
        <v>64</v>
      </c>
      <c r="B430" s="484"/>
      <c r="C430" s="484"/>
      <c r="D430" s="484"/>
      <c r="E430" s="485"/>
      <c r="F430" s="55">
        <v>0</v>
      </c>
      <c r="G430" s="56">
        <v>0</v>
      </c>
      <c r="H430" s="526"/>
    </row>
    <row r="431" spans="1:8" ht="15.75" thickBot="1" x14ac:dyDescent="0.3">
      <c r="A431" s="490" t="s">
        <v>39</v>
      </c>
      <c r="B431" s="576"/>
      <c r="C431" s="576"/>
      <c r="D431" s="576"/>
      <c r="E431" s="576"/>
      <c r="F431" s="576"/>
      <c r="G431" s="576"/>
      <c r="H431" s="37">
        <v>0</v>
      </c>
    </row>
    <row r="432" spans="1:8" ht="15.75" thickBot="1" x14ac:dyDescent="0.3">
      <c r="A432" s="492"/>
      <c r="B432" s="564"/>
      <c r="C432" s="564"/>
      <c r="D432" s="564"/>
      <c r="E432" s="564"/>
      <c r="F432" s="564"/>
      <c r="G432" s="564"/>
      <c r="H432" s="494"/>
    </row>
    <row r="433" spans="1:9" ht="15.75" thickBot="1" x14ac:dyDescent="0.3">
      <c r="A433" s="585"/>
      <c r="B433" s="586"/>
      <c r="C433" s="586"/>
      <c r="D433" s="587"/>
      <c r="E433" s="573" t="s">
        <v>65</v>
      </c>
      <c r="F433" s="574"/>
      <c r="G433" s="575"/>
      <c r="H433" s="57">
        <f>ROUND(SUM(H404:H431),0)</f>
        <v>88631</v>
      </c>
      <c r="I433" s="201"/>
    </row>
    <row r="434" spans="1:9" x14ac:dyDescent="0.25">
      <c r="A434" s="461" t="s">
        <v>66</v>
      </c>
      <c r="B434" s="461"/>
      <c r="C434" s="58"/>
      <c r="D434" s="58"/>
      <c r="E434" s="59"/>
      <c r="F434" s="202"/>
      <c r="G434" s="59"/>
      <c r="H434" s="60"/>
    </row>
    <row r="435" spans="1:9" x14ac:dyDescent="0.25">
      <c r="A435" s="460" t="s">
        <v>320</v>
      </c>
      <c r="B435" s="460"/>
      <c r="C435" s="58"/>
      <c r="D435" s="58"/>
      <c r="E435" s="59"/>
      <c r="F435" s="202"/>
      <c r="G435" s="59"/>
      <c r="H435" s="60"/>
    </row>
    <row r="436" spans="1:9" ht="15.75" thickBot="1" x14ac:dyDescent="0.3">
      <c r="A436" s="208"/>
      <c r="B436" s="208"/>
      <c r="C436" s="207"/>
      <c r="D436" s="207"/>
      <c r="E436" s="59"/>
      <c r="F436" s="207"/>
      <c r="G436" s="59"/>
      <c r="H436" s="60"/>
    </row>
    <row r="437" spans="1:9" ht="15.75" thickBot="1" x14ac:dyDescent="0.3">
      <c r="A437" s="91" t="s">
        <v>28</v>
      </c>
      <c r="B437" s="606" t="str">
        <f>PRESUPUESTO!B19</f>
        <v>Bases en concreto simple para instalaciòn de   puntos ecologicos L= 1.60 m X Ancho= 70 cm, E= 15 cm,  .3000PSI -21MP</v>
      </c>
      <c r="C437" s="607"/>
      <c r="D437" s="607"/>
      <c r="E437" s="607"/>
      <c r="F437" s="608"/>
      <c r="G437" s="92" t="s">
        <v>29</v>
      </c>
      <c r="H437" s="65" t="str">
        <f>PRESUPUESTO!C19</f>
        <v>und</v>
      </c>
    </row>
    <row r="438" spans="1:9" ht="15.75" thickBot="1" x14ac:dyDescent="0.3">
      <c r="A438" s="93" t="str">
        <f>PRESUPUESTO!A19</f>
        <v>3.6</v>
      </c>
      <c r="B438" s="609"/>
      <c r="C438" s="610"/>
      <c r="D438" s="610"/>
      <c r="E438" s="610"/>
      <c r="F438" s="611"/>
      <c r="G438" s="94" t="s">
        <v>30</v>
      </c>
      <c r="H438" s="95"/>
    </row>
    <row r="439" spans="1:9" ht="15.75" thickBot="1" x14ac:dyDescent="0.3">
      <c r="A439" s="20"/>
      <c r="B439" s="21"/>
      <c r="C439" s="21"/>
      <c r="D439" s="21"/>
      <c r="E439" s="23"/>
      <c r="F439" s="210"/>
      <c r="G439" s="23"/>
      <c r="H439" s="24"/>
    </row>
    <row r="440" spans="1:9" ht="15.75" thickBot="1" x14ac:dyDescent="0.3">
      <c r="A440" s="600" t="s">
        <v>31</v>
      </c>
      <c r="B440" s="601"/>
      <c r="C440" s="22"/>
      <c r="D440" s="22"/>
      <c r="E440" s="25"/>
      <c r="F440" s="210"/>
      <c r="G440" s="25"/>
      <c r="H440" s="26"/>
    </row>
    <row r="441" spans="1:9" x14ac:dyDescent="0.25">
      <c r="A441" s="533" t="s">
        <v>32</v>
      </c>
      <c r="B441" s="534"/>
      <c r="C441" s="209" t="s">
        <v>69</v>
      </c>
      <c r="D441" s="209" t="s">
        <v>52</v>
      </c>
      <c r="E441" s="132" t="s">
        <v>34</v>
      </c>
      <c r="F441" s="96" t="s">
        <v>35</v>
      </c>
      <c r="G441" s="97" t="s">
        <v>36</v>
      </c>
      <c r="H441" s="614"/>
    </row>
    <row r="442" spans="1:9" x14ac:dyDescent="0.25">
      <c r="A442" s="508" t="s">
        <v>70</v>
      </c>
      <c r="B442" s="509"/>
      <c r="C442" s="211" t="s">
        <v>38</v>
      </c>
      <c r="D442" s="211" t="s">
        <v>38</v>
      </c>
      <c r="E442" s="72"/>
      <c r="F442" s="77"/>
      <c r="G442" s="98">
        <f>(H467*0.05)</f>
        <v>753.30000000000007</v>
      </c>
      <c r="H442" s="615"/>
    </row>
    <row r="443" spans="1:9" x14ac:dyDescent="0.25">
      <c r="A443" s="508"/>
      <c r="B443" s="509"/>
      <c r="C443" s="211"/>
      <c r="D443" s="211"/>
      <c r="E443" s="72"/>
      <c r="F443" s="77"/>
      <c r="G443" s="98"/>
      <c r="H443" s="615"/>
    </row>
    <row r="444" spans="1:9" x14ac:dyDescent="0.25">
      <c r="A444" s="508"/>
      <c r="B444" s="509"/>
      <c r="C444" s="211"/>
      <c r="D444" s="211"/>
      <c r="E444" s="72"/>
      <c r="F444" s="77"/>
      <c r="G444" s="98"/>
      <c r="H444" s="615"/>
    </row>
    <row r="445" spans="1:9" ht="15.75" thickBot="1" x14ac:dyDescent="0.3">
      <c r="A445" s="535"/>
      <c r="B445" s="536"/>
      <c r="C445" s="212"/>
      <c r="D445" s="212"/>
      <c r="E445" s="133"/>
      <c r="F445" s="219"/>
      <c r="G445" s="99"/>
      <c r="H445" s="616"/>
    </row>
    <row r="446" spans="1:9" ht="15.75" thickBot="1" x14ac:dyDescent="0.3">
      <c r="A446" s="36"/>
      <c r="B446" s="22"/>
      <c r="C446" s="22"/>
      <c r="D446" s="22"/>
      <c r="E446" s="60"/>
      <c r="F446" s="207"/>
      <c r="G446" s="60" t="s">
        <v>39</v>
      </c>
      <c r="H446" s="73">
        <f>ROUND(SUM(G442:G442),0)</f>
        <v>753</v>
      </c>
    </row>
    <row r="447" spans="1:9" ht="15.75" thickBot="1" x14ac:dyDescent="0.3">
      <c r="A447" s="600" t="s">
        <v>40</v>
      </c>
      <c r="B447" s="601"/>
      <c r="C447" s="22"/>
      <c r="D447" s="22"/>
      <c r="E447" s="60"/>
      <c r="F447" s="207"/>
      <c r="G447" s="60"/>
      <c r="H447" s="100"/>
    </row>
    <row r="448" spans="1:9" ht="14.25" customHeight="1" x14ac:dyDescent="0.25">
      <c r="A448" s="617" t="s">
        <v>218</v>
      </c>
      <c r="B448" s="618"/>
      <c r="C448" s="38" t="s">
        <v>41</v>
      </c>
      <c r="D448" s="209" t="s">
        <v>29</v>
      </c>
      <c r="E448" s="125" t="s">
        <v>42</v>
      </c>
      <c r="F448" s="209" t="s">
        <v>35</v>
      </c>
      <c r="G448" s="39" t="s">
        <v>36</v>
      </c>
      <c r="H448" s="505"/>
    </row>
    <row r="449" spans="1:8" x14ac:dyDescent="0.25">
      <c r="A449" s="559" t="s">
        <v>81</v>
      </c>
      <c r="B449" s="560"/>
      <c r="C449" s="78"/>
      <c r="D449" s="71" t="s">
        <v>79</v>
      </c>
      <c r="E449" s="129">
        <v>2700</v>
      </c>
      <c r="F449" s="71">
        <v>0.05</v>
      </c>
      <c r="G449" s="102">
        <f>E449*F449</f>
        <v>135</v>
      </c>
      <c r="H449" s="506"/>
    </row>
    <row r="450" spans="1:8" ht="26.25" customHeight="1" x14ac:dyDescent="0.25">
      <c r="A450" s="507" t="s">
        <v>216</v>
      </c>
      <c r="B450" s="486"/>
      <c r="C450" s="79"/>
      <c r="D450" s="211" t="s">
        <v>78</v>
      </c>
      <c r="E450" s="65">
        <f>E408</f>
        <v>443580</v>
      </c>
      <c r="F450" s="71">
        <f>ROUND(1.6*0.7*0.15,2)</f>
        <v>0.17</v>
      </c>
      <c r="G450" s="45">
        <f>(F450*E450)+(E450*F450*C450)</f>
        <v>75408.600000000006</v>
      </c>
      <c r="H450" s="506"/>
    </row>
    <row r="451" spans="1:8" x14ac:dyDescent="0.25">
      <c r="A451" s="507" t="s">
        <v>82</v>
      </c>
      <c r="B451" s="486"/>
      <c r="C451" s="80"/>
      <c r="D451" s="81" t="s">
        <v>18</v>
      </c>
      <c r="E451" s="130">
        <v>2600</v>
      </c>
      <c r="F451" s="82">
        <f>1/3</f>
        <v>0.33333333333333331</v>
      </c>
      <c r="G451" s="102">
        <f t="shared" ref="G451" si="6">E451*F451</f>
        <v>866.66666666666663</v>
      </c>
      <c r="H451" s="506"/>
    </row>
    <row r="452" spans="1:8" x14ac:dyDescent="0.25">
      <c r="A452" s="559"/>
      <c r="B452" s="560"/>
      <c r="C452" s="30"/>
      <c r="D452" s="211"/>
      <c r="E452" s="126"/>
      <c r="F452" s="220"/>
      <c r="G452" s="40"/>
      <c r="H452" s="506"/>
    </row>
    <row r="453" spans="1:8" x14ac:dyDescent="0.25">
      <c r="A453" s="559"/>
      <c r="B453" s="560"/>
      <c r="C453" s="74"/>
      <c r="D453" s="211"/>
      <c r="E453" s="126"/>
      <c r="F453" s="221"/>
      <c r="G453" s="40"/>
      <c r="H453" s="506"/>
    </row>
    <row r="454" spans="1:8" ht="15.75" thickBot="1" x14ac:dyDescent="0.3">
      <c r="A454" s="513"/>
      <c r="B454" s="514"/>
      <c r="C454" s="34"/>
      <c r="D454" s="212"/>
      <c r="E454" s="127"/>
      <c r="F454" s="212"/>
      <c r="G454" s="41"/>
      <c r="H454" s="512"/>
    </row>
    <row r="455" spans="1:8" ht="15.75" thickBot="1" x14ac:dyDescent="0.3">
      <c r="A455" s="36"/>
      <c r="B455" s="22"/>
      <c r="C455" s="22"/>
      <c r="D455" s="22"/>
      <c r="E455" s="25"/>
      <c r="F455" s="210"/>
      <c r="G455" s="25" t="s">
        <v>39</v>
      </c>
      <c r="H455" s="42">
        <f>ROUND(SUM(G449:G454),0)</f>
        <v>76410</v>
      </c>
    </row>
    <row r="456" spans="1:8" ht="15.75" thickBot="1" x14ac:dyDescent="0.3">
      <c r="A456" s="604" t="s">
        <v>49</v>
      </c>
      <c r="B456" s="605"/>
      <c r="C456" s="22"/>
      <c r="D456" s="22"/>
      <c r="E456" s="25"/>
      <c r="F456" s="210"/>
      <c r="G456" s="25"/>
      <c r="H456" s="26"/>
    </row>
    <row r="457" spans="1:8" x14ac:dyDescent="0.25">
      <c r="A457" s="503" t="s">
        <v>50</v>
      </c>
      <c r="B457" s="504"/>
      <c r="C457" s="43" t="s">
        <v>73</v>
      </c>
      <c r="D457" s="209" t="s">
        <v>52</v>
      </c>
      <c r="E457" s="125" t="s">
        <v>34</v>
      </c>
      <c r="F457" s="209" t="s">
        <v>35</v>
      </c>
      <c r="G457" s="39" t="s">
        <v>36</v>
      </c>
      <c r="H457" s="505"/>
    </row>
    <row r="458" spans="1:8" x14ac:dyDescent="0.25">
      <c r="A458" s="569"/>
      <c r="B458" s="570"/>
      <c r="C458" s="44"/>
      <c r="D458" s="44"/>
      <c r="E458" s="72"/>
      <c r="F458" s="217"/>
      <c r="G458" s="45"/>
      <c r="H458" s="506"/>
    </row>
    <row r="459" spans="1:8" ht="15.75" thickBot="1" x14ac:dyDescent="0.3">
      <c r="A459" s="513"/>
      <c r="B459" s="514"/>
      <c r="C459" s="34"/>
      <c r="D459" s="34"/>
      <c r="E459" s="127"/>
      <c r="F459" s="212"/>
      <c r="G459" s="41"/>
      <c r="H459" s="512"/>
    </row>
    <row r="460" spans="1:8" ht="15.75" thickBot="1" x14ac:dyDescent="0.3">
      <c r="A460" s="36"/>
      <c r="B460" s="22"/>
      <c r="C460" s="22"/>
      <c r="D460" s="22"/>
      <c r="E460" s="25"/>
      <c r="F460" s="210"/>
      <c r="G460" s="25" t="s">
        <v>39</v>
      </c>
      <c r="H460" s="42">
        <v>0</v>
      </c>
    </row>
    <row r="461" spans="1:8" ht="15.75" thickBot="1" x14ac:dyDescent="0.3">
      <c r="A461" s="101" t="s">
        <v>53</v>
      </c>
      <c r="B461" s="22"/>
      <c r="C461" s="22"/>
      <c r="D461" s="22"/>
      <c r="E461" s="25"/>
      <c r="F461" s="210"/>
      <c r="G461" s="25"/>
      <c r="H461" s="26"/>
    </row>
    <row r="462" spans="1:8" ht="27.75" customHeight="1" x14ac:dyDescent="0.25">
      <c r="A462" s="515" t="s">
        <v>213</v>
      </c>
      <c r="B462" s="516"/>
      <c r="C462" s="43" t="s">
        <v>56</v>
      </c>
      <c r="D462" s="209" t="s">
        <v>57</v>
      </c>
      <c r="E462" s="128" t="s">
        <v>58</v>
      </c>
      <c r="F462" s="209" t="s">
        <v>59</v>
      </c>
      <c r="G462" s="39" t="s">
        <v>36</v>
      </c>
      <c r="H462" s="517"/>
    </row>
    <row r="463" spans="1:8" x14ac:dyDescent="0.25">
      <c r="A463" s="492" t="str">
        <f>'CUADRILLAS DE OBRA'!B25</f>
        <v>CUADRILLA 2</v>
      </c>
      <c r="B463" s="568"/>
      <c r="C463" s="134">
        <f>'CUADRILLAS DE OBRA'!E26</f>
        <v>13249</v>
      </c>
      <c r="D463" s="228">
        <f>PRESTACIONES!E28</f>
        <v>0.8952</v>
      </c>
      <c r="E463" s="72">
        <f>'CUADRILLAS DE OBRA'!G26</f>
        <v>25110</v>
      </c>
      <c r="F463" s="71">
        <v>0.6</v>
      </c>
      <c r="G463" s="102">
        <f>ROUND(E463*F463,0)</f>
        <v>15066</v>
      </c>
      <c r="H463" s="518"/>
    </row>
    <row r="464" spans="1:8" x14ac:dyDescent="0.25">
      <c r="A464" s="47"/>
      <c r="B464" s="48"/>
      <c r="C464" s="49"/>
      <c r="D464" s="48"/>
      <c r="E464" s="72"/>
      <c r="F464" s="71"/>
      <c r="G464" s="102"/>
      <c r="H464" s="518"/>
    </row>
    <row r="465" spans="1:9" x14ac:dyDescent="0.25">
      <c r="A465" s="47"/>
      <c r="B465" s="48"/>
      <c r="C465" s="44"/>
      <c r="D465" s="48"/>
      <c r="E465" s="72"/>
      <c r="F465" s="71"/>
      <c r="G465" s="102"/>
      <c r="H465" s="518"/>
    </row>
    <row r="466" spans="1:9" ht="15.75" thickBot="1" x14ac:dyDescent="0.3">
      <c r="A466" s="50"/>
      <c r="B466" s="34"/>
      <c r="C466" s="34"/>
      <c r="D466" s="34"/>
      <c r="E466" s="127"/>
      <c r="F466" s="212"/>
      <c r="G466" s="41"/>
      <c r="H466" s="519"/>
    </row>
    <row r="467" spans="1:9" ht="15.75" thickBot="1" x14ac:dyDescent="0.3">
      <c r="A467" s="36"/>
      <c r="B467" s="22"/>
      <c r="C467" s="22"/>
      <c r="D467" s="22"/>
      <c r="E467" s="25"/>
      <c r="F467" s="210"/>
      <c r="G467" s="25" t="s">
        <v>39</v>
      </c>
      <c r="H467" s="42">
        <f>ROUND(SUM(G463:G465),0)</f>
        <v>15066</v>
      </c>
    </row>
    <row r="468" spans="1:9" ht="15.75" thickBot="1" x14ac:dyDescent="0.3">
      <c r="A468" s="600" t="s">
        <v>61</v>
      </c>
      <c r="B468" s="601"/>
      <c r="C468" s="22"/>
      <c r="D468" s="22"/>
      <c r="E468" s="25"/>
      <c r="F468" s="210"/>
      <c r="G468" s="25"/>
      <c r="H468" s="26"/>
    </row>
    <row r="469" spans="1:9" x14ac:dyDescent="0.25">
      <c r="A469" s="521" t="s">
        <v>32</v>
      </c>
      <c r="B469" s="522"/>
      <c r="C469" s="522"/>
      <c r="D469" s="522"/>
      <c r="E469" s="523"/>
      <c r="F469" s="51" t="s">
        <v>62</v>
      </c>
      <c r="G469" s="52" t="s">
        <v>63</v>
      </c>
      <c r="H469" s="524"/>
    </row>
    <row r="470" spans="1:9" x14ac:dyDescent="0.25">
      <c r="A470" s="487" t="s">
        <v>24</v>
      </c>
      <c r="B470" s="488"/>
      <c r="C470" s="488"/>
      <c r="D470" s="488"/>
      <c r="E470" s="489"/>
      <c r="F470" s="53">
        <v>0</v>
      </c>
      <c r="G470" s="54">
        <v>0</v>
      </c>
      <c r="H470" s="525"/>
    </row>
    <row r="471" spans="1:9" x14ac:dyDescent="0.25">
      <c r="A471" s="487" t="s">
        <v>25</v>
      </c>
      <c r="B471" s="488"/>
      <c r="C471" s="488"/>
      <c r="D471" s="488"/>
      <c r="E471" s="489"/>
      <c r="F471" s="53">
        <v>0</v>
      </c>
      <c r="G471" s="54">
        <v>0</v>
      </c>
      <c r="H471" s="525"/>
    </row>
    <row r="472" spans="1:9" ht="15.75" thickBot="1" x14ac:dyDescent="0.3">
      <c r="A472" s="483" t="s">
        <v>64</v>
      </c>
      <c r="B472" s="484"/>
      <c r="C472" s="484"/>
      <c r="D472" s="484"/>
      <c r="E472" s="485"/>
      <c r="F472" s="55">
        <v>0</v>
      </c>
      <c r="G472" s="56">
        <v>0</v>
      </c>
      <c r="H472" s="526"/>
    </row>
    <row r="473" spans="1:9" ht="15.75" thickBot="1" x14ac:dyDescent="0.3">
      <c r="A473" s="490" t="s">
        <v>39</v>
      </c>
      <c r="B473" s="576"/>
      <c r="C473" s="576"/>
      <c r="D473" s="576"/>
      <c r="E473" s="576"/>
      <c r="F473" s="576"/>
      <c r="G473" s="576"/>
      <c r="H473" s="37">
        <v>0</v>
      </c>
    </row>
    <row r="474" spans="1:9" ht="15.75" thickBot="1" x14ac:dyDescent="0.3">
      <c r="A474" s="492"/>
      <c r="B474" s="564"/>
      <c r="C474" s="564"/>
      <c r="D474" s="564"/>
      <c r="E474" s="564"/>
      <c r="F474" s="564"/>
      <c r="G474" s="564"/>
      <c r="H474" s="494"/>
    </row>
    <row r="475" spans="1:9" ht="15.75" thickBot="1" x14ac:dyDescent="0.3">
      <c r="A475" s="585"/>
      <c r="B475" s="586"/>
      <c r="C475" s="586"/>
      <c r="D475" s="587"/>
      <c r="E475" s="573" t="s">
        <v>65</v>
      </c>
      <c r="F475" s="574"/>
      <c r="G475" s="575"/>
      <c r="H475" s="57">
        <f>ROUND(SUM(H446:H473),0)</f>
        <v>92229</v>
      </c>
      <c r="I475" s="201" t="s">
        <v>214</v>
      </c>
    </row>
    <row r="476" spans="1:9" x14ac:dyDescent="0.25">
      <c r="A476" s="461" t="s">
        <v>66</v>
      </c>
      <c r="B476" s="461"/>
      <c r="C476" s="207"/>
      <c r="D476" s="207"/>
      <c r="E476" s="59"/>
      <c r="F476" s="207"/>
      <c r="G476" s="59"/>
      <c r="H476" s="60"/>
    </row>
    <row r="477" spans="1:9" x14ac:dyDescent="0.25">
      <c r="A477" s="460" t="s">
        <v>320</v>
      </c>
      <c r="B477" s="460"/>
      <c r="C477" s="207"/>
      <c r="D477" s="207"/>
      <c r="E477" s="59"/>
      <c r="F477" s="207"/>
      <c r="G477" s="59"/>
      <c r="H477" s="60"/>
    </row>
    <row r="478" spans="1:9" ht="15.75" thickBot="1" x14ac:dyDescent="0.3"/>
    <row r="479" spans="1:9" ht="15.75" thickBot="1" x14ac:dyDescent="0.3">
      <c r="A479" s="91" t="s">
        <v>28</v>
      </c>
      <c r="B479" s="606" t="str">
        <f>PRESUPUESTO!B24</f>
        <v>Suministro e instalacion de juegos infantiles en madera plastica según especificaciones técnicas.</v>
      </c>
      <c r="C479" s="607"/>
      <c r="D479" s="607"/>
      <c r="E479" s="607"/>
      <c r="F479" s="608"/>
      <c r="G479" s="92" t="s">
        <v>29</v>
      </c>
      <c r="H479" s="65" t="str">
        <f>PRESUPUESTO!C24</f>
        <v>und</v>
      </c>
    </row>
    <row r="480" spans="1:9" ht="15.75" thickBot="1" x14ac:dyDescent="0.3">
      <c r="A480" s="93" t="str">
        <f>PRESUPUESTO!A24</f>
        <v>4.1</v>
      </c>
      <c r="B480" s="609"/>
      <c r="C480" s="610"/>
      <c r="D480" s="610"/>
      <c r="E480" s="610"/>
      <c r="F480" s="611"/>
      <c r="G480" s="94" t="s">
        <v>30</v>
      </c>
      <c r="H480" s="95"/>
    </row>
    <row r="481" spans="1:8" ht="15.75" thickBot="1" x14ac:dyDescent="0.3">
      <c r="A481" s="103"/>
      <c r="B481" s="104"/>
      <c r="C481" s="104"/>
      <c r="D481" s="104"/>
      <c r="E481" s="105"/>
      <c r="F481" s="202"/>
      <c r="G481" s="105"/>
      <c r="H481" s="106"/>
    </row>
    <row r="482" spans="1:8" ht="15.75" thickBot="1" x14ac:dyDescent="0.3">
      <c r="A482" s="600" t="s">
        <v>31</v>
      </c>
      <c r="B482" s="601"/>
      <c r="C482" s="22"/>
      <c r="D482" s="22"/>
      <c r="E482" s="25"/>
      <c r="F482" s="206"/>
      <c r="G482" s="25"/>
      <c r="H482" s="26"/>
    </row>
    <row r="483" spans="1:8" x14ac:dyDescent="0.25">
      <c r="A483" s="533" t="s">
        <v>32</v>
      </c>
      <c r="B483" s="534"/>
      <c r="C483" s="27" t="s">
        <v>84</v>
      </c>
      <c r="D483" s="27" t="s">
        <v>52</v>
      </c>
      <c r="E483" s="132" t="s">
        <v>34</v>
      </c>
      <c r="F483" s="96" t="s">
        <v>85</v>
      </c>
      <c r="G483" s="97" t="s">
        <v>36</v>
      </c>
      <c r="H483" s="614"/>
    </row>
    <row r="484" spans="1:8" x14ac:dyDescent="0.25">
      <c r="A484" s="508" t="s">
        <v>70</v>
      </c>
      <c r="B484" s="509"/>
      <c r="C484" s="29" t="s">
        <v>86</v>
      </c>
      <c r="D484" s="29" t="s">
        <v>38</v>
      </c>
      <c r="E484" s="72"/>
      <c r="F484" s="77"/>
      <c r="G484" s="98">
        <f>(H512*0.05)</f>
        <v>9864.5</v>
      </c>
      <c r="H484" s="615"/>
    </row>
    <row r="485" spans="1:8" x14ac:dyDescent="0.25">
      <c r="A485" s="508"/>
      <c r="B485" s="509"/>
      <c r="C485" s="29"/>
      <c r="D485" s="29"/>
      <c r="E485" s="72"/>
      <c r="F485" s="77"/>
      <c r="G485" s="98"/>
      <c r="H485" s="615"/>
    </row>
    <row r="486" spans="1:8" x14ac:dyDescent="0.25">
      <c r="A486" s="508"/>
      <c r="B486" s="509"/>
      <c r="C486" s="29"/>
      <c r="D486" s="29"/>
      <c r="E486" s="72"/>
      <c r="F486" s="77"/>
      <c r="G486" s="98"/>
      <c r="H486" s="615"/>
    </row>
    <row r="487" spans="1:8" ht="15.75" thickBot="1" x14ac:dyDescent="0.3">
      <c r="A487" s="535"/>
      <c r="B487" s="536"/>
      <c r="C487" s="33"/>
      <c r="D487" s="33"/>
      <c r="E487" s="133"/>
      <c r="F487" s="219"/>
      <c r="G487" s="99"/>
      <c r="H487" s="616"/>
    </row>
    <row r="488" spans="1:8" ht="15.75" thickBot="1" x14ac:dyDescent="0.3">
      <c r="A488" s="36"/>
      <c r="B488" s="22"/>
      <c r="C488" s="22"/>
      <c r="D488" s="22"/>
      <c r="E488" s="60"/>
      <c r="F488" s="202"/>
      <c r="G488" s="60" t="s">
        <v>39</v>
      </c>
      <c r="H488" s="73">
        <f>ROUND(SUM(G484:G484),0)</f>
        <v>9865</v>
      </c>
    </row>
    <row r="489" spans="1:8" ht="15.75" thickBot="1" x14ac:dyDescent="0.3">
      <c r="A489" s="600" t="s">
        <v>40</v>
      </c>
      <c r="B489" s="601"/>
      <c r="C489" s="22"/>
      <c r="D489" s="22"/>
      <c r="E489" s="60"/>
      <c r="F489" s="202"/>
      <c r="G489" s="60"/>
      <c r="H489" s="100"/>
    </row>
    <row r="490" spans="1:8" x14ac:dyDescent="0.25">
      <c r="A490" s="503" t="s">
        <v>32</v>
      </c>
      <c r="B490" s="504"/>
      <c r="C490" s="38" t="s">
        <v>228</v>
      </c>
      <c r="D490" s="27" t="s">
        <v>29</v>
      </c>
      <c r="E490" s="125" t="s">
        <v>42</v>
      </c>
      <c r="F490" s="203" t="s">
        <v>35</v>
      </c>
      <c r="G490" s="39" t="s">
        <v>36</v>
      </c>
      <c r="H490" s="505"/>
    </row>
    <row r="491" spans="1:8" s="164" customFormat="1" ht="27" customHeight="1" x14ac:dyDescent="0.25">
      <c r="A491" s="578" t="s">
        <v>339</v>
      </c>
      <c r="B491" s="579"/>
      <c r="C491" s="448">
        <f>E491*0.19</f>
        <v>186200</v>
      </c>
      <c r="D491" s="449" t="s">
        <v>18</v>
      </c>
      <c r="E491" s="450">
        <v>980000</v>
      </c>
      <c r="F491" s="449">
        <v>1</v>
      </c>
      <c r="G491" s="45">
        <f>E491+C491*F491</f>
        <v>1166200</v>
      </c>
      <c r="H491" s="506"/>
    </row>
    <row r="492" spans="1:8" s="164" customFormat="1" ht="23.25" customHeight="1" x14ac:dyDescent="0.25">
      <c r="A492" s="554" t="s">
        <v>338</v>
      </c>
      <c r="B492" s="555"/>
      <c r="C492" s="448">
        <f>E492*0.19</f>
        <v>152000</v>
      </c>
      <c r="D492" s="449" t="s">
        <v>18</v>
      </c>
      <c r="E492" s="451">
        <v>800000</v>
      </c>
      <c r="F492" s="452">
        <v>1</v>
      </c>
      <c r="G492" s="45">
        <f>E492+C492*F492</f>
        <v>952000</v>
      </c>
      <c r="H492" s="506"/>
    </row>
    <row r="493" spans="1:8" s="164" customFormat="1" ht="27.75" customHeight="1" x14ac:dyDescent="0.25">
      <c r="A493" s="554" t="s">
        <v>326</v>
      </c>
      <c r="B493" s="555"/>
      <c r="C493" s="448">
        <f>E493*0.19</f>
        <v>228000</v>
      </c>
      <c r="D493" s="449" t="s">
        <v>18</v>
      </c>
      <c r="E493" s="451">
        <v>1200000</v>
      </c>
      <c r="F493" s="452">
        <v>1</v>
      </c>
      <c r="G493" s="45">
        <f>E493+C493*F493</f>
        <v>1428000</v>
      </c>
      <c r="H493" s="506"/>
    </row>
    <row r="494" spans="1:8" s="164" customFormat="1" ht="22.5" customHeight="1" x14ac:dyDescent="0.25">
      <c r="A494" s="554" t="s">
        <v>328</v>
      </c>
      <c r="B494" s="555"/>
      <c r="C494" s="448">
        <f>E494*0.19</f>
        <v>133000</v>
      </c>
      <c r="D494" s="449" t="s">
        <v>18</v>
      </c>
      <c r="E494" s="451">
        <v>700000</v>
      </c>
      <c r="F494" s="452">
        <v>1</v>
      </c>
      <c r="G494" s="45">
        <f>E494+C494*F494</f>
        <v>833000</v>
      </c>
      <c r="H494" s="506"/>
    </row>
    <row r="495" spans="1:8" s="164" customFormat="1" ht="20.25" customHeight="1" x14ac:dyDescent="0.25">
      <c r="A495" s="554" t="s">
        <v>327</v>
      </c>
      <c r="B495" s="555"/>
      <c r="C495" s="448">
        <f>E495*0.19</f>
        <v>209000</v>
      </c>
      <c r="D495" s="449" t="s">
        <v>18</v>
      </c>
      <c r="E495" s="451">
        <v>1100000</v>
      </c>
      <c r="F495" s="452">
        <v>1</v>
      </c>
      <c r="G495" s="45">
        <f>E495+C495*F495</f>
        <v>1309000</v>
      </c>
      <c r="H495" s="506"/>
    </row>
    <row r="496" spans="1:8" x14ac:dyDescent="0.25">
      <c r="A496" s="602" t="s">
        <v>89</v>
      </c>
      <c r="B496" s="603"/>
      <c r="C496" s="78"/>
      <c r="D496" s="71" t="s">
        <v>17</v>
      </c>
      <c r="E496" s="126">
        <v>43063</v>
      </c>
      <c r="F496" s="221">
        <v>4</v>
      </c>
      <c r="G496" s="40">
        <f>F496*E496</f>
        <v>172252</v>
      </c>
      <c r="H496" s="506"/>
    </row>
    <row r="497" spans="1:8" ht="20.25" customHeight="1" x14ac:dyDescent="0.25">
      <c r="A497" s="559" t="s">
        <v>90</v>
      </c>
      <c r="B497" s="560"/>
      <c r="C497" s="30"/>
      <c r="D497" s="230" t="s">
        <v>44</v>
      </c>
      <c r="E497" s="126">
        <v>2500</v>
      </c>
      <c r="F497" s="221">
        <v>0.5</v>
      </c>
      <c r="G497" s="40">
        <f t="shared" ref="G497:G498" si="7">F497*E497</f>
        <v>1250</v>
      </c>
      <c r="H497" s="506"/>
    </row>
    <row r="498" spans="1:8" x14ac:dyDescent="0.25">
      <c r="A498" s="559" t="s">
        <v>91</v>
      </c>
      <c r="B498" s="560"/>
      <c r="C498" s="30"/>
      <c r="D498" s="230" t="s">
        <v>44</v>
      </c>
      <c r="E498" s="126">
        <v>3800</v>
      </c>
      <c r="F498" s="221">
        <v>0.2</v>
      </c>
      <c r="G498" s="40">
        <f t="shared" si="7"/>
        <v>760</v>
      </c>
      <c r="H498" s="506"/>
    </row>
    <row r="499" spans="1:8" x14ac:dyDescent="0.25">
      <c r="A499" s="559"/>
      <c r="B499" s="560"/>
      <c r="C499" s="74"/>
      <c r="D499" s="29"/>
      <c r="E499" s="126"/>
      <c r="F499" s="221"/>
      <c r="G499" s="40"/>
      <c r="H499" s="506"/>
    </row>
    <row r="500" spans="1:8" ht="15.75" thickBot="1" x14ac:dyDescent="0.3">
      <c r="A500" s="513"/>
      <c r="B500" s="514"/>
      <c r="C500" s="34"/>
      <c r="D500" s="33"/>
      <c r="E500" s="127"/>
      <c r="F500" s="205"/>
      <c r="G500" s="41"/>
      <c r="H500" s="512"/>
    </row>
    <row r="501" spans="1:8" ht="15.75" thickBot="1" x14ac:dyDescent="0.3">
      <c r="A501" s="36"/>
      <c r="B501" s="22"/>
      <c r="C501" s="22"/>
      <c r="D501" s="22"/>
      <c r="E501" s="25"/>
      <c r="F501" s="206"/>
      <c r="G501" s="25" t="s">
        <v>39</v>
      </c>
      <c r="H501" s="42">
        <f>ROUND(SUM(G491:G500),0)</f>
        <v>5862462</v>
      </c>
    </row>
    <row r="502" spans="1:8" ht="15.75" thickBot="1" x14ac:dyDescent="0.3">
      <c r="A502" s="604" t="s">
        <v>49</v>
      </c>
      <c r="B502" s="605"/>
      <c r="C502" s="22"/>
      <c r="D502" s="22"/>
      <c r="E502" s="25"/>
      <c r="F502" s="206"/>
      <c r="G502" s="25"/>
      <c r="H502" s="26"/>
    </row>
    <row r="503" spans="1:8" x14ac:dyDescent="0.25">
      <c r="A503" s="503" t="s">
        <v>50</v>
      </c>
      <c r="B503" s="504"/>
      <c r="C503" s="43" t="s">
        <v>73</v>
      </c>
      <c r="D503" s="27" t="s">
        <v>52</v>
      </c>
      <c r="E503" s="125" t="s">
        <v>34</v>
      </c>
      <c r="F503" s="203" t="s">
        <v>35</v>
      </c>
      <c r="G503" s="39" t="s">
        <v>36</v>
      </c>
      <c r="H503" s="505"/>
    </row>
    <row r="504" spans="1:8" x14ac:dyDescent="0.25">
      <c r="A504" s="559" t="s">
        <v>220</v>
      </c>
      <c r="B504" s="560"/>
      <c r="C504" s="232" t="s">
        <v>68</v>
      </c>
      <c r="D504" s="232"/>
      <c r="E504" s="126">
        <v>600000</v>
      </c>
      <c r="F504" s="214">
        <v>1</v>
      </c>
      <c r="G504" s="40">
        <f>E504*F504</f>
        <v>600000</v>
      </c>
      <c r="H504" s="506"/>
    </row>
    <row r="505" spans="1:8" ht="15.75" thickBot="1" x14ac:dyDescent="0.3">
      <c r="A505" s="513"/>
      <c r="B505" s="514"/>
      <c r="C505" s="34"/>
      <c r="D505" s="34"/>
      <c r="E505" s="127"/>
      <c r="F505" s="205"/>
      <c r="G505" s="41"/>
      <c r="H505" s="512"/>
    </row>
    <row r="506" spans="1:8" ht="15.75" thickBot="1" x14ac:dyDescent="0.3">
      <c r="A506" s="36"/>
      <c r="B506" s="22"/>
      <c r="C506" s="22"/>
      <c r="D506" s="22"/>
      <c r="E506" s="25"/>
      <c r="F506" s="206"/>
      <c r="G506" s="25" t="s">
        <v>39</v>
      </c>
      <c r="H506" s="42">
        <f>SUM(G504)</f>
        <v>600000</v>
      </c>
    </row>
    <row r="507" spans="1:8" ht="15.75" thickBot="1" x14ac:dyDescent="0.3">
      <c r="A507" s="101" t="s">
        <v>53</v>
      </c>
      <c r="B507" s="22"/>
      <c r="C507" s="22"/>
      <c r="D507" s="22"/>
      <c r="E507" s="25"/>
      <c r="F507" s="206"/>
      <c r="G507" s="25"/>
      <c r="H507" s="26"/>
    </row>
    <row r="508" spans="1:8" ht="29.25" customHeight="1" x14ac:dyDescent="0.25">
      <c r="A508" s="515" t="s">
        <v>213</v>
      </c>
      <c r="B508" s="516"/>
      <c r="C508" s="43" t="s">
        <v>56</v>
      </c>
      <c r="D508" s="27" t="s">
        <v>57</v>
      </c>
      <c r="E508" s="128" t="s">
        <v>58</v>
      </c>
      <c r="F508" s="203" t="s">
        <v>59</v>
      </c>
      <c r="G508" s="39" t="s">
        <v>36</v>
      </c>
      <c r="H508" s="517"/>
    </row>
    <row r="509" spans="1:8" x14ac:dyDescent="0.25">
      <c r="A509" s="612" t="str">
        <f>'CUADRILLAS DE OBRA'!B28</f>
        <v>CUADRILLA 3</v>
      </c>
      <c r="B509" s="613"/>
      <c r="C509" s="134">
        <f>'CUADRILLAS DE OBRA'!E29</f>
        <v>20820</v>
      </c>
      <c r="D509" s="235">
        <f>PRESTACIONES!E28</f>
        <v>0.8952</v>
      </c>
      <c r="E509" s="134">
        <f>'CUADRILLAS DE OBRA'!G29</f>
        <v>39458</v>
      </c>
      <c r="F509" s="71">
        <v>5</v>
      </c>
      <c r="G509" s="102">
        <f>E509*F509</f>
        <v>197290</v>
      </c>
      <c r="H509" s="518"/>
    </row>
    <row r="510" spans="1:8" x14ac:dyDescent="0.25">
      <c r="A510" s="47"/>
      <c r="B510" s="48"/>
      <c r="C510" s="44"/>
      <c r="D510" s="48"/>
      <c r="E510" s="88"/>
      <c r="F510" s="71"/>
      <c r="G510" s="102"/>
      <c r="H510" s="518"/>
    </row>
    <row r="511" spans="1:8" ht="15.75" thickBot="1" x14ac:dyDescent="0.3">
      <c r="A511" s="50"/>
      <c r="B511" s="34"/>
      <c r="C511" s="34"/>
      <c r="D511" s="34"/>
      <c r="E511" s="127"/>
      <c r="F511" s="205"/>
      <c r="G511" s="41"/>
      <c r="H511" s="519"/>
    </row>
    <row r="512" spans="1:8" ht="15.75" thickBot="1" x14ac:dyDescent="0.3">
      <c r="A512" s="36"/>
      <c r="B512" s="22"/>
      <c r="C512" s="22"/>
      <c r="D512" s="22"/>
      <c r="E512" s="25"/>
      <c r="F512" s="206"/>
      <c r="G512" s="25" t="s">
        <v>39</v>
      </c>
      <c r="H512" s="42">
        <f>SUM(G509:G510)</f>
        <v>197290</v>
      </c>
    </row>
    <row r="513" spans="1:9" ht="15.75" thickBot="1" x14ac:dyDescent="0.3">
      <c r="A513" s="600" t="s">
        <v>61</v>
      </c>
      <c r="B513" s="601"/>
      <c r="C513" s="22"/>
      <c r="D513" s="22"/>
      <c r="E513" s="25"/>
      <c r="F513" s="206"/>
      <c r="G513" s="25"/>
      <c r="H513" s="26"/>
    </row>
    <row r="514" spans="1:9" x14ac:dyDescent="0.25">
      <c r="A514" s="521" t="s">
        <v>32</v>
      </c>
      <c r="B514" s="522"/>
      <c r="C514" s="522"/>
      <c r="D514" s="522"/>
      <c r="E514" s="523"/>
      <c r="F514" s="51" t="s">
        <v>62</v>
      </c>
      <c r="G514" s="52" t="s">
        <v>63</v>
      </c>
      <c r="H514" s="524"/>
    </row>
    <row r="515" spans="1:9" x14ac:dyDescent="0.25">
      <c r="A515" s="487" t="s">
        <v>24</v>
      </c>
      <c r="B515" s="488"/>
      <c r="C515" s="488"/>
      <c r="D515" s="488"/>
      <c r="E515" s="489"/>
      <c r="F515" s="53">
        <v>0</v>
      </c>
      <c r="G515" s="54">
        <v>0</v>
      </c>
      <c r="H515" s="525"/>
    </row>
    <row r="516" spans="1:9" x14ac:dyDescent="0.25">
      <c r="A516" s="487" t="s">
        <v>25</v>
      </c>
      <c r="B516" s="488"/>
      <c r="C516" s="488"/>
      <c r="D516" s="488"/>
      <c r="E516" s="489"/>
      <c r="F516" s="53">
        <v>0</v>
      </c>
      <c r="G516" s="54">
        <v>0</v>
      </c>
      <c r="H516" s="525"/>
    </row>
    <row r="517" spans="1:9" ht="15.75" thickBot="1" x14ac:dyDescent="0.3">
      <c r="A517" s="483" t="s">
        <v>64</v>
      </c>
      <c r="B517" s="484"/>
      <c r="C517" s="484"/>
      <c r="D517" s="484"/>
      <c r="E517" s="485"/>
      <c r="F517" s="55">
        <v>0</v>
      </c>
      <c r="G517" s="56">
        <v>0</v>
      </c>
      <c r="H517" s="526"/>
    </row>
    <row r="518" spans="1:9" ht="15.75" thickBot="1" x14ac:dyDescent="0.3">
      <c r="A518" s="490" t="s">
        <v>39</v>
      </c>
      <c r="B518" s="576"/>
      <c r="C518" s="576"/>
      <c r="D518" s="576"/>
      <c r="E518" s="576"/>
      <c r="F518" s="576"/>
      <c r="G518" s="576"/>
      <c r="H518" s="37">
        <v>0</v>
      </c>
    </row>
    <row r="519" spans="1:9" ht="15.75" thickBot="1" x14ac:dyDescent="0.3">
      <c r="A519" s="492"/>
      <c r="B519" s="564"/>
      <c r="C519" s="564"/>
      <c r="D519" s="564"/>
      <c r="E519" s="564"/>
      <c r="F519" s="564"/>
      <c r="G519" s="564"/>
      <c r="H519" s="494"/>
    </row>
    <row r="520" spans="1:9" ht="15.75" thickBot="1" x14ac:dyDescent="0.3">
      <c r="A520" s="585"/>
      <c r="B520" s="586"/>
      <c r="C520" s="586"/>
      <c r="D520" s="587"/>
      <c r="E520" s="573" t="s">
        <v>65</v>
      </c>
      <c r="F520" s="574"/>
      <c r="G520" s="575"/>
      <c r="H520" s="57">
        <f>ROUND(SUM(H488:H518),0)</f>
        <v>6669617</v>
      </c>
      <c r="I520" s="201"/>
    </row>
    <row r="521" spans="1:9" x14ac:dyDescent="0.25">
      <c r="A521" s="461" t="s">
        <v>66</v>
      </c>
      <c r="B521" s="461"/>
      <c r="C521" s="58"/>
      <c r="D521" s="58"/>
      <c r="E521" s="59"/>
      <c r="F521" s="202"/>
      <c r="G521" s="59"/>
      <c r="H521" s="60"/>
    </row>
    <row r="522" spans="1:9" x14ac:dyDescent="0.25">
      <c r="A522" s="460" t="s">
        <v>320</v>
      </c>
      <c r="B522" s="460"/>
      <c r="C522" s="58"/>
      <c r="D522" s="58"/>
      <c r="E522" s="59"/>
      <c r="F522" s="202"/>
      <c r="G522" s="59"/>
      <c r="H522" s="60"/>
    </row>
    <row r="523" spans="1:9" ht="15.75" thickBot="1" x14ac:dyDescent="0.3"/>
    <row r="524" spans="1:9" ht="15.75" thickBot="1" x14ac:dyDescent="0.3">
      <c r="A524" s="91" t="s">
        <v>28</v>
      </c>
      <c r="B524" s="606" t="str">
        <f>PRESUPUESTO!B25</f>
        <v>Suministro e instalacion de juegos infantiles en madera plastica burrito balancin.</v>
      </c>
      <c r="C524" s="607"/>
      <c r="D524" s="607"/>
      <c r="E524" s="607"/>
      <c r="F524" s="608"/>
      <c r="G524" s="92" t="s">
        <v>29</v>
      </c>
      <c r="H524" s="65" t="s">
        <v>18</v>
      </c>
    </row>
    <row r="525" spans="1:9" ht="15.75" thickBot="1" x14ac:dyDescent="0.3">
      <c r="A525" s="93" t="str">
        <f>PRESUPUESTO!A24</f>
        <v>4.1</v>
      </c>
      <c r="B525" s="609"/>
      <c r="C525" s="610"/>
      <c r="D525" s="610"/>
      <c r="E525" s="610"/>
      <c r="F525" s="611"/>
      <c r="G525" s="94" t="s">
        <v>30</v>
      </c>
      <c r="H525" s="95"/>
    </row>
    <row r="526" spans="1:9" ht="15.75" thickBot="1" x14ac:dyDescent="0.3">
      <c r="A526" s="20"/>
      <c r="B526" s="21"/>
      <c r="C526" s="21"/>
      <c r="D526" s="21"/>
      <c r="E526" s="23"/>
      <c r="F526" s="206"/>
      <c r="G526" s="23"/>
      <c r="H526" s="24"/>
    </row>
    <row r="527" spans="1:9" ht="15.75" thickBot="1" x14ac:dyDescent="0.3">
      <c r="A527" s="600" t="s">
        <v>31</v>
      </c>
      <c r="B527" s="601"/>
      <c r="C527" s="22"/>
      <c r="D527" s="22"/>
      <c r="E527" s="25"/>
      <c r="F527" s="206"/>
      <c r="G527" s="25"/>
      <c r="H527" s="26"/>
    </row>
    <row r="528" spans="1:9" x14ac:dyDescent="0.25">
      <c r="A528" s="503" t="s">
        <v>32</v>
      </c>
      <c r="B528" s="504"/>
      <c r="C528" s="27" t="s">
        <v>69</v>
      </c>
      <c r="D528" s="27" t="s">
        <v>52</v>
      </c>
      <c r="E528" s="125" t="s">
        <v>34</v>
      </c>
      <c r="F528" s="203" t="s">
        <v>35</v>
      </c>
      <c r="G528" s="28" t="s">
        <v>36</v>
      </c>
      <c r="H528" s="582"/>
    </row>
    <row r="529" spans="1:8" x14ac:dyDescent="0.25">
      <c r="A529" s="559" t="s">
        <v>70</v>
      </c>
      <c r="B529" s="560"/>
      <c r="C529" s="29" t="s">
        <v>38</v>
      </c>
      <c r="D529" s="29" t="s">
        <v>38</v>
      </c>
      <c r="E529" s="126"/>
      <c r="F529" s="204"/>
      <c r="G529" s="31">
        <f>H555*(0.05)</f>
        <v>1076.1500000000001</v>
      </c>
      <c r="H529" s="583"/>
    </row>
    <row r="530" spans="1:8" x14ac:dyDescent="0.25">
      <c r="A530" s="508" t="s">
        <v>87</v>
      </c>
      <c r="B530" s="590"/>
      <c r="C530" s="29"/>
      <c r="D530" s="29"/>
      <c r="E530" s="126"/>
      <c r="F530" s="204"/>
      <c r="G530" s="31"/>
      <c r="H530" s="583"/>
    </row>
    <row r="531" spans="1:8" x14ac:dyDescent="0.25">
      <c r="A531" s="508" t="s">
        <v>88</v>
      </c>
      <c r="B531" s="509"/>
      <c r="C531" s="29"/>
      <c r="D531" s="29"/>
      <c r="E531" s="126"/>
      <c r="F531" s="204"/>
      <c r="G531" s="31"/>
      <c r="H531" s="583"/>
    </row>
    <row r="532" spans="1:8" x14ac:dyDescent="0.25">
      <c r="A532" s="559"/>
      <c r="B532" s="560"/>
      <c r="C532" s="29"/>
      <c r="D532" s="29"/>
      <c r="E532" s="126"/>
      <c r="F532" s="204"/>
      <c r="G532" s="31"/>
      <c r="H532" s="583"/>
    </row>
    <row r="533" spans="1:8" ht="15.75" thickBot="1" x14ac:dyDescent="0.3">
      <c r="A533" s="513"/>
      <c r="B533" s="514"/>
      <c r="C533" s="33"/>
      <c r="D533" s="33"/>
      <c r="E533" s="127"/>
      <c r="F533" s="205"/>
      <c r="G533" s="35"/>
      <c r="H533" s="584"/>
    </row>
    <row r="534" spans="1:8" ht="15.75" thickBot="1" x14ac:dyDescent="0.3">
      <c r="A534" s="36"/>
      <c r="B534" s="22"/>
      <c r="C534" s="22"/>
      <c r="D534" s="22"/>
      <c r="E534" s="25"/>
      <c r="F534" s="206"/>
      <c r="G534" s="25" t="s">
        <v>39</v>
      </c>
      <c r="H534" s="37">
        <f>ROUND(SUM(G529:G533),0)</f>
        <v>1076</v>
      </c>
    </row>
    <row r="535" spans="1:8" ht="15.75" thickBot="1" x14ac:dyDescent="0.3">
      <c r="A535" s="600" t="s">
        <v>40</v>
      </c>
      <c r="B535" s="601"/>
      <c r="C535" s="22"/>
      <c r="D535" s="22"/>
      <c r="E535" s="25"/>
      <c r="F535" s="206"/>
      <c r="G535" s="25"/>
      <c r="H535" s="26"/>
    </row>
    <row r="536" spans="1:8" x14ac:dyDescent="0.25">
      <c r="A536" s="503" t="s">
        <v>32</v>
      </c>
      <c r="B536" s="504"/>
      <c r="C536" s="38" t="s">
        <v>228</v>
      </c>
      <c r="D536" s="27" t="s">
        <v>29</v>
      </c>
      <c r="E536" s="125" t="s">
        <v>42</v>
      </c>
      <c r="F536" s="203" t="s">
        <v>35</v>
      </c>
      <c r="G536" s="39" t="s">
        <v>36</v>
      </c>
      <c r="H536" s="505"/>
    </row>
    <row r="537" spans="1:8" x14ac:dyDescent="0.25">
      <c r="A537" s="577" t="s">
        <v>221</v>
      </c>
      <c r="B537" s="572"/>
      <c r="C537" s="234">
        <f>E537*0.19</f>
        <v>112100</v>
      </c>
      <c r="D537" s="71" t="s">
        <v>18</v>
      </c>
      <c r="E537" s="135">
        <v>590000</v>
      </c>
      <c r="F537" s="221">
        <v>1</v>
      </c>
      <c r="G537" s="40">
        <f>E537+C537*F537</f>
        <v>702100</v>
      </c>
      <c r="H537" s="506"/>
    </row>
    <row r="538" spans="1:8" x14ac:dyDescent="0.25">
      <c r="A538" s="602" t="s">
        <v>89</v>
      </c>
      <c r="B538" s="603"/>
      <c r="C538" s="78"/>
      <c r="D538" s="71" t="s">
        <v>17</v>
      </c>
      <c r="E538" s="126">
        <v>43063</v>
      </c>
      <c r="F538" s="221">
        <v>2</v>
      </c>
      <c r="G538" s="40">
        <f>F538*E538</f>
        <v>86126</v>
      </c>
      <c r="H538" s="506"/>
    </row>
    <row r="539" spans="1:8" x14ac:dyDescent="0.25">
      <c r="A539" s="559" t="s">
        <v>90</v>
      </c>
      <c r="B539" s="560"/>
      <c r="C539" s="30"/>
      <c r="D539" s="29" t="s">
        <v>44</v>
      </c>
      <c r="E539" s="126">
        <v>2500</v>
      </c>
      <c r="F539" s="221">
        <v>0.5</v>
      </c>
      <c r="G539" s="40">
        <f t="shared" ref="G539:G540" si="8">F539*E539</f>
        <v>1250</v>
      </c>
      <c r="H539" s="506"/>
    </row>
    <row r="540" spans="1:8" x14ac:dyDescent="0.25">
      <c r="A540" s="559" t="s">
        <v>91</v>
      </c>
      <c r="B540" s="560"/>
      <c r="C540" s="30"/>
      <c r="D540" s="29" t="s">
        <v>44</v>
      </c>
      <c r="E540" s="126">
        <v>3800</v>
      </c>
      <c r="F540" s="221">
        <v>0.2</v>
      </c>
      <c r="G540" s="40">
        <f t="shared" si="8"/>
        <v>760</v>
      </c>
      <c r="H540" s="506"/>
    </row>
    <row r="541" spans="1:8" x14ac:dyDescent="0.25">
      <c r="A541" s="559" t="s">
        <v>83</v>
      </c>
      <c r="B541" s="560"/>
      <c r="C541" s="74">
        <v>0.05</v>
      </c>
      <c r="D541" s="29"/>
      <c r="E541" s="126"/>
      <c r="F541" s="221"/>
      <c r="G541" s="40">
        <v>15970.5</v>
      </c>
      <c r="H541" s="506"/>
    </row>
    <row r="542" spans="1:8" ht="15.75" thickBot="1" x14ac:dyDescent="0.3">
      <c r="A542" s="513"/>
      <c r="B542" s="514"/>
      <c r="C542" s="34"/>
      <c r="D542" s="33"/>
      <c r="E542" s="127"/>
      <c r="F542" s="205"/>
      <c r="G542" s="41"/>
      <c r="H542" s="512"/>
    </row>
    <row r="543" spans="1:8" ht="15.75" thickBot="1" x14ac:dyDescent="0.3">
      <c r="A543" s="36"/>
      <c r="B543" s="22"/>
      <c r="C543" s="22"/>
      <c r="D543" s="22"/>
      <c r="E543" s="25"/>
      <c r="F543" s="206"/>
      <c r="G543" s="25" t="s">
        <v>39</v>
      </c>
      <c r="H543" s="42">
        <f>ROUND(G537+G539+G540+G541+G538,0)</f>
        <v>806207</v>
      </c>
    </row>
    <row r="544" spans="1:8" ht="15.75" thickBot="1" x14ac:dyDescent="0.3">
      <c r="A544" s="604" t="s">
        <v>49</v>
      </c>
      <c r="B544" s="605"/>
      <c r="C544" s="22"/>
      <c r="D544" s="22"/>
      <c r="E544" s="25"/>
      <c r="F544" s="206"/>
      <c r="G544" s="25"/>
      <c r="H544" s="26"/>
    </row>
    <row r="545" spans="1:8" x14ac:dyDescent="0.25">
      <c r="A545" s="503" t="s">
        <v>50</v>
      </c>
      <c r="B545" s="504"/>
      <c r="C545" s="43" t="s">
        <v>73</v>
      </c>
      <c r="D545" s="27" t="s">
        <v>52</v>
      </c>
      <c r="E545" s="125" t="s">
        <v>34</v>
      </c>
      <c r="F545" s="203" t="s">
        <v>35</v>
      </c>
      <c r="G545" s="39" t="s">
        <v>36</v>
      </c>
      <c r="H545" s="505"/>
    </row>
    <row r="546" spans="1:8" x14ac:dyDescent="0.25">
      <c r="A546" s="593" t="s">
        <v>80</v>
      </c>
      <c r="B546" s="594"/>
      <c r="C546" s="44" t="s">
        <v>68</v>
      </c>
      <c r="D546" s="44"/>
      <c r="E546" s="72">
        <v>100000</v>
      </c>
      <c r="F546" s="217">
        <v>0.5</v>
      </c>
      <c r="G546" s="45">
        <f>E546*F546</f>
        <v>50000</v>
      </c>
      <c r="H546" s="506"/>
    </row>
    <row r="547" spans="1:8" x14ac:dyDescent="0.25">
      <c r="A547" s="569"/>
      <c r="B547" s="570"/>
      <c r="C547" s="44"/>
      <c r="D547" s="44"/>
      <c r="E547" s="72"/>
      <c r="F547" s="217"/>
      <c r="G547" s="45"/>
      <c r="H547" s="506"/>
    </row>
    <row r="548" spans="1:8" ht="15.75" thickBot="1" x14ac:dyDescent="0.3">
      <c r="A548" s="513"/>
      <c r="B548" s="514"/>
      <c r="C548" s="34"/>
      <c r="D548" s="34"/>
      <c r="E548" s="127"/>
      <c r="F548" s="205"/>
      <c r="G548" s="41"/>
      <c r="H548" s="512"/>
    </row>
    <row r="549" spans="1:8" ht="15.75" thickBot="1" x14ac:dyDescent="0.3">
      <c r="A549" s="36"/>
      <c r="B549" s="22"/>
      <c r="C549" s="22"/>
      <c r="D549" s="22"/>
      <c r="E549" s="25"/>
      <c r="F549" s="206"/>
      <c r="G549" s="25" t="s">
        <v>39</v>
      </c>
      <c r="H549" s="42">
        <f>ROUND(SUM(G546:G548),0)</f>
        <v>50000</v>
      </c>
    </row>
    <row r="550" spans="1:8" ht="15.75" thickBot="1" x14ac:dyDescent="0.3">
      <c r="A550" s="101" t="s">
        <v>53</v>
      </c>
      <c r="B550" s="22"/>
      <c r="C550" s="22"/>
      <c r="D550" s="22"/>
      <c r="E550" s="25"/>
      <c r="F550" s="206"/>
      <c r="G550" s="25"/>
      <c r="H550" s="26"/>
    </row>
    <row r="551" spans="1:8" x14ac:dyDescent="0.25">
      <c r="A551" s="46" t="s">
        <v>54</v>
      </c>
      <c r="B551" s="27" t="s">
        <v>55</v>
      </c>
      <c r="C551" s="43" t="s">
        <v>96</v>
      </c>
      <c r="D551" s="27" t="s">
        <v>57</v>
      </c>
      <c r="E551" s="128" t="s">
        <v>92</v>
      </c>
      <c r="F551" s="203" t="s">
        <v>59</v>
      </c>
      <c r="G551" s="39" t="s">
        <v>36</v>
      </c>
      <c r="H551" s="517"/>
    </row>
    <row r="552" spans="1:8" x14ac:dyDescent="0.25">
      <c r="A552" s="595" t="str">
        <f>'CUADRILLAS DE OBRA'!B22</f>
        <v>CUADRILLA 1</v>
      </c>
      <c r="B552" s="596"/>
      <c r="C552" s="107">
        <f>'CUADRILLAS DE OBRA'!E23</f>
        <v>9464</v>
      </c>
      <c r="D552" s="200">
        <f>PRESTACIONES!E28</f>
        <v>0.8952</v>
      </c>
      <c r="E552" s="72">
        <f>'CUADRILLAS DE OBRA'!G23</f>
        <v>17936</v>
      </c>
      <c r="F552" s="217">
        <v>1.2</v>
      </c>
      <c r="G552" s="102">
        <f>E552*F552</f>
        <v>21523.200000000001</v>
      </c>
      <c r="H552" s="518"/>
    </row>
    <row r="553" spans="1:8" x14ac:dyDescent="0.25">
      <c r="A553" s="47"/>
      <c r="B553" s="48"/>
      <c r="C553" s="108"/>
      <c r="D553" s="48"/>
      <c r="E553" s="72"/>
      <c r="F553" s="217"/>
      <c r="G553" s="72"/>
      <c r="H553" s="518"/>
    </row>
    <row r="554" spans="1:8" ht="15.75" thickBot="1" x14ac:dyDescent="0.3">
      <c r="A554" s="50"/>
      <c r="B554" s="34"/>
      <c r="C554" s="34"/>
      <c r="D554" s="34"/>
      <c r="E554" s="127"/>
      <c r="F554" s="205"/>
      <c r="G554" s="41"/>
      <c r="H554" s="519"/>
    </row>
    <row r="555" spans="1:8" ht="15.75" thickBot="1" x14ac:dyDescent="0.3">
      <c r="A555" s="36"/>
      <c r="B555" s="22"/>
      <c r="C555" s="22"/>
      <c r="D555" s="22"/>
      <c r="E555" s="25"/>
      <c r="F555" s="206"/>
      <c r="G555" s="25" t="s">
        <v>39</v>
      </c>
      <c r="H555" s="42">
        <f>ROUND(SUM(G552:G554),0)</f>
        <v>21523</v>
      </c>
    </row>
    <row r="556" spans="1:8" ht="15.75" thickBot="1" x14ac:dyDescent="0.3">
      <c r="A556" s="600" t="s">
        <v>61</v>
      </c>
      <c r="B556" s="601"/>
      <c r="C556" s="22"/>
      <c r="D556" s="22"/>
      <c r="E556" s="25"/>
      <c r="F556" s="206"/>
      <c r="G556" s="25"/>
      <c r="H556" s="26"/>
    </row>
    <row r="557" spans="1:8" x14ac:dyDescent="0.25">
      <c r="A557" s="521" t="s">
        <v>32</v>
      </c>
      <c r="B557" s="522"/>
      <c r="C557" s="522"/>
      <c r="D557" s="522"/>
      <c r="E557" s="523"/>
      <c r="F557" s="51" t="s">
        <v>62</v>
      </c>
      <c r="G557" s="52" t="s">
        <v>63</v>
      </c>
      <c r="H557" s="524"/>
    </row>
    <row r="558" spans="1:8" x14ac:dyDescent="0.25">
      <c r="A558" s="487" t="s">
        <v>24</v>
      </c>
      <c r="B558" s="488"/>
      <c r="C558" s="488"/>
      <c r="D558" s="488"/>
      <c r="E558" s="489"/>
      <c r="F558" s="53">
        <v>0</v>
      </c>
      <c r="G558" s="54">
        <f>ROUND((H555+H549+H543+H534)*F558,0)</f>
        <v>0</v>
      </c>
      <c r="H558" s="525"/>
    </row>
    <row r="559" spans="1:8" x14ac:dyDescent="0.25">
      <c r="A559" s="487" t="s">
        <v>25</v>
      </c>
      <c r="B559" s="488"/>
      <c r="C559" s="488"/>
      <c r="D559" s="488"/>
      <c r="E559" s="489"/>
      <c r="F559" s="53">
        <v>0</v>
      </c>
      <c r="G559" s="54">
        <f>ROUND((H534+H543+H549+H555)*F559,0)</f>
        <v>0</v>
      </c>
      <c r="H559" s="525"/>
    </row>
    <row r="560" spans="1:8" ht="15.75" thickBot="1" x14ac:dyDescent="0.3">
      <c r="A560" s="483" t="s">
        <v>64</v>
      </c>
      <c r="B560" s="484"/>
      <c r="C560" s="484"/>
      <c r="D560" s="484"/>
      <c r="E560" s="485"/>
      <c r="F560" s="55">
        <v>0</v>
      </c>
      <c r="G560" s="56">
        <f>ROUND((H534+H543+H549+H555)*F560,0)</f>
        <v>0</v>
      </c>
      <c r="H560" s="526"/>
    </row>
    <row r="561" spans="1:9" ht="15.75" thickBot="1" x14ac:dyDescent="0.3">
      <c r="A561" s="490" t="s">
        <v>39</v>
      </c>
      <c r="B561" s="576"/>
      <c r="C561" s="576"/>
      <c r="D561" s="576"/>
      <c r="E561" s="576"/>
      <c r="F561" s="576"/>
      <c r="G561" s="576"/>
      <c r="H561" s="37">
        <f>SUM(G558:G560)</f>
        <v>0</v>
      </c>
    </row>
    <row r="562" spans="1:9" ht="15.75" thickBot="1" x14ac:dyDescent="0.3">
      <c r="A562" s="492"/>
      <c r="B562" s="564"/>
      <c r="C562" s="564"/>
      <c r="D562" s="564"/>
      <c r="E562" s="564"/>
      <c r="F562" s="564"/>
      <c r="G562" s="564"/>
      <c r="H562" s="494"/>
    </row>
    <row r="563" spans="1:9" ht="15.75" thickBot="1" x14ac:dyDescent="0.3">
      <c r="A563" s="585"/>
      <c r="B563" s="586"/>
      <c r="C563" s="586"/>
      <c r="D563" s="587"/>
      <c r="E563" s="597" t="s">
        <v>65</v>
      </c>
      <c r="F563" s="598"/>
      <c r="G563" s="599"/>
      <c r="H563" s="109">
        <f>ROUND(SUM(H528:H561),0)</f>
        <v>878806</v>
      </c>
      <c r="I563" s="265"/>
    </row>
    <row r="565" spans="1:9" x14ac:dyDescent="0.25">
      <c r="A565" s="461" t="s">
        <v>66</v>
      </c>
      <c r="B565" s="461"/>
    </row>
    <row r="566" spans="1:9" x14ac:dyDescent="0.25">
      <c r="A566" s="460" t="s">
        <v>320</v>
      </c>
      <c r="B566" s="460"/>
    </row>
    <row r="567" spans="1:9" ht="15.75" thickBot="1" x14ac:dyDescent="0.3"/>
    <row r="568" spans="1:9" ht="15.75" thickBot="1" x14ac:dyDescent="0.3">
      <c r="A568" s="63" t="s">
        <v>28</v>
      </c>
      <c r="B568" s="527" t="str">
        <f>PRESUPUESTO!B26</f>
        <v>Suministro e instalacion de bancas con espaldar en madera plastica  según especificaciones técnicas.</v>
      </c>
      <c r="C568" s="528"/>
      <c r="D568" s="528"/>
      <c r="E568" s="528"/>
      <c r="F568" s="529"/>
      <c r="G568" s="64" t="s">
        <v>29</v>
      </c>
      <c r="H568" s="65" t="str">
        <f>PRESUPUESTO!C26</f>
        <v>und</v>
      </c>
    </row>
    <row r="569" spans="1:9" ht="15.75" thickBot="1" x14ac:dyDescent="0.3">
      <c r="A569" s="66" t="str">
        <f>PRESUPUESTO!A26</f>
        <v>4.3</v>
      </c>
      <c r="B569" s="530"/>
      <c r="C569" s="531"/>
      <c r="D569" s="531"/>
      <c r="E569" s="531"/>
      <c r="F569" s="532"/>
      <c r="G569" s="67" t="s">
        <v>30</v>
      </c>
      <c r="H569" s="68"/>
    </row>
    <row r="570" spans="1:9" ht="15.75" thickBot="1" x14ac:dyDescent="0.3">
      <c r="A570" s="20"/>
      <c r="B570" s="21"/>
      <c r="C570" s="21"/>
      <c r="D570" s="21"/>
      <c r="E570" s="23"/>
      <c r="F570" s="206"/>
      <c r="G570" s="23"/>
      <c r="H570" s="24"/>
    </row>
    <row r="571" spans="1:9" ht="15.75" thickBot="1" x14ac:dyDescent="0.3">
      <c r="A571" s="501" t="s">
        <v>31</v>
      </c>
      <c r="B571" s="502"/>
      <c r="C571" s="22"/>
      <c r="D571" s="22"/>
      <c r="E571" s="25"/>
      <c r="F571" s="206"/>
      <c r="G571" s="25"/>
      <c r="H571" s="26"/>
    </row>
    <row r="572" spans="1:9" x14ac:dyDescent="0.25">
      <c r="A572" s="503" t="s">
        <v>32</v>
      </c>
      <c r="B572" s="504"/>
      <c r="C572" s="27" t="s">
        <v>69</v>
      </c>
      <c r="D572" s="27" t="s">
        <v>52</v>
      </c>
      <c r="E572" s="125" t="s">
        <v>34</v>
      </c>
      <c r="F572" s="203" t="s">
        <v>35</v>
      </c>
      <c r="G572" s="28" t="s">
        <v>36</v>
      </c>
      <c r="H572" s="582"/>
    </row>
    <row r="573" spans="1:9" x14ac:dyDescent="0.25">
      <c r="A573" s="559" t="s">
        <v>70</v>
      </c>
      <c r="B573" s="560"/>
      <c r="C573" s="29" t="s">
        <v>38</v>
      </c>
      <c r="D573" s="29" t="s">
        <v>38</v>
      </c>
      <c r="E573" s="126"/>
      <c r="F573" s="204"/>
      <c r="G573" s="31">
        <v>400</v>
      </c>
      <c r="H573" s="583"/>
    </row>
    <row r="574" spans="1:9" x14ac:dyDescent="0.25">
      <c r="A574" s="508" t="s">
        <v>87</v>
      </c>
      <c r="B574" s="590"/>
      <c r="C574" s="29"/>
      <c r="D574" s="29"/>
      <c r="E574" s="126"/>
      <c r="F574" s="204"/>
      <c r="G574" s="31"/>
      <c r="H574" s="583"/>
    </row>
    <row r="575" spans="1:9" x14ac:dyDescent="0.25">
      <c r="A575" s="508"/>
      <c r="B575" s="509"/>
      <c r="C575" s="29"/>
      <c r="D575" s="29"/>
      <c r="E575" s="126"/>
      <c r="F575" s="204"/>
      <c r="G575" s="31"/>
      <c r="H575" s="583"/>
    </row>
    <row r="576" spans="1:9" x14ac:dyDescent="0.25">
      <c r="A576" s="559"/>
      <c r="B576" s="560"/>
      <c r="C576" s="29"/>
      <c r="D576" s="29"/>
      <c r="E576" s="126"/>
      <c r="F576" s="204"/>
      <c r="G576" s="31"/>
      <c r="H576" s="583"/>
    </row>
    <row r="577" spans="1:8" ht="15.75" thickBot="1" x14ac:dyDescent="0.3">
      <c r="A577" s="513"/>
      <c r="B577" s="514"/>
      <c r="C577" s="33"/>
      <c r="D577" s="33"/>
      <c r="E577" s="127"/>
      <c r="F577" s="205"/>
      <c r="G577" s="35"/>
      <c r="H577" s="584"/>
    </row>
    <row r="578" spans="1:8" ht="15.75" thickBot="1" x14ac:dyDescent="0.3">
      <c r="A578" s="36"/>
      <c r="B578" s="22"/>
      <c r="C578" s="22"/>
      <c r="D578" s="22"/>
      <c r="E578" s="25"/>
      <c r="F578" s="206"/>
      <c r="G578" s="25" t="s">
        <v>39</v>
      </c>
      <c r="H578" s="37">
        <f>SUM(G573:G577)</f>
        <v>400</v>
      </c>
    </row>
    <row r="579" spans="1:8" ht="15.75" thickBot="1" x14ac:dyDescent="0.3">
      <c r="A579" s="501" t="s">
        <v>40</v>
      </c>
      <c r="B579" s="502"/>
      <c r="C579" s="22"/>
      <c r="D579" s="22"/>
      <c r="E579" s="25"/>
      <c r="F579" s="206"/>
      <c r="G579" s="25"/>
      <c r="H579" s="26"/>
    </row>
    <row r="580" spans="1:8" x14ac:dyDescent="0.25">
      <c r="A580" s="503" t="s">
        <v>32</v>
      </c>
      <c r="B580" s="504"/>
      <c r="C580" s="38" t="s">
        <v>41</v>
      </c>
      <c r="D580" s="27" t="s">
        <v>29</v>
      </c>
      <c r="E580" s="125" t="s">
        <v>42</v>
      </c>
      <c r="F580" s="203" t="s">
        <v>35</v>
      </c>
      <c r="G580" s="39" t="s">
        <v>36</v>
      </c>
      <c r="H580" s="505"/>
    </row>
    <row r="581" spans="1:8" ht="46.5" customHeight="1" x14ac:dyDescent="0.25">
      <c r="A581" s="577" t="s">
        <v>222</v>
      </c>
      <c r="B581" s="572"/>
      <c r="C581" s="236">
        <f>E581*0.19</f>
        <v>47500</v>
      </c>
      <c r="D581" s="71" t="s">
        <v>18</v>
      </c>
      <c r="E581" s="135">
        <v>250000</v>
      </c>
      <c r="F581" s="221">
        <v>1</v>
      </c>
      <c r="G581" s="40">
        <f>(C581+E581)*F581</f>
        <v>297500</v>
      </c>
      <c r="H581" s="506"/>
    </row>
    <row r="582" spans="1:8" x14ac:dyDescent="0.25">
      <c r="A582" s="591" t="s">
        <v>93</v>
      </c>
      <c r="B582" s="592"/>
      <c r="C582" s="78"/>
      <c r="D582" s="71" t="s">
        <v>17</v>
      </c>
      <c r="E582" s="126">
        <v>2500</v>
      </c>
      <c r="F582" s="221">
        <v>1</v>
      </c>
      <c r="G582" s="40">
        <f>F582*E582</f>
        <v>2500</v>
      </c>
      <c r="H582" s="506"/>
    </row>
    <row r="583" spans="1:8" x14ac:dyDescent="0.25">
      <c r="A583" s="591" t="s">
        <v>94</v>
      </c>
      <c r="B583" s="592"/>
      <c r="C583" s="78"/>
      <c r="D583" s="71" t="s">
        <v>18</v>
      </c>
      <c r="E583" s="126">
        <v>100</v>
      </c>
      <c r="F583" s="221">
        <v>8</v>
      </c>
      <c r="G583" s="40">
        <f>F583*E583</f>
        <v>800</v>
      </c>
      <c r="H583" s="506"/>
    </row>
    <row r="584" spans="1:8" x14ac:dyDescent="0.25">
      <c r="A584" s="591" t="s">
        <v>95</v>
      </c>
      <c r="B584" s="592"/>
      <c r="C584" s="78"/>
      <c r="D584" s="71" t="s">
        <v>18</v>
      </c>
      <c r="E584" s="126">
        <v>100</v>
      </c>
      <c r="F584" s="221">
        <v>8</v>
      </c>
      <c r="G584" s="40">
        <f>F584*E584</f>
        <v>800</v>
      </c>
      <c r="H584" s="506"/>
    </row>
    <row r="585" spans="1:8" x14ac:dyDescent="0.25">
      <c r="A585" s="559" t="s">
        <v>83</v>
      </c>
      <c r="B585" s="560"/>
      <c r="C585" s="74"/>
      <c r="D585" s="29"/>
      <c r="E585" s="126"/>
      <c r="F585" s="221"/>
      <c r="G585" s="40"/>
      <c r="H585" s="506"/>
    </row>
    <row r="586" spans="1:8" ht="15.75" thickBot="1" x14ac:dyDescent="0.3">
      <c r="A586" s="513"/>
      <c r="B586" s="514"/>
      <c r="C586" s="34"/>
      <c r="D586" s="33"/>
      <c r="E586" s="127"/>
      <c r="F586" s="205"/>
      <c r="G586" s="41"/>
      <c r="H586" s="512"/>
    </row>
    <row r="587" spans="1:8" ht="15.75" thickBot="1" x14ac:dyDescent="0.3">
      <c r="A587" s="36"/>
      <c r="B587" s="22"/>
      <c r="C587" s="22"/>
      <c r="D587" s="22"/>
      <c r="E587" s="25"/>
      <c r="F587" s="206"/>
      <c r="G587" s="25" t="s">
        <v>39</v>
      </c>
      <c r="H587" s="42">
        <f>G581+G585+G582+G583+G584</f>
        <v>301600</v>
      </c>
    </row>
    <row r="588" spans="1:8" ht="15.75" thickBot="1" x14ac:dyDescent="0.3">
      <c r="A588" s="510" t="s">
        <v>49</v>
      </c>
      <c r="B588" s="511"/>
      <c r="C588" s="22"/>
      <c r="D588" s="22"/>
      <c r="E588" s="25"/>
      <c r="F588" s="206"/>
      <c r="G588" s="25"/>
      <c r="H588" s="26"/>
    </row>
    <row r="589" spans="1:8" x14ac:dyDescent="0.25">
      <c r="A589" s="503" t="s">
        <v>50</v>
      </c>
      <c r="B589" s="504"/>
      <c r="C589" s="43" t="s">
        <v>73</v>
      </c>
      <c r="D589" s="27" t="s">
        <v>52</v>
      </c>
      <c r="E589" s="125" t="s">
        <v>34</v>
      </c>
      <c r="F589" s="203" t="s">
        <v>35</v>
      </c>
      <c r="G589" s="39" t="s">
        <v>36</v>
      </c>
      <c r="H589" s="505"/>
    </row>
    <row r="590" spans="1:8" x14ac:dyDescent="0.25">
      <c r="A590" s="593" t="s">
        <v>80</v>
      </c>
      <c r="B590" s="594"/>
      <c r="C590" s="44" t="s">
        <v>68</v>
      </c>
      <c r="D590" s="44"/>
      <c r="E590" s="72">
        <v>50000</v>
      </c>
      <c r="F590" s="217">
        <v>1</v>
      </c>
      <c r="G590" s="45">
        <f>E590*F590</f>
        <v>50000</v>
      </c>
      <c r="H590" s="506"/>
    </row>
    <row r="591" spans="1:8" x14ac:dyDescent="0.25">
      <c r="A591" s="569"/>
      <c r="B591" s="570"/>
      <c r="C591" s="44"/>
      <c r="D591" s="44"/>
      <c r="E591" s="72"/>
      <c r="F591" s="217"/>
      <c r="G591" s="45"/>
      <c r="H591" s="506"/>
    </row>
    <row r="592" spans="1:8" ht="15.75" thickBot="1" x14ac:dyDescent="0.3">
      <c r="A592" s="513"/>
      <c r="B592" s="514"/>
      <c r="C592" s="34"/>
      <c r="D592" s="34"/>
      <c r="E592" s="127"/>
      <c r="F592" s="205"/>
      <c r="G592" s="41"/>
      <c r="H592" s="512"/>
    </row>
    <row r="593" spans="1:9" ht="15.75" thickBot="1" x14ac:dyDescent="0.3">
      <c r="A593" s="36"/>
      <c r="B593" s="22"/>
      <c r="C593" s="22"/>
      <c r="D593" s="22"/>
      <c r="E593" s="25"/>
      <c r="F593" s="206"/>
      <c r="G593" s="25" t="s">
        <v>39</v>
      </c>
      <c r="H593" s="42">
        <f>SUM(G590:G592)</f>
        <v>50000</v>
      </c>
    </row>
    <row r="594" spans="1:9" ht="15.75" thickBot="1" x14ac:dyDescent="0.3">
      <c r="A594" s="75" t="s">
        <v>53</v>
      </c>
      <c r="B594" s="110"/>
      <c r="C594" s="22"/>
      <c r="D594" s="22"/>
      <c r="E594" s="25"/>
      <c r="F594" s="206"/>
      <c r="G594" s="25"/>
      <c r="H594" s="26"/>
    </row>
    <row r="595" spans="1:9" ht="30" customHeight="1" x14ac:dyDescent="0.25">
      <c r="A595" s="515" t="s">
        <v>213</v>
      </c>
      <c r="B595" s="516"/>
      <c r="C595" s="43" t="s">
        <v>96</v>
      </c>
      <c r="D595" s="27" t="s">
        <v>57</v>
      </c>
      <c r="E595" s="128" t="s">
        <v>58</v>
      </c>
      <c r="F595" s="203" t="s">
        <v>59</v>
      </c>
      <c r="G595" s="39" t="s">
        <v>36</v>
      </c>
      <c r="H595" s="517"/>
    </row>
    <row r="596" spans="1:9" x14ac:dyDescent="0.25">
      <c r="A596" s="580" t="str">
        <f>'CUADRILLAS DE OBRA'!B25</f>
        <v>CUADRILLA 2</v>
      </c>
      <c r="B596" s="581"/>
      <c r="C596" s="123">
        <f>'CUADRILLAS DE OBRA'!E26</f>
        <v>13249</v>
      </c>
      <c r="D596" s="200">
        <f>PRESTACIONES!E28</f>
        <v>0.8952</v>
      </c>
      <c r="E596" s="72">
        <f>'CUADRILLAS DE OBRA'!G26</f>
        <v>25110</v>
      </c>
      <c r="F596" s="217">
        <v>1</v>
      </c>
      <c r="G596" s="72">
        <f>E596*F596</f>
        <v>25110</v>
      </c>
      <c r="H596" s="518"/>
    </row>
    <row r="597" spans="1:9" ht="15.75" thickBot="1" x14ac:dyDescent="0.3">
      <c r="A597" s="50"/>
      <c r="B597" s="34"/>
      <c r="C597" s="34"/>
      <c r="D597" s="34"/>
      <c r="E597" s="127"/>
      <c r="F597" s="205"/>
      <c r="G597" s="41"/>
      <c r="H597" s="519"/>
    </row>
    <row r="598" spans="1:9" ht="15.75" thickBot="1" x14ac:dyDescent="0.3">
      <c r="A598" s="36"/>
      <c r="B598" s="22"/>
      <c r="C598" s="22"/>
      <c r="D598" s="22"/>
      <c r="E598" s="25"/>
      <c r="F598" s="206"/>
      <c r="G598" s="25" t="s">
        <v>39</v>
      </c>
      <c r="H598" s="42">
        <f>SUM(G596:G597)</f>
        <v>25110</v>
      </c>
    </row>
    <row r="599" spans="1:9" ht="15.75" thickBot="1" x14ac:dyDescent="0.3">
      <c r="A599" s="501" t="s">
        <v>61</v>
      </c>
      <c r="B599" s="502"/>
      <c r="C599" s="22"/>
      <c r="D599" s="22"/>
      <c r="E599" s="25"/>
      <c r="F599" s="206"/>
      <c r="G599" s="25"/>
      <c r="H599" s="26"/>
    </row>
    <row r="600" spans="1:9" x14ac:dyDescent="0.25">
      <c r="A600" s="521" t="s">
        <v>32</v>
      </c>
      <c r="B600" s="522"/>
      <c r="C600" s="522"/>
      <c r="D600" s="522"/>
      <c r="E600" s="523"/>
      <c r="F600" s="51" t="s">
        <v>62</v>
      </c>
      <c r="G600" s="52" t="s">
        <v>63</v>
      </c>
      <c r="H600" s="524"/>
    </row>
    <row r="601" spans="1:9" x14ac:dyDescent="0.25">
      <c r="A601" s="487" t="s">
        <v>24</v>
      </c>
      <c r="B601" s="488"/>
      <c r="C601" s="488"/>
      <c r="D601" s="488"/>
      <c r="E601" s="489"/>
      <c r="F601" s="53">
        <v>0</v>
      </c>
      <c r="G601" s="54">
        <f>ROUND((H598+H593+H587+H578)*F601,0)</f>
        <v>0</v>
      </c>
      <c r="H601" s="525"/>
    </row>
    <row r="602" spans="1:9" x14ac:dyDescent="0.25">
      <c r="A602" s="487" t="s">
        <v>25</v>
      </c>
      <c r="B602" s="488"/>
      <c r="C602" s="488"/>
      <c r="D602" s="488"/>
      <c r="E602" s="489"/>
      <c r="F602" s="53">
        <v>0</v>
      </c>
      <c r="G602" s="54">
        <f>ROUND((H578+H587+H593+H598)*F602,0)</f>
        <v>0</v>
      </c>
      <c r="H602" s="525"/>
    </row>
    <row r="603" spans="1:9" ht="15.75" thickBot="1" x14ac:dyDescent="0.3">
      <c r="A603" s="483" t="s">
        <v>64</v>
      </c>
      <c r="B603" s="484"/>
      <c r="C603" s="484"/>
      <c r="D603" s="484"/>
      <c r="E603" s="485"/>
      <c r="F603" s="55">
        <v>0</v>
      </c>
      <c r="G603" s="56">
        <f>ROUND((H578+H587+H593+H598)*F603,0)</f>
        <v>0</v>
      </c>
      <c r="H603" s="526"/>
    </row>
    <row r="604" spans="1:9" ht="15.75" thickBot="1" x14ac:dyDescent="0.3">
      <c r="A604" s="490" t="s">
        <v>39</v>
      </c>
      <c r="B604" s="576"/>
      <c r="C604" s="576"/>
      <c r="D604" s="576"/>
      <c r="E604" s="576"/>
      <c r="F604" s="576"/>
      <c r="G604" s="576"/>
      <c r="H604" s="37">
        <f>SUM(G601:G603)</f>
        <v>0</v>
      </c>
    </row>
    <row r="605" spans="1:9" ht="15.75" thickBot="1" x14ac:dyDescent="0.3">
      <c r="A605" s="492"/>
      <c r="B605" s="564"/>
      <c r="C605" s="564"/>
      <c r="D605" s="564"/>
      <c r="E605" s="564"/>
      <c r="F605" s="564"/>
      <c r="G605" s="564"/>
      <c r="H605" s="494"/>
    </row>
    <row r="606" spans="1:9" ht="15.75" thickBot="1" x14ac:dyDescent="0.3">
      <c r="A606" s="565"/>
      <c r="B606" s="566"/>
      <c r="C606" s="566"/>
      <c r="D606" s="567"/>
      <c r="E606" s="498" t="s">
        <v>65</v>
      </c>
      <c r="F606" s="499"/>
      <c r="G606" s="500"/>
      <c r="H606" s="76">
        <f>ROUND(SUM(H572:H604),0)</f>
        <v>377110</v>
      </c>
      <c r="I606" s="201"/>
    </row>
    <row r="607" spans="1:9" x14ac:dyDescent="0.25">
      <c r="A607" s="461" t="s">
        <v>66</v>
      </c>
      <c r="B607" s="461"/>
    </row>
    <row r="608" spans="1:9" x14ac:dyDescent="0.25">
      <c r="A608" s="460" t="s">
        <v>320</v>
      </c>
      <c r="B608" s="460"/>
    </row>
    <row r="609" spans="1:8" ht="15.75" thickBot="1" x14ac:dyDescent="0.3"/>
    <row r="610" spans="1:8" ht="15.75" thickBot="1" x14ac:dyDescent="0.3">
      <c r="A610" s="63" t="s">
        <v>28</v>
      </c>
      <c r="B610" s="527" t="str">
        <f>PRESUPUESTO!B27</f>
        <v>Suministro e instalacion de puntos ecologicos  en madera plastica según especificaciones técnicas.</v>
      </c>
      <c r="C610" s="528"/>
      <c r="D610" s="528"/>
      <c r="E610" s="528"/>
      <c r="F610" s="529"/>
      <c r="G610" s="64" t="s">
        <v>29</v>
      </c>
      <c r="H610" s="65" t="str">
        <f>PRESUPUESTO!C27</f>
        <v>und</v>
      </c>
    </row>
    <row r="611" spans="1:8" ht="15.75" thickBot="1" x14ac:dyDescent="0.3">
      <c r="A611" s="66" t="str">
        <f>PRESUPUESTO!A27</f>
        <v>4.4</v>
      </c>
      <c r="B611" s="530"/>
      <c r="C611" s="531"/>
      <c r="D611" s="531"/>
      <c r="E611" s="531"/>
      <c r="F611" s="532"/>
      <c r="G611" s="67" t="s">
        <v>30</v>
      </c>
      <c r="H611" s="68"/>
    </row>
    <row r="612" spans="1:8" ht="15.75" thickBot="1" x14ac:dyDescent="0.3">
      <c r="A612" s="20"/>
      <c r="B612" s="21"/>
      <c r="C612" s="21"/>
      <c r="D612" s="21"/>
      <c r="E612" s="23"/>
      <c r="F612" s="206"/>
      <c r="G612" s="23"/>
      <c r="H612" s="24"/>
    </row>
    <row r="613" spans="1:8" ht="15.75" thickBot="1" x14ac:dyDescent="0.3">
      <c r="A613" s="501" t="s">
        <v>31</v>
      </c>
      <c r="B613" s="502"/>
      <c r="C613" s="22"/>
      <c r="D613" s="22"/>
      <c r="E613" s="25"/>
      <c r="F613" s="206"/>
      <c r="G613" s="25"/>
      <c r="H613" s="26"/>
    </row>
    <row r="614" spans="1:8" x14ac:dyDescent="0.25">
      <c r="A614" s="533" t="s">
        <v>32</v>
      </c>
      <c r="B614" s="534"/>
      <c r="C614" s="27" t="s">
        <v>69</v>
      </c>
      <c r="D614" s="27" t="s">
        <v>52</v>
      </c>
      <c r="E614" s="125" t="s">
        <v>34</v>
      </c>
      <c r="F614" s="203" t="s">
        <v>35</v>
      </c>
      <c r="G614" s="28" t="s">
        <v>36</v>
      </c>
      <c r="H614" s="517"/>
    </row>
    <row r="615" spans="1:8" x14ac:dyDescent="0.25">
      <c r="A615" s="508" t="s">
        <v>70</v>
      </c>
      <c r="B615" s="509"/>
      <c r="C615" s="29" t="s">
        <v>38</v>
      </c>
      <c r="D615" s="29" t="s">
        <v>38</v>
      </c>
      <c r="E615" s="126"/>
      <c r="F615" s="204"/>
      <c r="G615" s="31">
        <f>F615*E615</f>
        <v>0</v>
      </c>
      <c r="H615" s="518"/>
    </row>
    <row r="616" spans="1:8" x14ac:dyDescent="0.25">
      <c r="A616" s="508"/>
      <c r="B616" s="509"/>
      <c r="C616" s="29"/>
      <c r="D616" s="29"/>
      <c r="E616" s="126"/>
      <c r="F616" s="204"/>
      <c r="G616" s="31"/>
      <c r="H616" s="518"/>
    </row>
    <row r="617" spans="1:8" x14ac:dyDescent="0.25">
      <c r="A617" s="508"/>
      <c r="B617" s="509"/>
      <c r="C617" s="29"/>
      <c r="D617" s="29"/>
      <c r="E617" s="126"/>
      <c r="F617" s="204"/>
      <c r="G617" s="31"/>
      <c r="H617" s="518"/>
    </row>
    <row r="618" spans="1:8" x14ac:dyDescent="0.25">
      <c r="A618" s="508"/>
      <c r="B618" s="509"/>
      <c r="C618" s="29"/>
      <c r="D618" s="29"/>
      <c r="E618" s="126"/>
      <c r="F618" s="204"/>
      <c r="G618" s="31"/>
      <c r="H618" s="518"/>
    </row>
    <row r="619" spans="1:8" ht="15.75" thickBot="1" x14ac:dyDescent="0.3">
      <c r="A619" s="535"/>
      <c r="B619" s="536"/>
      <c r="C619" s="33"/>
      <c r="D619" s="33"/>
      <c r="E619" s="127"/>
      <c r="F619" s="205"/>
      <c r="G619" s="35"/>
      <c r="H619" s="519"/>
    </row>
    <row r="620" spans="1:8" ht="15.75" thickBot="1" x14ac:dyDescent="0.3">
      <c r="A620" s="36"/>
      <c r="B620" s="22"/>
      <c r="C620" s="22"/>
      <c r="D620" s="22"/>
      <c r="E620" s="25"/>
      <c r="F620" s="206"/>
      <c r="G620" s="25" t="s">
        <v>39</v>
      </c>
      <c r="H620" s="37">
        <f>SUM(G615:G619)</f>
        <v>0</v>
      </c>
    </row>
    <row r="621" spans="1:8" ht="15.75" thickBot="1" x14ac:dyDescent="0.3">
      <c r="A621" s="501" t="s">
        <v>40</v>
      </c>
      <c r="B621" s="502"/>
      <c r="C621" s="22"/>
      <c r="D621" s="22"/>
      <c r="E621" s="25"/>
      <c r="F621" s="206"/>
      <c r="G621" s="25"/>
      <c r="H621" s="26"/>
    </row>
    <row r="622" spans="1:8" x14ac:dyDescent="0.25">
      <c r="A622" s="533" t="s">
        <v>32</v>
      </c>
      <c r="B622" s="534"/>
      <c r="C622" s="27" t="s">
        <v>97</v>
      </c>
      <c r="D622" s="27" t="s">
        <v>29</v>
      </c>
      <c r="E622" s="125" t="s">
        <v>42</v>
      </c>
      <c r="F622" s="203" t="s">
        <v>35</v>
      </c>
      <c r="G622" s="39" t="s">
        <v>36</v>
      </c>
      <c r="H622" s="505"/>
    </row>
    <row r="623" spans="1:8" ht="30.75" customHeight="1" x14ac:dyDescent="0.25">
      <c r="A623" s="577" t="s">
        <v>118</v>
      </c>
      <c r="B623" s="572"/>
      <c r="C623" s="237">
        <f>E623*0.19</f>
        <v>87400</v>
      </c>
      <c r="D623" s="232" t="s">
        <v>18</v>
      </c>
      <c r="E623" s="135">
        <v>460000</v>
      </c>
      <c r="F623" s="221">
        <v>1</v>
      </c>
      <c r="G623" s="40">
        <f>E623+C623</f>
        <v>547400</v>
      </c>
      <c r="H623" s="506"/>
    </row>
    <row r="624" spans="1:8" x14ac:dyDescent="0.25">
      <c r="A624" s="70"/>
      <c r="B624" s="70"/>
      <c r="C624" s="70"/>
      <c r="D624" s="70"/>
      <c r="E624" s="90"/>
      <c r="F624" s="213"/>
      <c r="G624" s="90"/>
      <c r="H624" s="506"/>
    </row>
    <row r="625" spans="1:8" ht="15.75" thickBot="1" x14ac:dyDescent="0.3">
      <c r="A625" s="535"/>
      <c r="B625" s="536"/>
      <c r="C625" s="34"/>
      <c r="D625" s="33"/>
      <c r="E625" s="127"/>
      <c r="F625" s="205"/>
      <c r="G625" s="41"/>
      <c r="H625" s="512"/>
    </row>
    <row r="626" spans="1:8" ht="15.75" thickBot="1" x14ac:dyDescent="0.3">
      <c r="A626" s="36"/>
      <c r="B626" s="22"/>
      <c r="C626" s="22"/>
      <c r="D626" s="22"/>
      <c r="E626" s="25"/>
      <c r="F626" s="206"/>
      <c r="G626" s="25" t="s">
        <v>39</v>
      </c>
      <c r="H626" s="42">
        <f>SUM(G623:G625)</f>
        <v>547400</v>
      </c>
    </row>
    <row r="627" spans="1:8" ht="15.75" thickBot="1" x14ac:dyDescent="0.3">
      <c r="A627" s="501" t="s">
        <v>49</v>
      </c>
      <c r="B627" s="502"/>
      <c r="C627" s="22"/>
      <c r="D627" s="22"/>
      <c r="E627" s="25"/>
      <c r="F627" s="206"/>
      <c r="G627" s="137"/>
      <c r="H627" s="26"/>
    </row>
    <row r="628" spans="1:8" x14ac:dyDescent="0.25">
      <c r="A628" s="533" t="s">
        <v>50</v>
      </c>
      <c r="B628" s="534"/>
      <c r="C628" s="43" t="s">
        <v>73</v>
      </c>
      <c r="D628" s="27" t="s">
        <v>52</v>
      </c>
      <c r="E628" s="125" t="s">
        <v>34</v>
      </c>
      <c r="F628" s="203" t="s">
        <v>35</v>
      </c>
      <c r="G628" s="39" t="s">
        <v>36</v>
      </c>
      <c r="H628" s="505"/>
    </row>
    <row r="629" spans="1:8" x14ac:dyDescent="0.25">
      <c r="A629" s="569" t="s">
        <v>80</v>
      </c>
      <c r="B629" s="570"/>
      <c r="C629" s="44" t="s">
        <v>68</v>
      </c>
      <c r="D629" s="44"/>
      <c r="E629" s="72">
        <v>50000</v>
      </c>
      <c r="F629" s="217">
        <v>1</v>
      </c>
      <c r="G629" s="45">
        <f>E629*F629</f>
        <v>50000</v>
      </c>
      <c r="H629" s="506"/>
    </row>
    <row r="630" spans="1:8" x14ac:dyDescent="0.25">
      <c r="A630" s="569"/>
      <c r="B630" s="570"/>
      <c r="C630" s="44"/>
      <c r="D630" s="44"/>
      <c r="E630" s="72"/>
      <c r="F630" s="217"/>
      <c r="G630" s="45"/>
      <c r="H630" s="506"/>
    </row>
    <row r="631" spans="1:8" ht="15.75" thickBot="1" x14ac:dyDescent="0.3">
      <c r="A631" s="535"/>
      <c r="B631" s="536"/>
      <c r="C631" s="34"/>
      <c r="D631" s="34"/>
      <c r="E631" s="127"/>
      <c r="F631" s="205"/>
      <c r="G631" s="41"/>
      <c r="H631" s="512"/>
    </row>
    <row r="632" spans="1:8" ht="15.75" thickBot="1" x14ac:dyDescent="0.3">
      <c r="A632" s="36"/>
      <c r="B632" s="22"/>
      <c r="C632" s="22"/>
      <c r="D632" s="22"/>
      <c r="E632" s="25"/>
      <c r="F632" s="206"/>
      <c r="G632" s="25" t="s">
        <v>39</v>
      </c>
      <c r="H632" s="42">
        <f>SUM(G629:G631)</f>
        <v>50000</v>
      </c>
    </row>
    <row r="633" spans="1:8" ht="15.75" thickBot="1" x14ac:dyDescent="0.3">
      <c r="A633" s="75" t="s">
        <v>53</v>
      </c>
      <c r="B633" s="110"/>
      <c r="C633" s="22"/>
      <c r="D633" s="22"/>
      <c r="E633" s="25"/>
      <c r="F633" s="206"/>
      <c r="G633" s="25"/>
      <c r="H633" s="26"/>
    </row>
    <row r="634" spans="1:8" ht="30.75" customHeight="1" x14ac:dyDescent="0.25">
      <c r="A634" s="515" t="s">
        <v>213</v>
      </c>
      <c r="B634" s="516"/>
      <c r="C634" s="43" t="s">
        <v>98</v>
      </c>
      <c r="D634" s="27" t="s">
        <v>57</v>
      </c>
      <c r="E634" s="128" t="s">
        <v>58</v>
      </c>
      <c r="F634" s="203" t="s">
        <v>59</v>
      </c>
      <c r="G634" s="39" t="s">
        <v>36</v>
      </c>
      <c r="H634" s="517"/>
    </row>
    <row r="635" spans="1:8" x14ac:dyDescent="0.25">
      <c r="A635" s="588" t="str">
        <f>'CUADRILLAS DE OBRA'!B25</f>
        <v>CUADRILLA 2</v>
      </c>
      <c r="B635" s="589"/>
      <c r="C635" s="123">
        <f>'CUADRILLAS DE OBRA'!E26</f>
        <v>13249</v>
      </c>
      <c r="D635" s="200">
        <f>PRESTACIONES!E28</f>
        <v>0.8952</v>
      </c>
      <c r="E635" s="72">
        <f>'CUADRILLAS DE OBRA'!G26</f>
        <v>25110</v>
      </c>
      <c r="F635" s="217">
        <v>2</v>
      </c>
      <c r="G635" s="72">
        <f>E635*F635</f>
        <v>50220</v>
      </c>
      <c r="H635" s="518"/>
    </row>
    <row r="636" spans="1:8" x14ac:dyDescent="0.25">
      <c r="A636" s="47"/>
      <c r="B636" s="48"/>
      <c r="C636" s="44"/>
      <c r="D636" s="48"/>
      <c r="E636" s="72"/>
      <c r="F636" s="217"/>
      <c r="G636" s="72"/>
      <c r="H636" s="518"/>
    </row>
    <row r="637" spans="1:8" ht="15.75" thickBot="1" x14ac:dyDescent="0.3">
      <c r="A637" s="50"/>
      <c r="B637" s="34"/>
      <c r="C637" s="34"/>
      <c r="D637" s="34"/>
      <c r="E637" s="127"/>
      <c r="F637" s="205"/>
      <c r="G637" s="41"/>
      <c r="H637" s="519"/>
    </row>
    <row r="638" spans="1:8" ht="15.75" thickBot="1" x14ac:dyDescent="0.3">
      <c r="A638" s="36"/>
      <c r="B638" s="22"/>
      <c r="C638" s="22"/>
      <c r="D638" s="22"/>
      <c r="E638" s="25"/>
      <c r="F638" s="206"/>
      <c r="G638" s="25" t="s">
        <v>39</v>
      </c>
      <c r="H638" s="42">
        <f>SUM(G635:G637)</f>
        <v>50220</v>
      </c>
    </row>
    <row r="639" spans="1:8" ht="15.75" thickBot="1" x14ac:dyDescent="0.3">
      <c r="A639" s="501" t="s">
        <v>61</v>
      </c>
      <c r="B639" s="502"/>
      <c r="C639" s="22"/>
      <c r="D639" s="22"/>
      <c r="E639" s="25"/>
      <c r="F639" s="206"/>
      <c r="G639" s="25"/>
      <c r="H639" s="26"/>
    </row>
    <row r="640" spans="1:8" x14ac:dyDescent="0.25">
      <c r="A640" s="521" t="s">
        <v>32</v>
      </c>
      <c r="B640" s="522"/>
      <c r="C640" s="522"/>
      <c r="D640" s="522"/>
      <c r="E640" s="523"/>
      <c r="F640" s="51" t="s">
        <v>62</v>
      </c>
      <c r="G640" s="52" t="s">
        <v>63</v>
      </c>
      <c r="H640" s="524"/>
    </row>
    <row r="641" spans="1:27" x14ac:dyDescent="0.25">
      <c r="A641" s="487" t="s">
        <v>24</v>
      </c>
      <c r="B641" s="488"/>
      <c r="C641" s="488"/>
      <c r="D641" s="488"/>
      <c r="E641" s="489"/>
      <c r="F641" s="53">
        <v>0</v>
      </c>
      <c r="G641" s="54">
        <f>ROUND((H638+H632+H626+H620)*F641,0)</f>
        <v>0</v>
      </c>
      <c r="H641" s="525"/>
    </row>
    <row r="642" spans="1:27" x14ac:dyDescent="0.25">
      <c r="A642" s="487" t="s">
        <v>25</v>
      </c>
      <c r="B642" s="488"/>
      <c r="C642" s="488"/>
      <c r="D642" s="488"/>
      <c r="E642" s="489"/>
      <c r="F642" s="53">
        <v>0</v>
      </c>
      <c r="G642" s="54">
        <f>ROUND((H620+H626+H632+H638)*F642,0)</f>
        <v>0</v>
      </c>
      <c r="H642" s="525"/>
    </row>
    <row r="643" spans="1:27" ht="15.75" thickBot="1" x14ac:dyDescent="0.3">
      <c r="A643" s="483" t="s">
        <v>64</v>
      </c>
      <c r="B643" s="484"/>
      <c r="C643" s="484"/>
      <c r="D643" s="484"/>
      <c r="E643" s="485"/>
      <c r="F643" s="55">
        <v>0</v>
      </c>
      <c r="G643" s="56">
        <f>ROUND((H620+H626+H632+H638)*F643,0)</f>
        <v>0</v>
      </c>
      <c r="H643" s="526"/>
    </row>
    <row r="644" spans="1:27" ht="15.75" thickBot="1" x14ac:dyDescent="0.3">
      <c r="A644" s="556" t="s">
        <v>39</v>
      </c>
      <c r="B644" s="557"/>
      <c r="C644" s="557"/>
      <c r="D644" s="557"/>
      <c r="E644" s="557"/>
      <c r="F644" s="557"/>
      <c r="G644" s="558"/>
      <c r="H644" s="37">
        <f>SUM(G641:G643)</f>
        <v>0</v>
      </c>
    </row>
    <row r="645" spans="1:27" ht="15.75" thickBot="1" x14ac:dyDescent="0.3">
      <c r="A645" s="492"/>
      <c r="B645" s="564"/>
      <c r="C645" s="564"/>
      <c r="D645" s="564"/>
      <c r="E645" s="564"/>
      <c r="F645" s="564"/>
      <c r="G645" s="564"/>
      <c r="H645" s="494"/>
    </row>
    <row r="646" spans="1:27" ht="15.75" thickBot="1" x14ac:dyDescent="0.3">
      <c r="A646" s="565"/>
      <c r="B646" s="566"/>
      <c r="C646" s="566"/>
      <c r="D646" s="567"/>
      <c r="E646" s="498" t="s">
        <v>65</v>
      </c>
      <c r="F646" s="499"/>
      <c r="G646" s="500"/>
      <c r="H646" s="76">
        <f>ROUND(SUM(H614:H644),0)</f>
        <v>647620</v>
      </c>
      <c r="I646" s="201"/>
    </row>
    <row r="647" spans="1:27" x14ac:dyDescent="0.25">
      <c r="A647" s="461" t="s">
        <v>66</v>
      </c>
      <c r="B647" s="461"/>
    </row>
    <row r="648" spans="1:27" x14ac:dyDescent="0.25">
      <c r="A648" s="460" t="s">
        <v>320</v>
      </c>
      <c r="B648" s="460"/>
    </row>
    <row r="649" spans="1:27" ht="15.75" thickBot="1" x14ac:dyDescent="0.3">
      <c r="A649" s="253"/>
      <c r="B649" s="253"/>
    </row>
    <row r="650" spans="1:27" s="201" customFormat="1" ht="15.75" customHeight="1" thickBot="1" x14ac:dyDescent="0.3">
      <c r="A650" s="14" t="s">
        <v>28</v>
      </c>
      <c r="B650" s="540" t="str">
        <f>PRESUPUESTO!B28</f>
        <v>Suministro e instalacion de juegoss individuales en llantas decoradas según diseños y especificaciones tecnicas</v>
      </c>
      <c r="C650" s="541"/>
      <c r="D650" s="541"/>
      <c r="E650" s="541"/>
      <c r="F650" s="542"/>
      <c r="G650" s="15" t="s">
        <v>29</v>
      </c>
      <c r="H650" s="65" t="str">
        <f>PRESUPUESTO!C28</f>
        <v>und</v>
      </c>
      <c r="I650" s="164"/>
      <c r="J650" s="164"/>
      <c r="K650" s="164"/>
      <c r="L650" s="164"/>
      <c r="M650" s="164"/>
      <c r="N650" s="164"/>
      <c r="O650" s="164"/>
      <c r="P650" s="164"/>
      <c r="Q650" s="164"/>
      <c r="R650" s="164"/>
      <c r="S650" s="164"/>
      <c r="T650" s="164"/>
      <c r="U650" s="164"/>
      <c r="V650" s="164"/>
      <c r="W650" s="164"/>
      <c r="X650" s="164"/>
      <c r="Y650" s="164"/>
      <c r="Z650" s="164"/>
      <c r="AA650" s="164"/>
    </row>
    <row r="651" spans="1:27" ht="15.75" thickBot="1" x14ac:dyDescent="0.3">
      <c r="A651" s="112" t="str">
        <f>PRESUPUESTO!A28</f>
        <v>4.5</v>
      </c>
      <c r="B651" s="543"/>
      <c r="C651" s="544"/>
      <c r="D651" s="544"/>
      <c r="E651" s="544"/>
      <c r="F651" s="545"/>
      <c r="G651" s="18" t="s">
        <v>30</v>
      </c>
      <c r="H651" s="19"/>
    </row>
    <row r="652" spans="1:27" ht="15.75" thickBot="1" x14ac:dyDescent="0.3">
      <c r="A652" s="20"/>
      <c r="B652" s="238"/>
      <c r="C652" s="238"/>
      <c r="D652" s="238"/>
      <c r="E652" s="239"/>
      <c r="F652" s="262"/>
      <c r="G652" s="239"/>
      <c r="H652" s="24"/>
    </row>
    <row r="653" spans="1:27" ht="15.75" thickBot="1" x14ac:dyDescent="0.3">
      <c r="A653" s="546" t="s">
        <v>31</v>
      </c>
      <c r="B653" s="547"/>
      <c r="C653" s="241"/>
      <c r="D653" s="241"/>
      <c r="E653" s="242"/>
      <c r="F653" s="262"/>
      <c r="G653" s="242"/>
      <c r="H653" s="26"/>
    </row>
    <row r="654" spans="1:27" x14ac:dyDescent="0.25">
      <c r="A654" s="533" t="s">
        <v>32</v>
      </c>
      <c r="B654" s="534"/>
      <c r="C654" s="260" t="s">
        <v>69</v>
      </c>
      <c r="D654" s="260" t="s">
        <v>52</v>
      </c>
      <c r="E654" s="125" t="s">
        <v>34</v>
      </c>
      <c r="F654" s="260" t="s">
        <v>35</v>
      </c>
      <c r="G654" s="28" t="s">
        <v>36</v>
      </c>
      <c r="H654" s="517"/>
    </row>
    <row r="655" spans="1:27" x14ac:dyDescent="0.25">
      <c r="A655" s="508" t="s">
        <v>70</v>
      </c>
      <c r="B655" s="509"/>
      <c r="C655" s="263" t="s">
        <v>38</v>
      </c>
      <c r="D655" s="263" t="s">
        <v>38</v>
      </c>
      <c r="E655" s="126"/>
      <c r="F655" s="263"/>
      <c r="G655" s="31">
        <f>H677*(0.05)</f>
        <v>896.80000000000007</v>
      </c>
      <c r="H655" s="518"/>
    </row>
    <row r="656" spans="1:27" x14ac:dyDescent="0.25">
      <c r="A656" s="508"/>
      <c r="B656" s="509"/>
      <c r="C656" s="263"/>
      <c r="D656" s="263"/>
      <c r="E656" s="126"/>
      <c r="F656" s="263"/>
      <c r="G656" s="31"/>
      <c r="H656" s="518"/>
    </row>
    <row r="657" spans="1:8" x14ac:dyDescent="0.25">
      <c r="A657" s="508"/>
      <c r="B657" s="509"/>
      <c r="C657" s="263"/>
      <c r="D657" s="263"/>
      <c r="E657" s="126"/>
      <c r="F657" s="263"/>
      <c r="G657" s="31"/>
      <c r="H657" s="518"/>
    </row>
    <row r="658" spans="1:8" x14ac:dyDescent="0.25">
      <c r="A658" s="508"/>
      <c r="B658" s="509"/>
      <c r="C658" s="263"/>
      <c r="D658" s="263"/>
      <c r="E658" s="126"/>
      <c r="F658" s="263"/>
      <c r="G658" s="31"/>
      <c r="H658" s="518"/>
    </row>
    <row r="659" spans="1:8" ht="15.75" thickBot="1" x14ac:dyDescent="0.3">
      <c r="A659" s="535"/>
      <c r="B659" s="536"/>
      <c r="C659" s="264"/>
      <c r="D659" s="264"/>
      <c r="E659" s="127"/>
      <c r="F659" s="264"/>
      <c r="G659" s="35"/>
      <c r="H659" s="519"/>
    </row>
    <row r="660" spans="1:8" ht="15.75" thickBot="1" x14ac:dyDescent="0.3">
      <c r="A660" s="36"/>
      <c r="B660" s="241"/>
      <c r="C660" s="241"/>
      <c r="D660" s="241"/>
      <c r="E660" s="242"/>
      <c r="F660" s="262"/>
      <c r="G660" s="242" t="s">
        <v>39</v>
      </c>
      <c r="H660" s="37">
        <f>SUM(G655:G659)</f>
        <v>896.80000000000007</v>
      </c>
    </row>
    <row r="661" spans="1:8" ht="15.75" thickBot="1" x14ac:dyDescent="0.3">
      <c r="A661" s="546" t="s">
        <v>40</v>
      </c>
      <c r="B661" s="547"/>
      <c r="C661" s="241"/>
      <c r="D661" s="241"/>
      <c r="E661" s="242"/>
      <c r="F661" s="262"/>
      <c r="G661" s="242"/>
      <c r="H661" s="26"/>
    </row>
    <row r="662" spans="1:8" x14ac:dyDescent="0.25">
      <c r="A662" s="533" t="s">
        <v>32</v>
      </c>
      <c r="B662" s="534"/>
      <c r="C662" s="260" t="s">
        <v>97</v>
      </c>
      <c r="D662" s="260" t="s">
        <v>29</v>
      </c>
      <c r="E662" s="125" t="s">
        <v>42</v>
      </c>
      <c r="F662" s="260" t="s">
        <v>35</v>
      </c>
      <c r="G662" s="39" t="s">
        <v>36</v>
      </c>
      <c r="H662" s="505"/>
    </row>
    <row r="663" spans="1:8" ht="42.75" customHeight="1" x14ac:dyDescent="0.25">
      <c r="A663" s="577" t="s">
        <v>233</v>
      </c>
      <c r="B663" s="572"/>
      <c r="C663" s="30"/>
      <c r="D663" s="263" t="s">
        <v>18</v>
      </c>
      <c r="E663" s="135">
        <v>170000</v>
      </c>
      <c r="F663" s="221">
        <v>1</v>
      </c>
      <c r="G663" s="40">
        <f t="shared" ref="G663" si="9">F663*E663</f>
        <v>170000</v>
      </c>
      <c r="H663" s="506"/>
    </row>
    <row r="664" spans="1:8" ht="15.75" thickBot="1" x14ac:dyDescent="0.3">
      <c r="A664" s="535"/>
      <c r="B664" s="536"/>
      <c r="C664" s="34"/>
      <c r="D664" s="264"/>
      <c r="E664" s="127"/>
      <c r="F664" s="264"/>
      <c r="G664" s="41"/>
      <c r="H664" s="512"/>
    </row>
    <row r="665" spans="1:8" ht="15.75" thickBot="1" x14ac:dyDescent="0.3">
      <c r="A665" s="36"/>
      <c r="B665" s="241"/>
      <c r="C665" s="241"/>
      <c r="D665" s="241"/>
      <c r="E665" s="242"/>
      <c r="F665" s="262"/>
      <c r="G665" s="242" t="s">
        <v>39</v>
      </c>
      <c r="H665" s="42">
        <f>SUM(G663:G664)</f>
        <v>170000</v>
      </c>
    </row>
    <row r="666" spans="1:8" ht="15.75" thickBot="1" x14ac:dyDescent="0.3">
      <c r="A666" s="546" t="s">
        <v>49</v>
      </c>
      <c r="B666" s="547"/>
      <c r="C666" s="241"/>
      <c r="D666" s="241"/>
      <c r="E666" s="242"/>
      <c r="F666" s="262"/>
      <c r="G666" s="243"/>
      <c r="H666" s="26"/>
    </row>
    <row r="667" spans="1:8" x14ac:dyDescent="0.25">
      <c r="A667" s="533" t="s">
        <v>50</v>
      </c>
      <c r="B667" s="534"/>
      <c r="C667" s="43" t="s">
        <v>73</v>
      </c>
      <c r="D667" s="260" t="s">
        <v>52</v>
      </c>
      <c r="E667" s="125" t="s">
        <v>34</v>
      </c>
      <c r="F667" s="260" t="s">
        <v>35</v>
      </c>
      <c r="G667" s="39" t="s">
        <v>36</v>
      </c>
      <c r="H667" s="505"/>
    </row>
    <row r="668" spans="1:8" x14ac:dyDescent="0.25">
      <c r="A668" s="508" t="s">
        <v>80</v>
      </c>
      <c r="B668" s="509"/>
      <c r="C668" s="263" t="s">
        <v>68</v>
      </c>
      <c r="D668" s="263"/>
      <c r="E668" s="126">
        <v>15000</v>
      </c>
      <c r="F668" s="214">
        <v>1</v>
      </c>
      <c r="G668" s="40">
        <f>E668*F668</f>
        <v>15000</v>
      </c>
      <c r="H668" s="506"/>
    </row>
    <row r="669" spans="1:8" x14ac:dyDescent="0.25">
      <c r="A669" s="508"/>
      <c r="B669" s="509"/>
      <c r="C669" s="263"/>
      <c r="D669" s="263"/>
      <c r="E669" s="126"/>
      <c r="F669" s="214"/>
      <c r="G669" s="40"/>
      <c r="H669" s="506"/>
    </row>
    <row r="670" spans="1:8" ht="15.75" thickBot="1" x14ac:dyDescent="0.3">
      <c r="A670" s="535"/>
      <c r="B670" s="536"/>
      <c r="C670" s="34"/>
      <c r="D670" s="34"/>
      <c r="E670" s="127"/>
      <c r="F670" s="264"/>
      <c r="G670" s="41"/>
      <c r="H670" s="512"/>
    </row>
    <row r="671" spans="1:8" ht="15.75" thickBot="1" x14ac:dyDescent="0.3">
      <c r="A671" s="36"/>
      <c r="B671" s="241"/>
      <c r="C671" s="241"/>
      <c r="D671" s="241"/>
      <c r="E671" s="242"/>
      <c r="F671" s="262"/>
      <c r="G671" s="242" t="s">
        <v>39</v>
      </c>
      <c r="H671" s="42">
        <f>SUM(G668:G670)</f>
        <v>15000</v>
      </c>
    </row>
    <row r="672" spans="1:8" ht="15.75" thickBot="1" x14ac:dyDescent="0.3">
      <c r="A672" s="113" t="s">
        <v>53</v>
      </c>
      <c r="B672" s="244"/>
      <c r="C672" s="241"/>
      <c r="D672" s="241"/>
      <c r="E672" s="242"/>
      <c r="F672" s="262"/>
      <c r="G672" s="242"/>
      <c r="H672" s="26"/>
    </row>
    <row r="673" spans="1:9" ht="30.75" customHeight="1" x14ac:dyDescent="0.25">
      <c r="A673" s="515" t="s">
        <v>213</v>
      </c>
      <c r="B673" s="516"/>
      <c r="C673" s="43" t="s">
        <v>96</v>
      </c>
      <c r="D673" s="260" t="s">
        <v>57</v>
      </c>
      <c r="E673" s="128" t="s">
        <v>58</v>
      </c>
      <c r="F673" s="260" t="s">
        <v>59</v>
      </c>
      <c r="G673" s="39" t="s">
        <v>36</v>
      </c>
      <c r="H673" s="517"/>
    </row>
    <row r="674" spans="1:9" x14ac:dyDescent="0.25">
      <c r="A674" s="492" t="str">
        <f>'CUADRILLAS DE OBRA'!B22</f>
        <v>CUADRILLA 1</v>
      </c>
      <c r="B674" s="568"/>
      <c r="C674" s="246">
        <f>'CUADRILLAS DE OBRA'!E23</f>
        <v>9464</v>
      </c>
      <c r="D674" s="269">
        <f>PRESTACIONES!E28</f>
        <v>0.8952</v>
      </c>
      <c r="E674" s="126">
        <f>'CUADRILLAS DE OBRA'!G23</f>
        <v>17936</v>
      </c>
      <c r="F674" s="214">
        <v>1</v>
      </c>
      <c r="G674" s="126">
        <f>E674*F674</f>
        <v>17936</v>
      </c>
      <c r="H674" s="518"/>
    </row>
    <row r="675" spans="1:9" x14ac:dyDescent="0.25">
      <c r="A675" s="245"/>
      <c r="B675" s="30"/>
      <c r="C675" s="247"/>
      <c r="D675" s="30"/>
      <c r="E675" s="126"/>
      <c r="F675" s="214"/>
      <c r="G675" s="126"/>
      <c r="H675" s="518"/>
    </row>
    <row r="676" spans="1:9" ht="15.75" thickBot="1" x14ac:dyDescent="0.3">
      <c r="A676" s="50"/>
      <c r="B676" s="34"/>
      <c r="C676" s="34"/>
      <c r="D676" s="34"/>
      <c r="E676" s="127"/>
      <c r="F676" s="264"/>
      <c r="G676" s="41"/>
      <c r="H676" s="519"/>
    </row>
    <row r="677" spans="1:9" ht="15.75" thickBot="1" x14ac:dyDescent="0.3">
      <c r="A677" s="36"/>
      <c r="B677" s="241"/>
      <c r="C677" s="241"/>
      <c r="D677" s="241"/>
      <c r="E677" s="242"/>
      <c r="F677" s="262"/>
      <c r="G677" s="242" t="s">
        <v>39</v>
      </c>
      <c r="H677" s="42">
        <f>SUM(G674:G676)</f>
        <v>17936</v>
      </c>
    </row>
    <row r="678" spans="1:9" ht="15.75" thickBot="1" x14ac:dyDescent="0.3">
      <c r="A678" s="546" t="s">
        <v>61</v>
      </c>
      <c r="B678" s="547"/>
      <c r="C678" s="241"/>
      <c r="D678" s="241"/>
      <c r="E678" s="242"/>
      <c r="F678" s="262"/>
      <c r="G678" s="242"/>
      <c r="H678" s="26"/>
    </row>
    <row r="679" spans="1:9" x14ac:dyDescent="0.25">
      <c r="A679" s="521" t="s">
        <v>32</v>
      </c>
      <c r="B679" s="522"/>
      <c r="C679" s="522"/>
      <c r="D679" s="522"/>
      <c r="E679" s="523"/>
      <c r="F679" s="51" t="s">
        <v>62</v>
      </c>
      <c r="G679" s="52" t="s">
        <v>63</v>
      </c>
      <c r="H679" s="524"/>
    </row>
    <row r="680" spans="1:9" x14ac:dyDescent="0.25">
      <c r="A680" s="487" t="s">
        <v>24</v>
      </c>
      <c r="B680" s="488"/>
      <c r="C680" s="488"/>
      <c r="D680" s="488"/>
      <c r="E680" s="489"/>
      <c r="F680" s="248">
        <v>0</v>
      </c>
      <c r="G680" s="249">
        <f>ROUND((H677+H671+H665+H660)*F680,0)</f>
        <v>0</v>
      </c>
      <c r="H680" s="525"/>
    </row>
    <row r="681" spans="1:9" x14ac:dyDescent="0.25">
      <c r="A681" s="487" t="s">
        <v>25</v>
      </c>
      <c r="B681" s="488"/>
      <c r="C681" s="488"/>
      <c r="D681" s="488"/>
      <c r="E681" s="489"/>
      <c r="F681" s="248">
        <v>0</v>
      </c>
      <c r="G681" s="249">
        <f>ROUND((H660+H665+H671+H677)*F681,0)</f>
        <v>0</v>
      </c>
      <c r="H681" s="525"/>
    </row>
    <row r="682" spans="1:9" ht="15.75" thickBot="1" x14ac:dyDescent="0.3">
      <c r="A682" s="483" t="s">
        <v>64</v>
      </c>
      <c r="B682" s="484"/>
      <c r="C682" s="484"/>
      <c r="D682" s="484"/>
      <c r="E682" s="485"/>
      <c r="F682" s="250">
        <v>0</v>
      </c>
      <c r="G682" s="251">
        <f>ROUND((H660+H665+H671+H677)*F682,0)</f>
        <v>0</v>
      </c>
      <c r="H682" s="526"/>
    </row>
    <row r="683" spans="1:9" ht="15.75" thickBot="1" x14ac:dyDescent="0.3">
      <c r="A683" s="556" t="s">
        <v>39</v>
      </c>
      <c r="B683" s="557"/>
      <c r="C683" s="557"/>
      <c r="D683" s="557"/>
      <c r="E683" s="557"/>
      <c r="F683" s="557"/>
      <c r="G683" s="558"/>
      <c r="H683" s="37">
        <f>SUM(G680:G682)</f>
        <v>0</v>
      </c>
    </row>
    <row r="684" spans="1:9" ht="15.75" thickBot="1" x14ac:dyDescent="0.3">
      <c r="A684" s="492"/>
      <c r="B684" s="493"/>
      <c r="C684" s="493"/>
      <c r="D684" s="493"/>
      <c r="E684" s="493"/>
      <c r="F684" s="493"/>
      <c r="G684" s="493"/>
      <c r="H684" s="494"/>
    </row>
    <row r="685" spans="1:9" ht="15.75" thickBot="1" x14ac:dyDescent="0.3">
      <c r="A685" s="495"/>
      <c r="B685" s="496"/>
      <c r="C685" s="496"/>
      <c r="D685" s="497"/>
      <c r="E685" s="573" t="s">
        <v>65</v>
      </c>
      <c r="F685" s="574"/>
      <c r="G685" s="575"/>
      <c r="H685" s="37">
        <f>ROUND(SUM(H654:H683),0)</f>
        <v>203833</v>
      </c>
      <c r="I685" s="201"/>
    </row>
    <row r="686" spans="1:9" x14ac:dyDescent="0.25">
      <c r="A686" s="461" t="s">
        <v>66</v>
      </c>
      <c r="B686" s="461"/>
      <c r="C686" s="111"/>
      <c r="D686" s="111"/>
      <c r="E686" s="114"/>
      <c r="F686" s="223"/>
      <c r="G686" s="114"/>
      <c r="H686" s="114"/>
    </row>
    <row r="687" spans="1:9" x14ac:dyDescent="0.25">
      <c r="A687" s="460" t="s">
        <v>320</v>
      </c>
      <c r="B687" s="460"/>
      <c r="C687" s="111"/>
      <c r="D687" s="111"/>
      <c r="E687" s="114"/>
      <c r="F687" s="223"/>
      <c r="G687" s="114"/>
      <c r="H687" s="114"/>
    </row>
    <row r="689" spans="1:27" s="201" customFormat="1" ht="15.75" hidden="1" customHeight="1" thickBot="1" x14ac:dyDescent="0.3">
      <c r="A689" s="14" t="s">
        <v>28</v>
      </c>
      <c r="B689" s="540" t="e">
        <f>PRESUPUESTO!#REF!</f>
        <v>#REF!</v>
      </c>
      <c r="C689" s="541"/>
      <c r="D689" s="541"/>
      <c r="E689" s="541"/>
      <c r="F689" s="542"/>
      <c r="G689" s="15" t="s">
        <v>29</v>
      </c>
      <c r="H689" s="65" t="e">
        <f>PRESUPUESTO!#REF!</f>
        <v>#REF!</v>
      </c>
      <c r="I689" s="164"/>
      <c r="J689" s="164"/>
      <c r="K689" s="164"/>
      <c r="L689" s="164"/>
      <c r="M689" s="164"/>
      <c r="N689" s="164"/>
      <c r="O689" s="164"/>
      <c r="P689" s="164"/>
      <c r="Q689" s="164"/>
      <c r="R689" s="164"/>
      <c r="S689" s="164"/>
      <c r="T689" s="164"/>
      <c r="U689" s="164"/>
      <c r="V689" s="164"/>
      <c r="W689" s="164"/>
      <c r="X689" s="164"/>
      <c r="Y689" s="164"/>
      <c r="Z689" s="164"/>
      <c r="AA689" s="164"/>
    </row>
    <row r="690" spans="1:27" ht="15.75" hidden="1" thickBot="1" x14ac:dyDescent="0.3">
      <c r="A690" s="112" t="e">
        <f>PRESUPUESTO!#REF!</f>
        <v>#REF!</v>
      </c>
      <c r="B690" s="543"/>
      <c r="C690" s="544"/>
      <c r="D690" s="544"/>
      <c r="E690" s="544"/>
      <c r="F690" s="545"/>
      <c r="G690" s="18" t="s">
        <v>30</v>
      </c>
      <c r="H690" s="19"/>
    </row>
    <row r="691" spans="1:27" ht="15.75" hidden="1" thickBot="1" x14ac:dyDescent="0.3">
      <c r="A691" s="20"/>
      <c r="B691" s="238"/>
      <c r="C691" s="238"/>
      <c r="D691" s="238"/>
      <c r="E691" s="239"/>
      <c r="F691" s="240"/>
      <c r="G691" s="239"/>
      <c r="H691" s="24"/>
    </row>
    <row r="692" spans="1:27" ht="15.75" hidden="1" thickBot="1" x14ac:dyDescent="0.3">
      <c r="A692" s="546" t="s">
        <v>31</v>
      </c>
      <c r="B692" s="547"/>
      <c r="C692" s="241"/>
      <c r="D692" s="241"/>
      <c r="E692" s="242"/>
      <c r="F692" s="240"/>
      <c r="G692" s="242"/>
      <c r="H692" s="26"/>
    </row>
    <row r="693" spans="1:27" hidden="1" x14ac:dyDescent="0.25">
      <c r="A693" s="533" t="s">
        <v>32</v>
      </c>
      <c r="B693" s="534"/>
      <c r="C693" s="231" t="s">
        <v>69</v>
      </c>
      <c r="D693" s="231" t="s">
        <v>52</v>
      </c>
      <c r="E693" s="125" t="s">
        <v>34</v>
      </c>
      <c r="F693" s="231" t="s">
        <v>35</v>
      </c>
      <c r="G693" s="28" t="s">
        <v>36</v>
      </c>
      <c r="H693" s="517"/>
    </row>
    <row r="694" spans="1:27" hidden="1" x14ac:dyDescent="0.25">
      <c r="A694" s="508" t="s">
        <v>70</v>
      </c>
      <c r="B694" s="509"/>
      <c r="C694" s="232" t="s">
        <v>38</v>
      </c>
      <c r="D694" s="232" t="s">
        <v>38</v>
      </c>
      <c r="E694" s="126"/>
      <c r="F694" s="232"/>
      <c r="G694" s="31">
        <f>H716*(0.05)</f>
        <v>834.6869999999999</v>
      </c>
      <c r="H694" s="518"/>
    </row>
    <row r="695" spans="1:27" hidden="1" x14ac:dyDescent="0.25">
      <c r="A695" s="508"/>
      <c r="B695" s="509"/>
      <c r="C695" s="232"/>
      <c r="D695" s="232"/>
      <c r="E695" s="126"/>
      <c r="F695" s="232"/>
      <c r="G695" s="31"/>
      <c r="H695" s="518"/>
    </row>
    <row r="696" spans="1:27" hidden="1" x14ac:dyDescent="0.25">
      <c r="A696" s="508"/>
      <c r="B696" s="509"/>
      <c r="C696" s="232"/>
      <c r="D696" s="232"/>
      <c r="E696" s="126"/>
      <c r="F696" s="232"/>
      <c r="G696" s="31"/>
      <c r="H696" s="518"/>
    </row>
    <row r="697" spans="1:27" hidden="1" x14ac:dyDescent="0.25">
      <c r="A697" s="508"/>
      <c r="B697" s="509"/>
      <c r="C697" s="232"/>
      <c r="D697" s="232"/>
      <c r="E697" s="126"/>
      <c r="F697" s="232"/>
      <c r="G697" s="31"/>
      <c r="H697" s="518"/>
    </row>
    <row r="698" spans="1:27" ht="15.75" hidden="1" thickBot="1" x14ac:dyDescent="0.3">
      <c r="A698" s="535"/>
      <c r="B698" s="536"/>
      <c r="C698" s="233"/>
      <c r="D698" s="233"/>
      <c r="E698" s="127"/>
      <c r="F698" s="233"/>
      <c r="G698" s="35"/>
      <c r="H698" s="519"/>
    </row>
    <row r="699" spans="1:27" ht="15.75" hidden="1" thickBot="1" x14ac:dyDescent="0.3">
      <c r="A699" s="36"/>
      <c r="B699" s="241"/>
      <c r="C699" s="241"/>
      <c r="D699" s="241"/>
      <c r="E699" s="242"/>
      <c r="F699" s="240"/>
      <c r="G699" s="242" t="s">
        <v>39</v>
      </c>
      <c r="H699" s="37">
        <f>SUM(G694:G698)</f>
        <v>834.6869999999999</v>
      </c>
    </row>
    <row r="700" spans="1:27" ht="15.75" hidden="1" thickBot="1" x14ac:dyDescent="0.3">
      <c r="A700" s="546" t="s">
        <v>40</v>
      </c>
      <c r="B700" s="547"/>
      <c r="C700" s="241"/>
      <c r="D700" s="241"/>
      <c r="E700" s="242"/>
      <c r="F700" s="240"/>
      <c r="G700" s="242"/>
      <c r="H700" s="26"/>
    </row>
    <row r="701" spans="1:27" hidden="1" x14ac:dyDescent="0.25">
      <c r="A701" s="533" t="s">
        <v>32</v>
      </c>
      <c r="B701" s="534"/>
      <c r="C701" s="231" t="s">
        <v>97</v>
      </c>
      <c r="D701" s="231" t="s">
        <v>29</v>
      </c>
      <c r="E701" s="125" t="s">
        <v>42</v>
      </c>
      <c r="F701" s="231" t="s">
        <v>35</v>
      </c>
      <c r="G701" s="39" t="s">
        <v>36</v>
      </c>
      <c r="H701" s="505"/>
    </row>
    <row r="702" spans="1:27" ht="46.5" hidden="1" customHeight="1" x14ac:dyDescent="0.25">
      <c r="A702" s="571" t="s">
        <v>116</v>
      </c>
      <c r="B702" s="572"/>
      <c r="C702" s="30"/>
      <c r="D702" s="232" t="s">
        <v>115</v>
      </c>
      <c r="E702" s="135">
        <v>70000</v>
      </c>
      <c r="F702" s="214">
        <v>0.03</v>
      </c>
      <c r="G702" s="40">
        <f t="shared" ref="G702" si="10">F702*E702</f>
        <v>2100</v>
      </c>
      <c r="H702" s="506"/>
    </row>
    <row r="703" spans="1:27" ht="15.75" hidden="1" thickBot="1" x14ac:dyDescent="0.3">
      <c r="A703" s="535"/>
      <c r="B703" s="536"/>
      <c r="C703" s="34"/>
      <c r="D703" s="233"/>
      <c r="E703" s="127"/>
      <c r="F703" s="233"/>
      <c r="G703" s="41"/>
      <c r="H703" s="512"/>
    </row>
    <row r="704" spans="1:27" ht="15.75" hidden="1" thickBot="1" x14ac:dyDescent="0.3">
      <c r="A704" s="36"/>
      <c r="B704" s="241"/>
      <c r="C704" s="241"/>
      <c r="D704" s="241"/>
      <c r="E704" s="242"/>
      <c r="F704" s="240"/>
      <c r="G704" s="242" t="s">
        <v>39</v>
      </c>
      <c r="H704" s="42">
        <f>SUM(G702:G703)</f>
        <v>2100</v>
      </c>
    </row>
    <row r="705" spans="1:8" ht="15.75" hidden="1" thickBot="1" x14ac:dyDescent="0.3">
      <c r="A705" s="546" t="s">
        <v>49</v>
      </c>
      <c r="B705" s="547"/>
      <c r="C705" s="241"/>
      <c r="D705" s="241"/>
      <c r="E705" s="242"/>
      <c r="F705" s="240"/>
      <c r="G705" s="243"/>
      <c r="H705" s="26"/>
    </row>
    <row r="706" spans="1:8" hidden="1" x14ac:dyDescent="0.25">
      <c r="A706" s="533" t="s">
        <v>50</v>
      </c>
      <c r="B706" s="534"/>
      <c r="C706" s="43" t="s">
        <v>73</v>
      </c>
      <c r="D706" s="231" t="s">
        <v>52</v>
      </c>
      <c r="E706" s="125" t="s">
        <v>34</v>
      </c>
      <c r="F706" s="231" t="s">
        <v>35</v>
      </c>
      <c r="G706" s="39" t="s">
        <v>36</v>
      </c>
      <c r="H706" s="505"/>
    </row>
    <row r="707" spans="1:8" hidden="1" x14ac:dyDescent="0.25">
      <c r="A707" s="508" t="s">
        <v>80</v>
      </c>
      <c r="B707" s="509"/>
      <c r="C707" s="232" t="s">
        <v>68</v>
      </c>
      <c r="D707" s="232"/>
      <c r="E707" s="126">
        <v>8000</v>
      </c>
      <c r="F707" s="214">
        <v>0.1</v>
      </c>
      <c r="G707" s="40">
        <f>E707*F707</f>
        <v>800</v>
      </c>
      <c r="H707" s="506"/>
    </row>
    <row r="708" spans="1:8" hidden="1" x14ac:dyDescent="0.25">
      <c r="A708" s="508"/>
      <c r="B708" s="509"/>
      <c r="C708" s="232"/>
      <c r="D708" s="232"/>
      <c r="E708" s="126"/>
      <c r="F708" s="214"/>
      <c r="G708" s="40"/>
      <c r="H708" s="506"/>
    </row>
    <row r="709" spans="1:8" ht="15.75" hidden="1" thickBot="1" x14ac:dyDescent="0.3">
      <c r="A709" s="535"/>
      <c r="B709" s="536"/>
      <c r="C709" s="34"/>
      <c r="D709" s="34"/>
      <c r="E709" s="127"/>
      <c r="F709" s="233"/>
      <c r="G709" s="41"/>
      <c r="H709" s="512"/>
    </row>
    <row r="710" spans="1:8" ht="15.75" hidden="1" thickBot="1" x14ac:dyDescent="0.3">
      <c r="A710" s="36"/>
      <c r="B710" s="241"/>
      <c r="C710" s="241"/>
      <c r="D710" s="241"/>
      <c r="E710" s="242"/>
      <c r="F710" s="240"/>
      <c r="G710" s="242" t="s">
        <v>39</v>
      </c>
      <c r="H710" s="42">
        <f>SUM(G707:G709)</f>
        <v>800</v>
      </c>
    </row>
    <row r="711" spans="1:8" ht="15.75" hidden="1" thickBot="1" x14ac:dyDescent="0.3">
      <c r="A711" s="113" t="s">
        <v>53</v>
      </c>
      <c r="B711" s="244"/>
      <c r="C711" s="241"/>
      <c r="D711" s="241"/>
      <c r="E711" s="242"/>
      <c r="F711" s="240"/>
      <c r="G711" s="242"/>
      <c r="H711" s="26"/>
    </row>
    <row r="712" spans="1:8" ht="30.75" hidden="1" customHeight="1" x14ac:dyDescent="0.25">
      <c r="A712" s="515" t="s">
        <v>213</v>
      </c>
      <c r="B712" s="516"/>
      <c r="C712" s="43" t="s">
        <v>98</v>
      </c>
      <c r="D712" s="231" t="s">
        <v>57</v>
      </c>
      <c r="E712" s="128" t="s">
        <v>58</v>
      </c>
      <c r="F712" s="231" t="s">
        <v>59</v>
      </c>
      <c r="G712" s="39" t="s">
        <v>36</v>
      </c>
      <c r="H712" s="517"/>
    </row>
    <row r="713" spans="1:8" hidden="1" x14ac:dyDescent="0.25">
      <c r="A713" s="492" t="str">
        <f>'CUADRILLAS DE OBRA'!B25</f>
        <v>CUADRILLA 2</v>
      </c>
      <c r="B713" s="568"/>
      <c r="C713" s="246">
        <f>'CUADRILLAS DE OBRA'!E26</f>
        <v>13249</v>
      </c>
      <c r="D713" s="30">
        <v>1.8</v>
      </c>
      <c r="E713" s="126">
        <f>D713*C713</f>
        <v>23848.2</v>
      </c>
      <c r="F713" s="214">
        <v>0.7</v>
      </c>
      <c r="G713" s="126">
        <f>E713*F713</f>
        <v>16693.739999999998</v>
      </c>
      <c r="H713" s="518"/>
    </row>
    <row r="714" spans="1:8" hidden="1" x14ac:dyDescent="0.25">
      <c r="A714" s="245"/>
      <c r="B714" s="30"/>
      <c r="C714" s="247"/>
      <c r="D714" s="30"/>
      <c r="E714" s="126"/>
      <c r="F714" s="214"/>
      <c r="G714" s="126"/>
      <c r="H714" s="518"/>
    </row>
    <row r="715" spans="1:8" ht="15.75" hidden="1" thickBot="1" x14ac:dyDescent="0.3">
      <c r="A715" s="50"/>
      <c r="B715" s="34"/>
      <c r="C715" s="34"/>
      <c r="D715" s="34"/>
      <c r="E715" s="127"/>
      <c r="F715" s="233"/>
      <c r="G715" s="41"/>
      <c r="H715" s="519"/>
    </row>
    <row r="716" spans="1:8" ht="15.75" hidden="1" thickBot="1" x14ac:dyDescent="0.3">
      <c r="A716" s="36"/>
      <c r="B716" s="241"/>
      <c r="C716" s="241"/>
      <c r="D716" s="241"/>
      <c r="E716" s="242"/>
      <c r="F716" s="240"/>
      <c r="G716" s="242" t="s">
        <v>39</v>
      </c>
      <c r="H716" s="42">
        <f>SUM(G713:G715)</f>
        <v>16693.739999999998</v>
      </c>
    </row>
    <row r="717" spans="1:8" ht="15.75" hidden="1" thickBot="1" x14ac:dyDescent="0.3">
      <c r="A717" s="546" t="s">
        <v>61</v>
      </c>
      <c r="B717" s="547"/>
      <c r="C717" s="241"/>
      <c r="D717" s="241"/>
      <c r="E717" s="242"/>
      <c r="F717" s="240"/>
      <c r="G717" s="242"/>
      <c r="H717" s="26"/>
    </row>
    <row r="718" spans="1:8" hidden="1" x14ac:dyDescent="0.25">
      <c r="A718" s="521" t="s">
        <v>32</v>
      </c>
      <c r="B718" s="522"/>
      <c r="C718" s="522"/>
      <c r="D718" s="522"/>
      <c r="E718" s="523"/>
      <c r="F718" s="51" t="s">
        <v>62</v>
      </c>
      <c r="G718" s="52" t="s">
        <v>63</v>
      </c>
      <c r="H718" s="524"/>
    </row>
    <row r="719" spans="1:8" hidden="1" x14ac:dyDescent="0.25">
      <c r="A719" s="487" t="s">
        <v>24</v>
      </c>
      <c r="B719" s="488"/>
      <c r="C719" s="488"/>
      <c r="D719" s="488"/>
      <c r="E719" s="489"/>
      <c r="F719" s="248">
        <v>0</v>
      </c>
      <c r="G719" s="249">
        <f>ROUND((H716+H710+H704+H699)*F719,0)</f>
        <v>0</v>
      </c>
      <c r="H719" s="525"/>
    </row>
    <row r="720" spans="1:8" hidden="1" x14ac:dyDescent="0.25">
      <c r="A720" s="487" t="s">
        <v>25</v>
      </c>
      <c r="B720" s="488"/>
      <c r="C720" s="488"/>
      <c r="D720" s="488"/>
      <c r="E720" s="489"/>
      <c r="F720" s="248">
        <v>0</v>
      </c>
      <c r="G720" s="249">
        <f>ROUND((H699+H704+H710+H716)*F720,0)</f>
        <v>0</v>
      </c>
      <c r="H720" s="525"/>
    </row>
    <row r="721" spans="1:9" ht="15.75" hidden="1" thickBot="1" x14ac:dyDescent="0.3">
      <c r="A721" s="483" t="s">
        <v>64</v>
      </c>
      <c r="B721" s="484"/>
      <c r="C721" s="484"/>
      <c r="D721" s="484"/>
      <c r="E721" s="485"/>
      <c r="F721" s="250">
        <v>0</v>
      </c>
      <c r="G721" s="251">
        <f>ROUND((H699+H704+H710+H716)*F721,0)</f>
        <v>0</v>
      </c>
      <c r="H721" s="526"/>
    </row>
    <row r="722" spans="1:9" ht="15.75" hidden="1" thickBot="1" x14ac:dyDescent="0.3">
      <c r="A722" s="556" t="s">
        <v>39</v>
      </c>
      <c r="B722" s="557"/>
      <c r="C722" s="557"/>
      <c r="D722" s="557"/>
      <c r="E722" s="557"/>
      <c r="F722" s="557"/>
      <c r="G722" s="558"/>
      <c r="H722" s="37">
        <f>SUM(G719:G721)</f>
        <v>0</v>
      </c>
    </row>
    <row r="723" spans="1:9" ht="15.75" hidden="1" thickBot="1" x14ac:dyDescent="0.3">
      <c r="A723" s="492"/>
      <c r="B723" s="493"/>
      <c r="C723" s="493"/>
      <c r="D723" s="493"/>
      <c r="E723" s="493"/>
      <c r="F723" s="493"/>
      <c r="G723" s="493"/>
      <c r="H723" s="494"/>
    </row>
    <row r="724" spans="1:9" ht="15.75" hidden="1" thickBot="1" x14ac:dyDescent="0.3">
      <c r="A724" s="495"/>
      <c r="B724" s="496"/>
      <c r="C724" s="496"/>
      <c r="D724" s="497"/>
      <c r="E724" s="573" t="s">
        <v>65</v>
      </c>
      <c r="F724" s="574"/>
      <c r="G724" s="575"/>
      <c r="H724" s="37">
        <f>ROUND(SUM(H693:H722),0)</f>
        <v>20428</v>
      </c>
      <c r="I724" s="201"/>
    </row>
    <row r="725" spans="1:9" hidden="1" x14ac:dyDescent="0.25">
      <c r="A725" s="461" t="s">
        <v>66</v>
      </c>
      <c r="B725" s="461"/>
      <c r="C725" s="111"/>
      <c r="D725" s="111"/>
      <c r="E725" s="114"/>
      <c r="F725" s="223"/>
      <c r="G725" s="114"/>
      <c r="H725" s="114"/>
    </row>
    <row r="726" spans="1:9" hidden="1" x14ac:dyDescent="0.25">
      <c r="A726" s="460" t="s">
        <v>320</v>
      </c>
      <c r="B726" s="460"/>
      <c r="C726" s="111"/>
      <c r="D726" s="111"/>
      <c r="E726" s="114"/>
      <c r="F726" s="223"/>
      <c r="G726" s="114"/>
      <c r="H726" s="114"/>
    </row>
    <row r="727" spans="1:9" ht="15.75" thickBot="1" x14ac:dyDescent="0.3"/>
    <row r="728" spans="1:9" ht="15.75" thickBot="1" x14ac:dyDescent="0.3">
      <c r="A728" s="115" t="s">
        <v>28</v>
      </c>
      <c r="B728" s="660" t="str">
        <f>PRESUPUESTO!B31</f>
        <v>Suministro e instalacion de tierra negra mejorada y esterilizada para siembra de prado, materas, arboles, arbustos .</v>
      </c>
      <c r="C728" s="661"/>
      <c r="D728" s="661"/>
      <c r="E728" s="661"/>
      <c r="F728" s="662"/>
      <c r="G728" s="116" t="s">
        <v>29</v>
      </c>
      <c r="H728" s="117" t="str">
        <f>PRESUPUESTO!C31</f>
        <v>m3</v>
      </c>
    </row>
    <row r="729" spans="1:9" ht="15.75" thickBot="1" x14ac:dyDescent="0.3">
      <c r="A729" s="118" t="str">
        <f>PRESUPUESTO!A31</f>
        <v>5.1</v>
      </c>
      <c r="B729" s="663"/>
      <c r="C729" s="664"/>
      <c r="D729" s="664"/>
      <c r="E729" s="664"/>
      <c r="F729" s="665"/>
      <c r="G729" s="119" t="s">
        <v>30</v>
      </c>
      <c r="H729" s="120"/>
    </row>
    <row r="730" spans="1:9" ht="15.75" thickBot="1" x14ac:dyDescent="0.3">
      <c r="A730" s="20"/>
      <c r="B730" s="21"/>
      <c r="C730" s="21"/>
      <c r="D730" s="21"/>
      <c r="E730" s="23"/>
      <c r="F730" s="206"/>
      <c r="G730" s="23"/>
      <c r="H730" s="24"/>
    </row>
    <row r="731" spans="1:9" ht="15.75" thickBot="1" x14ac:dyDescent="0.3">
      <c r="A731" s="666" t="s">
        <v>31</v>
      </c>
      <c r="B731" s="667"/>
      <c r="C731" s="22"/>
      <c r="D731" s="22"/>
      <c r="E731" s="25"/>
      <c r="F731" s="206"/>
      <c r="G731" s="25"/>
      <c r="H731" s="26"/>
    </row>
    <row r="732" spans="1:9" x14ac:dyDescent="0.25">
      <c r="A732" s="533" t="s">
        <v>32</v>
      </c>
      <c r="B732" s="534"/>
      <c r="C732" s="27" t="s">
        <v>69</v>
      </c>
      <c r="D732" s="27" t="s">
        <v>52</v>
      </c>
      <c r="E732" s="125" t="s">
        <v>34</v>
      </c>
      <c r="F732" s="203" t="s">
        <v>35</v>
      </c>
      <c r="G732" s="28" t="s">
        <v>36</v>
      </c>
      <c r="H732" s="517"/>
    </row>
    <row r="733" spans="1:9" x14ac:dyDescent="0.25">
      <c r="A733" s="508" t="s">
        <v>70</v>
      </c>
      <c r="B733" s="509"/>
      <c r="C733" s="32" t="s">
        <v>38</v>
      </c>
      <c r="D733" s="32" t="s">
        <v>38</v>
      </c>
      <c r="E733" s="126"/>
      <c r="F733" s="204"/>
      <c r="G733" s="31">
        <f>H757*(0.05)</f>
        <v>269.05</v>
      </c>
      <c r="H733" s="518"/>
    </row>
    <row r="734" spans="1:9" x14ac:dyDescent="0.25">
      <c r="A734" s="508"/>
      <c r="B734" s="509"/>
      <c r="C734" s="32"/>
      <c r="D734" s="32"/>
      <c r="E734" s="126"/>
      <c r="F734" s="204"/>
      <c r="G734" s="31"/>
      <c r="H734" s="518"/>
    </row>
    <row r="735" spans="1:9" x14ac:dyDescent="0.25">
      <c r="A735" s="508"/>
      <c r="B735" s="509"/>
      <c r="C735" s="32"/>
      <c r="D735" s="32"/>
      <c r="E735" s="126"/>
      <c r="F735" s="204"/>
      <c r="G735" s="31"/>
      <c r="H735" s="518"/>
    </row>
    <row r="736" spans="1:9" x14ac:dyDescent="0.25">
      <c r="A736" s="508"/>
      <c r="B736" s="509"/>
      <c r="C736" s="32"/>
      <c r="D736" s="32"/>
      <c r="E736" s="126"/>
      <c r="F736" s="204"/>
      <c r="G736" s="31"/>
      <c r="H736" s="518"/>
    </row>
    <row r="737" spans="1:8" ht="15.75" thickBot="1" x14ac:dyDescent="0.3">
      <c r="A737" s="535"/>
      <c r="B737" s="536"/>
      <c r="C737" s="33"/>
      <c r="D737" s="33"/>
      <c r="E737" s="127"/>
      <c r="F737" s="205"/>
      <c r="G737" s="35"/>
      <c r="H737" s="519"/>
    </row>
    <row r="738" spans="1:8" ht="15.75" thickBot="1" x14ac:dyDescent="0.3">
      <c r="A738" s="36"/>
      <c r="B738" s="22"/>
      <c r="C738" s="22"/>
      <c r="D738" s="22"/>
      <c r="E738" s="25"/>
      <c r="F738" s="206"/>
      <c r="G738" s="25" t="s">
        <v>39</v>
      </c>
      <c r="H738" s="37">
        <f>ROUND(SUM(G733:G737),0)</f>
        <v>269</v>
      </c>
    </row>
    <row r="739" spans="1:8" ht="15.75" thickBot="1" x14ac:dyDescent="0.3">
      <c r="A739" s="666" t="s">
        <v>40</v>
      </c>
      <c r="B739" s="667"/>
      <c r="C739" s="22"/>
      <c r="D739" s="22"/>
      <c r="E739" s="25"/>
      <c r="F739" s="206"/>
      <c r="G739" s="25"/>
      <c r="H739" s="26"/>
    </row>
    <row r="740" spans="1:8" x14ac:dyDescent="0.25">
      <c r="A740" s="503" t="s">
        <v>32</v>
      </c>
      <c r="B740" s="504"/>
      <c r="C740" s="38" t="s">
        <v>41</v>
      </c>
      <c r="D740" s="27" t="s">
        <v>29</v>
      </c>
      <c r="E740" s="125" t="s">
        <v>42</v>
      </c>
      <c r="F740" s="203" t="s">
        <v>35</v>
      </c>
      <c r="G740" s="39" t="s">
        <v>36</v>
      </c>
      <c r="H740" s="505"/>
    </row>
    <row r="741" spans="1:8" ht="30" customHeight="1" x14ac:dyDescent="0.25">
      <c r="A741" s="507" t="s">
        <v>229</v>
      </c>
      <c r="B741" s="486"/>
      <c r="C741" s="86"/>
      <c r="D741" s="32" t="s">
        <v>16</v>
      </c>
      <c r="E741" s="88">
        <v>36000</v>
      </c>
      <c r="F741" s="217">
        <v>1</v>
      </c>
      <c r="G741" s="45">
        <f t="shared" ref="G741" si="11">F741*E741</f>
        <v>36000</v>
      </c>
      <c r="H741" s="506"/>
    </row>
    <row r="742" spans="1:8" x14ac:dyDescent="0.25">
      <c r="A742" s="668"/>
      <c r="B742" s="669"/>
      <c r="C742" s="30"/>
      <c r="D742" s="32"/>
      <c r="E742" s="126"/>
      <c r="F742" s="222"/>
      <c r="G742" s="40"/>
      <c r="H742" s="506"/>
    </row>
    <row r="743" spans="1:8" x14ac:dyDescent="0.25">
      <c r="A743" s="559" t="s">
        <v>83</v>
      </c>
      <c r="B743" s="560"/>
      <c r="C743" s="74"/>
      <c r="D743" s="32"/>
      <c r="E743" s="126"/>
      <c r="F743" s="221"/>
      <c r="G743" s="40">
        <f>SUM(G741:G741)*C743</f>
        <v>0</v>
      </c>
      <c r="H743" s="506"/>
    </row>
    <row r="744" spans="1:8" ht="15.75" thickBot="1" x14ac:dyDescent="0.3">
      <c r="A744" s="513"/>
      <c r="B744" s="514"/>
      <c r="C744" s="34"/>
      <c r="D744" s="33"/>
      <c r="E744" s="127"/>
      <c r="F744" s="205"/>
      <c r="G744" s="41"/>
      <c r="H744" s="512"/>
    </row>
    <row r="745" spans="1:8" ht="15.75" thickBot="1" x14ac:dyDescent="0.3">
      <c r="A745" s="36"/>
      <c r="B745" s="22"/>
      <c r="C745" s="22"/>
      <c r="D745" s="22"/>
      <c r="E745" s="25"/>
      <c r="F745" s="206"/>
      <c r="G745" s="25" t="s">
        <v>39</v>
      </c>
      <c r="H745" s="42">
        <f>ROUND(SUM(G741:G744),0)</f>
        <v>36000</v>
      </c>
    </row>
    <row r="746" spans="1:8" ht="15.75" thickBot="1" x14ac:dyDescent="0.3">
      <c r="A746" s="670" t="s">
        <v>49</v>
      </c>
      <c r="B746" s="671"/>
      <c r="C746" s="22"/>
      <c r="D746" s="22"/>
      <c r="E746" s="25"/>
      <c r="F746" s="206"/>
      <c r="G746" s="25"/>
      <c r="H746" s="26"/>
    </row>
    <row r="747" spans="1:8" x14ac:dyDescent="0.25">
      <c r="A747" s="503" t="s">
        <v>50</v>
      </c>
      <c r="B747" s="504"/>
      <c r="C747" s="43" t="s">
        <v>73</v>
      </c>
      <c r="D747" s="27" t="s">
        <v>52</v>
      </c>
      <c r="E747" s="125" t="s">
        <v>34</v>
      </c>
      <c r="F747" s="203" t="s">
        <v>35</v>
      </c>
      <c r="G747" s="39" t="s">
        <v>36</v>
      </c>
      <c r="H747" s="505"/>
    </row>
    <row r="748" spans="1:8" x14ac:dyDescent="0.25">
      <c r="A748" s="593" t="s">
        <v>99</v>
      </c>
      <c r="B748" s="594"/>
      <c r="C748" s="44" t="s">
        <v>68</v>
      </c>
      <c r="D748" s="44"/>
      <c r="E748" s="72">
        <v>20000</v>
      </c>
      <c r="F748" s="224">
        <v>0.5</v>
      </c>
      <c r="G748" s="45">
        <f>E748*F748</f>
        <v>10000</v>
      </c>
      <c r="H748" s="506"/>
    </row>
    <row r="749" spans="1:8" x14ac:dyDescent="0.25">
      <c r="A749" s="569"/>
      <c r="B749" s="570"/>
      <c r="C749" s="44"/>
      <c r="D749" s="44"/>
      <c r="E749" s="72"/>
      <c r="F749" s="217"/>
      <c r="G749" s="45"/>
      <c r="H749" s="506"/>
    </row>
    <row r="750" spans="1:8" ht="15.75" thickBot="1" x14ac:dyDescent="0.3">
      <c r="A750" s="513"/>
      <c r="B750" s="514"/>
      <c r="C750" s="34"/>
      <c r="D750" s="34"/>
      <c r="E750" s="127"/>
      <c r="F750" s="205"/>
      <c r="G750" s="41"/>
      <c r="H750" s="512"/>
    </row>
    <row r="751" spans="1:8" ht="15.75" thickBot="1" x14ac:dyDescent="0.3">
      <c r="A751" s="36"/>
      <c r="B751" s="22"/>
      <c r="C751" s="22"/>
      <c r="D751" s="22"/>
      <c r="E751" s="25"/>
      <c r="F751" s="206"/>
      <c r="G751" s="25" t="s">
        <v>39</v>
      </c>
      <c r="H751" s="42">
        <f>ROUND(SUM(G748:G750),0)</f>
        <v>10000</v>
      </c>
    </row>
    <row r="752" spans="1:8" ht="15.75" thickBot="1" x14ac:dyDescent="0.3">
      <c r="A752" s="121" t="s">
        <v>53</v>
      </c>
      <c r="B752" s="122"/>
      <c r="C752" s="22"/>
      <c r="D752" s="22"/>
      <c r="E752" s="25"/>
      <c r="F752" s="206"/>
      <c r="G752" s="25"/>
      <c r="H752" s="26"/>
    </row>
    <row r="753" spans="1:9" x14ac:dyDescent="0.25">
      <c r="A753" s="46" t="s">
        <v>54</v>
      </c>
      <c r="B753" s="27" t="s">
        <v>55</v>
      </c>
      <c r="C753" s="43" t="s">
        <v>56</v>
      </c>
      <c r="D753" s="27" t="s">
        <v>57</v>
      </c>
      <c r="E753" s="128" t="s">
        <v>58</v>
      </c>
      <c r="F753" s="203" t="s">
        <v>59</v>
      </c>
      <c r="G753" s="39" t="s">
        <v>36</v>
      </c>
      <c r="H753" s="517"/>
    </row>
    <row r="754" spans="1:9" x14ac:dyDescent="0.25">
      <c r="A754" s="595" t="str">
        <f>'CUADRILLAS DE OBRA'!B22</f>
        <v>CUADRILLA 1</v>
      </c>
      <c r="B754" s="596"/>
      <c r="C754" s="123">
        <f>'CUADRILLAS DE OBRA'!E23</f>
        <v>9464</v>
      </c>
      <c r="D754" s="200">
        <f>PRESTACIONES!E28</f>
        <v>0.8952</v>
      </c>
      <c r="E754" s="72">
        <f>'CUADRILLAS DE OBRA'!G23</f>
        <v>17936</v>
      </c>
      <c r="F754" s="217">
        <v>0.3</v>
      </c>
      <c r="G754" s="126">
        <f>E754*F754</f>
        <v>5380.8</v>
      </c>
      <c r="H754" s="518"/>
    </row>
    <row r="755" spans="1:9" x14ac:dyDescent="0.25">
      <c r="A755" s="47"/>
      <c r="B755" s="48"/>
      <c r="C755" s="108"/>
      <c r="D755" s="48"/>
      <c r="E755" s="72"/>
      <c r="F755" s="217"/>
      <c r="G755" s="72"/>
      <c r="H755" s="518"/>
    </row>
    <row r="756" spans="1:9" ht="15.75" thickBot="1" x14ac:dyDescent="0.3">
      <c r="A756" s="50"/>
      <c r="B756" s="34"/>
      <c r="C756" s="34"/>
      <c r="D756" s="34"/>
      <c r="E756" s="127"/>
      <c r="F756" s="205"/>
      <c r="G756" s="41"/>
      <c r="H756" s="519"/>
    </row>
    <row r="757" spans="1:9" ht="15.75" thickBot="1" x14ac:dyDescent="0.3">
      <c r="A757" s="36"/>
      <c r="B757" s="22"/>
      <c r="C757" s="22"/>
      <c r="D757" s="22"/>
      <c r="E757" s="25"/>
      <c r="F757" s="206"/>
      <c r="G757" s="25" t="s">
        <v>39</v>
      </c>
      <c r="H757" s="42">
        <f>ROUND(SUM(G754:G756),0)</f>
        <v>5381</v>
      </c>
    </row>
    <row r="758" spans="1:9" ht="15.75" thickBot="1" x14ac:dyDescent="0.3">
      <c r="A758" s="666" t="s">
        <v>61</v>
      </c>
      <c r="B758" s="667"/>
      <c r="C758" s="22"/>
      <c r="D758" s="22"/>
      <c r="E758" s="25"/>
      <c r="F758" s="206"/>
      <c r="G758" s="25"/>
      <c r="H758" s="26"/>
    </row>
    <row r="759" spans="1:9" x14ac:dyDescent="0.25">
      <c r="A759" s="521" t="s">
        <v>32</v>
      </c>
      <c r="B759" s="522"/>
      <c r="C759" s="522"/>
      <c r="D759" s="522"/>
      <c r="E759" s="523"/>
      <c r="F759" s="51" t="s">
        <v>62</v>
      </c>
      <c r="G759" s="52" t="s">
        <v>63</v>
      </c>
      <c r="H759" s="524"/>
    </row>
    <row r="760" spans="1:9" x14ac:dyDescent="0.25">
      <c r="A760" s="487" t="s">
        <v>24</v>
      </c>
      <c r="B760" s="488"/>
      <c r="C760" s="488"/>
      <c r="D760" s="488"/>
      <c r="E760" s="489"/>
      <c r="F760" s="53">
        <v>0</v>
      </c>
      <c r="G760" s="54">
        <f>ROUND((H757+H751+H745+H738)*F760,0)</f>
        <v>0</v>
      </c>
      <c r="H760" s="525"/>
    </row>
    <row r="761" spans="1:9" x14ac:dyDescent="0.25">
      <c r="A761" s="487" t="s">
        <v>25</v>
      </c>
      <c r="B761" s="488"/>
      <c r="C761" s="488"/>
      <c r="D761" s="488"/>
      <c r="E761" s="489"/>
      <c r="F761" s="53">
        <v>0</v>
      </c>
      <c r="G761" s="54">
        <f>ROUND((H738+H745+H751+H757)*F761,0)</f>
        <v>0</v>
      </c>
      <c r="H761" s="525"/>
    </row>
    <row r="762" spans="1:9" ht="15.75" thickBot="1" x14ac:dyDescent="0.3">
      <c r="A762" s="483" t="s">
        <v>64</v>
      </c>
      <c r="B762" s="484"/>
      <c r="C762" s="484"/>
      <c r="D762" s="484"/>
      <c r="E762" s="485"/>
      <c r="F762" s="55">
        <v>0</v>
      </c>
      <c r="G762" s="56">
        <f>ROUND((H738+H745+H751+H757)*F762,0)</f>
        <v>0</v>
      </c>
      <c r="H762" s="526"/>
    </row>
    <row r="763" spans="1:9" ht="15.75" thickBot="1" x14ac:dyDescent="0.3">
      <c r="A763" s="490" t="s">
        <v>39</v>
      </c>
      <c r="B763" s="576"/>
      <c r="C763" s="576"/>
      <c r="D763" s="576"/>
      <c r="E763" s="576"/>
      <c r="F763" s="576"/>
      <c r="G763" s="576"/>
      <c r="H763" s="37">
        <f>SUM(G760:G762)</f>
        <v>0</v>
      </c>
    </row>
    <row r="764" spans="1:9" ht="15.75" thickBot="1" x14ac:dyDescent="0.3">
      <c r="A764" s="492"/>
      <c r="B764" s="564"/>
      <c r="C764" s="564"/>
      <c r="D764" s="564"/>
      <c r="E764" s="564"/>
      <c r="F764" s="564"/>
      <c r="G764" s="564"/>
      <c r="H764" s="494"/>
    </row>
    <row r="765" spans="1:9" ht="15.75" thickBot="1" x14ac:dyDescent="0.3">
      <c r="A765" s="565"/>
      <c r="B765" s="566"/>
      <c r="C765" s="566"/>
      <c r="D765" s="567"/>
      <c r="E765" s="672" t="s">
        <v>65</v>
      </c>
      <c r="F765" s="673"/>
      <c r="G765" s="674"/>
      <c r="H765" s="124">
        <f>ROUND(SUM(H732:H763),0)</f>
        <v>51650</v>
      </c>
      <c r="I765" s="201"/>
    </row>
    <row r="766" spans="1:9" x14ac:dyDescent="0.25">
      <c r="A766" s="461" t="s">
        <v>66</v>
      </c>
      <c r="B766" s="461"/>
      <c r="C766" s="111"/>
      <c r="D766" s="111"/>
      <c r="E766" s="114"/>
      <c r="F766" s="223"/>
      <c r="G766" s="114"/>
      <c r="H766" s="114"/>
    </row>
    <row r="767" spans="1:9" x14ac:dyDescent="0.25">
      <c r="A767" s="460" t="s">
        <v>320</v>
      </c>
      <c r="B767" s="460"/>
      <c r="C767" s="111"/>
      <c r="D767" s="111"/>
      <c r="E767" s="114"/>
      <c r="F767" s="223"/>
      <c r="G767" s="114"/>
      <c r="H767" s="114"/>
    </row>
    <row r="768" spans="1:9" ht="15.75" thickBot="1" x14ac:dyDescent="0.3"/>
    <row r="769" spans="1:8" ht="15.75" thickBot="1" x14ac:dyDescent="0.3">
      <c r="A769" s="63" t="s">
        <v>28</v>
      </c>
      <c r="B769" s="527" t="str">
        <f>PRESUPUESTO!B32</f>
        <v>Suministro e instalacion de prado gateadora o trenza</v>
      </c>
      <c r="C769" s="528"/>
      <c r="D769" s="528"/>
      <c r="E769" s="528"/>
      <c r="F769" s="529"/>
      <c r="G769" s="64" t="s">
        <v>29</v>
      </c>
      <c r="H769" s="65" t="str">
        <f>PRESUPUESTO!C32</f>
        <v>m2</v>
      </c>
    </row>
    <row r="770" spans="1:8" ht="15.75" thickBot="1" x14ac:dyDescent="0.3">
      <c r="A770" s="66" t="str">
        <f>PRESUPUESTO!A32</f>
        <v>5.2</v>
      </c>
      <c r="B770" s="530"/>
      <c r="C770" s="531"/>
      <c r="D770" s="531"/>
      <c r="E770" s="531"/>
      <c r="F770" s="532"/>
      <c r="G770" s="67" t="s">
        <v>30</v>
      </c>
      <c r="H770" s="68"/>
    </row>
    <row r="771" spans="1:8" ht="15.75" thickBot="1" x14ac:dyDescent="0.3">
      <c r="A771" s="20"/>
      <c r="B771" s="21"/>
      <c r="C771" s="21"/>
      <c r="D771" s="21"/>
      <c r="E771" s="23"/>
      <c r="F771" s="206"/>
      <c r="G771" s="23"/>
      <c r="H771" s="24"/>
    </row>
    <row r="772" spans="1:8" ht="15.75" thickBot="1" x14ac:dyDescent="0.3">
      <c r="A772" s="501" t="s">
        <v>31</v>
      </c>
      <c r="B772" s="502"/>
      <c r="C772" s="22"/>
      <c r="D772" s="22"/>
      <c r="E772" s="25"/>
      <c r="F772" s="206"/>
      <c r="G772" s="25"/>
      <c r="H772" s="26"/>
    </row>
    <row r="773" spans="1:8" x14ac:dyDescent="0.25">
      <c r="A773" s="533" t="s">
        <v>32</v>
      </c>
      <c r="B773" s="534"/>
      <c r="C773" s="27" t="s">
        <v>69</v>
      </c>
      <c r="D773" s="27" t="s">
        <v>52</v>
      </c>
      <c r="E773" s="125" t="s">
        <v>34</v>
      </c>
      <c r="F773" s="203" t="s">
        <v>35</v>
      </c>
      <c r="G773" s="28" t="s">
        <v>36</v>
      </c>
      <c r="H773" s="517"/>
    </row>
    <row r="774" spans="1:8" x14ac:dyDescent="0.25">
      <c r="A774" s="508" t="s">
        <v>70</v>
      </c>
      <c r="B774" s="509"/>
      <c r="C774" s="32" t="s">
        <v>38</v>
      </c>
      <c r="D774" s="32" t="s">
        <v>38</v>
      </c>
      <c r="E774" s="126"/>
      <c r="F774" s="204"/>
      <c r="G774" s="31">
        <f>H796*(0.05)</f>
        <v>502.20000000000005</v>
      </c>
      <c r="H774" s="518"/>
    </row>
    <row r="775" spans="1:8" x14ac:dyDescent="0.25">
      <c r="A775" s="508"/>
      <c r="B775" s="509"/>
      <c r="C775" s="32"/>
      <c r="D775" s="32"/>
      <c r="E775" s="126"/>
      <c r="F775" s="204"/>
      <c r="G775" s="31"/>
      <c r="H775" s="518"/>
    </row>
    <row r="776" spans="1:8" x14ac:dyDescent="0.25">
      <c r="A776" s="508"/>
      <c r="B776" s="509"/>
      <c r="C776" s="32"/>
      <c r="D776" s="32"/>
      <c r="E776" s="126"/>
      <c r="F776" s="204"/>
      <c r="G776" s="31"/>
      <c r="H776" s="518"/>
    </row>
    <row r="777" spans="1:8" x14ac:dyDescent="0.25">
      <c r="A777" s="508"/>
      <c r="B777" s="509"/>
      <c r="C777" s="32"/>
      <c r="D777" s="32"/>
      <c r="E777" s="126"/>
      <c r="F777" s="204"/>
      <c r="G777" s="31"/>
      <c r="H777" s="518"/>
    </row>
    <row r="778" spans="1:8" ht="15.75" thickBot="1" x14ac:dyDescent="0.3">
      <c r="A778" s="535"/>
      <c r="B778" s="536"/>
      <c r="C778" s="33"/>
      <c r="D778" s="33"/>
      <c r="E778" s="127"/>
      <c r="F778" s="205"/>
      <c r="G778" s="35"/>
      <c r="H778" s="519"/>
    </row>
    <row r="779" spans="1:8" ht="15.75" thickBot="1" x14ac:dyDescent="0.3">
      <c r="A779" s="36"/>
      <c r="B779" s="22"/>
      <c r="C779" s="22"/>
      <c r="D779" s="22"/>
      <c r="E779" s="25"/>
      <c r="F779" s="206"/>
      <c r="G779" s="25" t="s">
        <v>39</v>
      </c>
      <c r="H779" s="37">
        <f>ROUND(SUM(G774:G778),0)</f>
        <v>502</v>
      </c>
    </row>
    <row r="780" spans="1:8" ht="15.75" thickBot="1" x14ac:dyDescent="0.3">
      <c r="A780" s="501" t="s">
        <v>40</v>
      </c>
      <c r="B780" s="502"/>
      <c r="C780" s="22"/>
      <c r="D780" s="22"/>
      <c r="E780" s="25"/>
      <c r="F780" s="206"/>
      <c r="G780" s="25"/>
      <c r="H780" s="26"/>
    </row>
    <row r="781" spans="1:8" x14ac:dyDescent="0.25">
      <c r="A781" s="503" t="s">
        <v>32</v>
      </c>
      <c r="B781" s="504"/>
      <c r="C781" s="38" t="s">
        <v>41</v>
      </c>
      <c r="D781" s="27" t="s">
        <v>29</v>
      </c>
      <c r="E781" s="125" t="s">
        <v>42</v>
      </c>
      <c r="F781" s="203" t="s">
        <v>35</v>
      </c>
      <c r="G781" s="39" t="s">
        <v>36</v>
      </c>
      <c r="H781" s="505"/>
    </row>
    <row r="782" spans="1:8" x14ac:dyDescent="0.25">
      <c r="A782" s="507" t="s">
        <v>100</v>
      </c>
      <c r="B782" s="486"/>
      <c r="C782" s="86"/>
      <c r="D782" s="32" t="s">
        <v>19</v>
      </c>
      <c r="E782" s="88">
        <v>6000</v>
      </c>
      <c r="F782" s="217">
        <v>1</v>
      </c>
      <c r="G782" s="45">
        <f>E782*F782</f>
        <v>6000</v>
      </c>
      <c r="H782" s="506"/>
    </row>
    <row r="783" spans="1:8" x14ac:dyDescent="0.25">
      <c r="A783" s="559" t="s">
        <v>83</v>
      </c>
      <c r="B783" s="560"/>
      <c r="C783" s="74"/>
      <c r="D783" s="32"/>
      <c r="E783" s="126"/>
      <c r="F783" s="221"/>
      <c r="G783" s="40">
        <f>SUM(G782:G782)*C783</f>
        <v>0</v>
      </c>
      <c r="H783" s="506"/>
    </row>
    <row r="784" spans="1:8" ht="15.75" thickBot="1" x14ac:dyDescent="0.3">
      <c r="A784" s="513"/>
      <c r="B784" s="514"/>
      <c r="C784" s="34"/>
      <c r="D784" s="33"/>
      <c r="E784" s="127"/>
      <c r="F784" s="205"/>
      <c r="G784" s="41"/>
      <c r="H784" s="512"/>
    </row>
    <row r="785" spans="1:8" ht="15.75" thickBot="1" x14ac:dyDescent="0.3">
      <c r="A785" s="36"/>
      <c r="B785" s="22"/>
      <c r="C785" s="22"/>
      <c r="D785" s="22"/>
      <c r="E785" s="25"/>
      <c r="F785" s="206"/>
      <c r="G785" s="25" t="s">
        <v>39</v>
      </c>
      <c r="H785" s="42">
        <f>ROUND(SUM(G782:G784),0)</f>
        <v>6000</v>
      </c>
    </row>
    <row r="786" spans="1:8" ht="15.75" thickBot="1" x14ac:dyDescent="0.3">
      <c r="A786" s="510" t="s">
        <v>49</v>
      </c>
      <c r="B786" s="511"/>
      <c r="C786" s="22"/>
      <c r="D786" s="22"/>
      <c r="E786" s="25"/>
      <c r="F786" s="206"/>
      <c r="G786" s="25"/>
      <c r="H786" s="26"/>
    </row>
    <row r="787" spans="1:8" x14ac:dyDescent="0.25">
      <c r="A787" s="503" t="s">
        <v>50</v>
      </c>
      <c r="B787" s="504"/>
      <c r="C787" s="43" t="s">
        <v>73</v>
      </c>
      <c r="D787" s="27" t="s">
        <v>52</v>
      </c>
      <c r="E787" s="125" t="s">
        <v>34</v>
      </c>
      <c r="F787" s="203" t="s">
        <v>35</v>
      </c>
      <c r="G787" s="39" t="s">
        <v>36</v>
      </c>
      <c r="H787" s="505"/>
    </row>
    <row r="788" spans="1:8" x14ac:dyDescent="0.25">
      <c r="A788" s="569"/>
      <c r="B788" s="570"/>
      <c r="C788" s="44" t="s">
        <v>68</v>
      </c>
      <c r="D788" s="44"/>
      <c r="E788" s="72">
        <v>20000</v>
      </c>
      <c r="F788" s="224">
        <v>0.3</v>
      </c>
      <c r="G788" s="45">
        <f>E788*F788</f>
        <v>6000</v>
      </c>
      <c r="H788" s="506"/>
    </row>
    <row r="789" spans="1:8" ht="15.75" thickBot="1" x14ac:dyDescent="0.3">
      <c r="A789" s="513"/>
      <c r="B789" s="514"/>
      <c r="C789" s="34"/>
      <c r="D789" s="34"/>
      <c r="E789" s="127"/>
      <c r="F789" s="205"/>
      <c r="G789" s="41"/>
      <c r="H789" s="512"/>
    </row>
    <row r="790" spans="1:8" ht="15.75" thickBot="1" x14ac:dyDescent="0.3">
      <c r="A790" s="36"/>
      <c r="B790" s="22"/>
      <c r="C790" s="22"/>
      <c r="D790" s="22"/>
      <c r="E790" s="25"/>
      <c r="F790" s="206"/>
      <c r="G790" s="25" t="s">
        <v>39</v>
      </c>
      <c r="H790" s="42">
        <f>SUM(G788:G789)</f>
        <v>6000</v>
      </c>
    </row>
    <row r="791" spans="1:8" ht="15.75" thickBot="1" x14ac:dyDescent="0.3">
      <c r="A791" s="75" t="s">
        <v>53</v>
      </c>
      <c r="B791" s="22"/>
      <c r="C791" s="22"/>
      <c r="D791" s="22"/>
      <c r="E791" s="25"/>
      <c r="F791" s="206"/>
      <c r="G791" s="25"/>
      <c r="H791" s="26"/>
    </row>
    <row r="792" spans="1:8" x14ac:dyDescent="0.25">
      <c r="A792" s="46" t="s">
        <v>54</v>
      </c>
      <c r="B792" s="27" t="s">
        <v>55</v>
      </c>
      <c r="C792" s="43" t="s">
        <v>56</v>
      </c>
      <c r="D792" s="27" t="s">
        <v>57</v>
      </c>
      <c r="E792" s="128" t="s">
        <v>58</v>
      </c>
      <c r="F792" s="203" t="s">
        <v>59</v>
      </c>
      <c r="G792" s="39" t="s">
        <v>36</v>
      </c>
      <c r="H792" s="517"/>
    </row>
    <row r="793" spans="1:8" x14ac:dyDescent="0.25">
      <c r="A793" s="595" t="str">
        <f>'CUADRILLAS DE OBRA'!B25</f>
        <v>CUADRILLA 2</v>
      </c>
      <c r="B793" s="596"/>
      <c r="C793" s="49">
        <f>'CUADRILLAS DE OBRA'!E26</f>
        <v>13249</v>
      </c>
      <c r="D793" s="200">
        <f>PRESTACIONES!E28</f>
        <v>0.8952</v>
      </c>
      <c r="E793" s="72">
        <f>'CUADRILLAS DE OBRA'!G26</f>
        <v>25110</v>
      </c>
      <c r="F793" s="217">
        <v>0.4</v>
      </c>
      <c r="G793" s="126">
        <f>E793*F793</f>
        <v>10044</v>
      </c>
      <c r="H793" s="518"/>
    </row>
    <row r="794" spans="1:8" x14ac:dyDescent="0.25">
      <c r="A794" s="47"/>
      <c r="B794" s="48"/>
      <c r="C794" s="44"/>
      <c r="D794" s="48"/>
      <c r="E794" s="72"/>
      <c r="F794" s="217"/>
      <c r="G794" s="72"/>
      <c r="H794" s="518"/>
    </row>
    <row r="795" spans="1:8" ht="15.75" thickBot="1" x14ac:dyDescent="0.3">
      <c r="A795" s="50"/>
      <c r="B795" s="34"/>
      <c r="C795" s="34"/>
      <c r="D795" s="34"/>
      <c r="E795" s="127"/>
      <c r="F795" s="205"/>
      <c r="G795" s="41"/>
      <c r="H795" s="519"/>
    </row>
    <row r="796" spans="1:8" ht="15.75" thickBot="1" x14ac:dyDescent="0.3">
      <c r="A796" s="36"/>
      <c r="B796" s="22"/>
      <c r="C796" s="22"/>
      <c r="D796" s="22"/>
      <c r="E796" s="25"/>
      <c r="F796" s="206"/>
      <c r="G796" s="25" t="s">
        <v>39</v>
      </c>
      <c r="H796" s="42">
        <f>ROUND(SUM(G793:G795),0)</f>
        <v>10044</v>
      </c>
    </row>
    <row r="797" spans="1:8" ht="15.75" thickBot="1" x14ac:dyDescent="0.3">
      <c r="A797" s="501" t="s">
        <v>61</v>
      </c>
      <c r="B797" s="502"/>
      <c r="C797" s="22"/>
      <c r="D797" s="22"/>
      <c r="E797" s="25"/>
      <c r="F797" s="206"/>
      <c r="G797" s="25"/>
      <c r="H797" s="26"/>
    </row>
    <row r="798" spans="1:8" x14ac:dyDescent="0.25">
      <c r="A798" s="521" t="s">
        <v>32</v>
      </c>
      <c r="B798" s="522"/>
      <c r="C798" s="522"/>
      <c r="D798" s="522"/>
      <c r="E798" s="523"/>
      <c r="F798" s="51" t="s">
        <v>62</v>
      </c>
      <c r="G798" s="52" t="s">
        <v>63</v>
      </c>
      <c r="H798" s="524"/>
    </row>
    <row r="799" spans="1:8" x14ac:dyDescent="0.25">
      <c r="A799" s="487" t="s">
        <v>24</v>
      </c>
      <c r="B799" s="488"/>
      <c r="C799" s="488"/>
      <c r="D799" s="488"/>
      <c r="E799" s="489"/>
      <c r="F799" s="53">
        <v>0</v>
      </c>
      <c r="G799" s="54">
        <f>ROUND((H796+H790+H785+H779)*F799,0)</f>
        <v>0</v>
      </c>
      <c r="H799" s="525"/>
    </row>
    <row r="800" spans="1:8" x14ac:dyDescent="0.25">
      <c r="A800" s="487" t="s">
        <v>25</v>
      </c>
      <c r="B800" s="488"/>
      <c r="C800" s="488"/>
      <c r="D800" s="488"/>
      <c r="E800" s="489"/>
      <c r="F800" s="53">
        <v>0</v>
      </c>
      <c r="G800" s="54">
        <f>ROUND((H779+H785+H790+H796)*F800,0)</f>
        <v>0</v>
      </c>
      <c r="H800" s="525"/>
    </row>
    <row r="801" spans="1:9" ht="15.75" thickBot="1" x14ac:dyDescent="0.3">
      <c r="A801" s="483" t="s">
        <v>64</v>
      </c>
      <c r="B801" s="484"/>
      <c r="C801" s="484"/>
      <c r="D801" s="484"/>
      <c r="E801" s="485"/>
      <c r="F801" s="55">
        <v>0</v>
      </c>
      <c r="G801" s="56">
        <f>ROUND((H779+H785+H790+H796)*F801,0)</f>
        <v>0</v>
      </c>
      <c r="H801" s="526"/>
    </row>
    <row r="802" spans="1:9" ht="15.75" thickBot="1" x14ac:dyDescent="0.3">
      <c r="A802" s="490" t="s">
        <v>39</v>
      </c>
      <c r="B802" s="576"/>
      <c r="C802" s="576"/>
      <c r="D802" s="576"/>
      <c r="E802" s="576"/>
      <c r="F802" s="576"/>
      <c r="G802" s="576"/>
      <c r="H802" s="37">
        <f>SUM(G799:G801)</f>
        <v>0</v>
      </c>
    </row>
    <row r="803" spans="1:9" ht="15.75" thickBot="1" x14ac:dyDescent="0.3">
      <c r="A803" s="492"/>
      <c r="B803" s="564"/>
      <c r="C803" s="564"/>
      <c r="D803" s="564"/>
      <c r="E803" s="564"/>
      <c r="F803" s="564"/>
      <c r="G803" s="564"/>
      <c r="H803" s="494"/>
    </row>
    <row r="804" spans="1:9" ht="15.75" thickBot="1" x14ac:dyDescent="0.3">
      <c r="A804" s="565"/>
      <c r="B804" s="566"/>
      <c r="C804" s="566"/>
      <c r="D804" s="567"/>
      <c r="E804" s="498" t="s">
        <v>65</v>
      </c>
      <c r="F804" s="499"/>
      <c r="G804" s="500"/>
      <c r="H804" s="76">
        <f>ROUND(SUM(H773:H802),0)</f>
        <v>22546</v>
      </c>
      <c r="I804" s="201"/>
    </row>
    <row r="805" spans="1:9" x14ac:dyDescent="0.25">
      <c r="A805" s="461" t="s">
        <v>66</v>
      </c>
      <c r="B805" s="461"/>
      <c r="C805" s="111"/>
      <c r="D805" s="111"/>
      <c r="E805" s="114"/>
      <c r="F805" s="223"/>
      <c r="G805" s="114"/>
      <c r="H805" s="114"/>
    </row>
    <row r="806" spans="1:9" x14ac:dyDescent="0.25">
      <c r="A806" s="460" t="s">
        <v>320</v>
      </c>
      <c r="B806" s="460"/>
      <c r="C806" s="111"/>
      <c r="D806" s="111"/>
      <c r="E806" s="114"/>
      <c r="F806" s="223"/>
      <c r="G806" s="114"/>
      <c r="H806" s="114"/>
    </row>
    <row r="807" spans="1:9" ht="15.75" thickBot="1" x14ac:dyDescent="0.3"/>
    <row r="808" spans="1:9" ht="15.75" thickBot="1" x14ac:dyDescent="0.3">
      <c r="A808" s="63" t="s">
        <v>28</v>
      </c>
      <c r="B808" s="527" t="str">
        <f>PRESUPUESTO!B33</f>
        <v>Suministro y siembra de especies ornamentales (jazmines azules, jazmines blancos, hortensias)  Altura: (40 -50) cm</v>
      </c>
      <c r="C808" s="528"/>
      <c r="D808" s="528"/>
      <c r="E808" s="528"/>
      <c r="F808" s="529"/>
      <c r="G808" s="64" t="s">
        <v>29</v>
      </c>
      <c r="H808" s="65" t="str">
        <f>PRESUPUESTO!C33</f>
        <v>und</v>
      </c>
    </row>
    <row r="809" spans="1:9" ht="15.75" thickBot="1" x14ac:dyDescent="0.3">
      <c r="A809" s="66" t="str">
        <f>PRESUPUESTO!A33</f>
        <v>5.3</v>
      </c>
      <c r="B809" s="530"/>
      <c r="C809" s="531"/>
      <c r="D809" s="531"/>
      <c r="E809" s="531"/>
      <c r="F809" s="532"/>
      <c r="G809" s="67" t="s">
        <v>30</v>
      </c>
      <c r="H809" s="68"/>
    </row>
    <row r="810" spans="1:9" ht="15.75" thickBot="1" x14ac:dyDescent="0.3">
      <c r="A810" s="20"/>
      <c r="B810" s="21"/>
      <c r="C810" s="21"/>
      <c r="D810" s="21"/>
      <c r="E810" s="23"/>
      <c r="F810" s="206"/>
      <c r="G810" s="23"/>
      <c r="H810" s="24"/>
    </row>
    <row r="811" spans="1:9" ht="15.75" thickBot="1" x14ac:dyDescent="0.3">
      <c r="A811" s="501" t="s">
        <v>31</v>
      </c>
      <c r="B811" s="502"/>
      <c r="C811" s="22"/>
      <c r="D811" s="22"/>
      <c r="E811" s="25"/>
      <c r="F811" s="206"/>
      <c r="G811" s="25"/>
      <c r="H811" s="26"/>
    </row>
    <row r="812" spans="1:9" x14ac:dyDescent="0.25">
      <c r="A812" s="533" t="s">
        <v>32</v>
      </c>
      <c r="B812" s="534"/>
      <c r="C812" s="27" t="s">
        <v>69</v>
      </c>
      <c r="D812" s="27" t="s">
        <v>52</v>
      </c>
      <c r="E812" s="125" t="s">
        <v>34</v>
      </c>
      <c r="F812" s="203" t="s">
        <v>35</v>
      </c>
      <c r="G812" s="28" t="s">
        <v>36</v>
      </c>
      <c r="H812" s="517"/>
    </row>
    <row r="813" spans="1:9" x14ac:dyDescent="0.25">
      <c r="A813" s="508" t="s">
        <v>70</v>
      </c>
      <c r="B813" s="509"/>
      <c r="C813" s="32" t="s">
        <v>38</v>
      </c>
      <c r="D813" s="32" t="s">
        <v>38</v>
      </c>
      <c r="E813" s="126"/>
      <c r="F813" s="204"/>
      <c r="G813" s="31">
        <f>H835*(0.05)</f>
        <v>251.10000000000002</v>
      </c>
      <c r="H813" s="518"/>
    </row>
    <row r="814" spans="1:9" x14ac:dyDescent="0.25">
      <c r="A814" s="508"/>
      <c r="B814" s="509"/>
      <c r="C814" s="32"/>
      <c r="D814" s="32"/>
      <c r="E814" s="126"/>
      <c r="F814" s="204"/>
      <c r="G814" s="31"/>
      <c r="H814" s="518"/>
    </row>
    <row r="815" spans="1:9" x14ac:dyDescent="0.25">
      <c r="A815" s="508"/>
      <c r="B815" s="509"/>
      <c r="C815" s="32"/>
      <c r="D815" s="32"/>
      <c r="E815" s="126"/>
      <c r="F815" s="204"/>
      <c r="G815" s="31"/>
      <c r="H815" s="518"/>
    </row>
    <row r="816" spans="1:9" x14ac:dyDescent="0.25">
      <c r="A816" s="508"/>
      <c r="B816" s="509"/>
      <c r="C816" s="32"/>
      <c r="D816" s="32"/>
      <c r="E816" s="126"/>
      <c r="F816" s="204"/>
      <c r="G816" s="31"/>
      <c r="H816" s="518"/>
    </row>
    <row r="817" spans="1:8" ht="15.75" thickBot="1" x14ac:dyDescent="0.3">
      <c r="A817" s="535"/>
      <c r="B817" s="536"/>
      <c r="C817" s="33"/>
      <c r="D817" s="33"/>
      <c r="E817" s="127"/>
      <c r="F817" s="205"/>
      <c r="G817" s="35"/>
      <c r="H817" s="519"/>
    </row>
    <row r="818" spans="1:8" ht="15.75" thickBot="1" x14ac:dyDescent="0.3">
      <c r="A818" s="36"/>
      <c r="B818" s="22"/>
      <c r="C818" s="22"/>
      <c r="D818" s="22"/>
      <c r="E818" s="25"/>
      <c r="F818" s="206"/>
      <c r="G818" s="25" t="s">
        <v>39</v>
      </c>
      <c r="H818" s="37">
        <f>SUM(G813:G817)</f>
        <v>251.10000000000002</v>
      </c>
    </row>
    <row r="819" spans="1:8" ht="15.75" thickBot="1" x14ac:dyDescent="0.3">
      <c r="A819" s="501" t="s">
        <v>40</v>
      </c>
      <c r="B819" s="502"/>
      <c r="C819" s="22"/>
      <c r="D819" s="22"/>
      <c r="E819" s="25"/>
      <c r="F819" s="206"/>
      <c r="G819" s="25"/>
      <c r="H819" s="26"/>
    </row>
    <row r="820" spans="1:8" x14ac:dyDescent="0.25">
      <c r="A820" s="503" t="s">
        <v>32</v>
      </c>
      <c r="B820" s="504"/>
      <c r="C820" s="38" t="s">
        <v>41</v>
      </c>
      <c r="D820" s="27" t="s">
        <v>29</v>
      </c>
      <c r="E820" s="125" t="s">
        <v>42</v>
      </c>
      <c r="F820" s="203" t="s">
        <v>35</v>
      </c>
      <c r="G820" s="39" t="s">
        <v>36</v>
      </c>
      <c r="H820" s="505"/>
    </row>
    <row r="821" spans="1:8" x14ac:dyDescent="0.25">
      <c r="A821" s="507" t="s">
        <v>101</v>
      </c>
      <c r="B821" s="486"/>
      <c r="C821" s="86"/>
      <c r="D821" s="32" t="s">
        <v>18</v>
      </c>
      <c r="E821" s="88">
        <v>6472.1204687651325</v>
      </c>
      <c r="F821" s="217">
        <v>1</v>
      </c>
      <c r="G821" s="45">
        <f t="shared" ref="G821" si="12">F821*E821</f>
        <v>6472.1204687651325</v>
      </c>
      <c r="H821" s="506"/>
    </row>
    <row r="822" spans="1:8" x14ac:dyDescent="0.25">
      <c r="A822" s="559"/>
      <c r="B822" s="560"/>
      <c r="C822" s="74"/>
      <c r="D822" s="32"/>
      <c r="E822" s="126"/>
      <c r="F822" s="221"/>
      <c r="G822" s="40">
        <f>SUM(G821:G821)*C822</f>
        <v>0</v>
      </c>
      <c r="H822" s="506"/>
    </row>
    <row r="823" spans="1:8" ht="15.75" thickBot="1" x14ac:dyDescent="0.3">
      <c r="A823" s="513"/>
      <c r="B823" s="514"/>
      <c r="C823" s="34"/>
      <c r="D823" s="33"/>
      <c r="E823" s="127"/>
      <c r="F823" s="205"/>
      <c r="G823" s="41"/>
      <c r="H823" s="512"/>
    </row>
    <row r="824" spans="1:8" ht="15.75" thickBot="1" x14ac:dyDescent="0.3">
      <c r="A824" s="36"/>
      <c r="B824" s="22"/>
      <c r="C824" s="22"/>
      <c r="D824" s="22"/>
      <c r="E824" s="25"/>
      <c r="F824" s="206"/>
      <c r="G824" s="25" t="s">
        <v>39</v>
      </c>
      <c r="H824" s="42">
        <f>SUM(G821:G823)</f>
        <v>6472.1204687651325</v>
      </c>
    </row>
    <row r="825" spans="1:8" ht="15.75" thickBot="1" x14ac:dyDescent="0.3">
      <c r="A825" s="510" t="s">
        <v>49</v>
      </c>
      <c r="B825" s="511"/>
      <c r="C825" s="22"/>
      <c r="D825" s="22"/>
      <c r="E825" s="25"/>
      <c r="F825" s="206"/>
      <c r="G825" s="25"/>
      <c r="H825" s="26"/>
    </row>
    <row r="826" spans="1:8" x14ac:dyDescent="0.25">
      <c r="A826" s="503" t="s">
        <v>50</v>
      </c>
      <c r="B826" s="504"/>
      <c r="C826" s="43" t="s">
        <v>73</v>
      </c>
      <c r="D826" s="27" t="s">
        <v>52</v>
      </c>
      <c r="E826" s="125" t="s">
        <v>34</v>
      </c>
      <c r="F826" s="203" t="s">
        <v>35</v>
      </c>
      <c r="G826" s="39" t="s">
        <v>36</v>
      </c>
      <c r="H826" s="505"/>
    </row>
    <row r="827" spans="1:8" x14ac:dyDescent="0.25">
      <c r="A827" s="593" t="s">
        <v>80</v>
      </c>
      <c r="B827" s="594"/>
      <c r="C827" s="44" t="s">
        <v>68</v>
      </c>
      <c r="D827" s="44"/>
      <c r="E827" s="72">
        <v>20000</v>
      </c>
      <c r="F827" s="217">
        <v>0.1</v>
      </c>
      <c r="G827" s="45">
        <f>E827*F827</f>
        <v>2000</v>
      </c>
      <c r="H827" s="506"/>
    </row>
    <row r="828" spans="1:8" x14ac:dyDescent="0.25">
      <c r="A828" s="569"/>
      <c r="B828" s="570"/>
      <c r="C828" s="44"/>
      <c r="D828" s="44"/>
      <c r="E828" s="72"/>
      <c r="F828" s="217"/>
      <c r="G828" s="45"/>
      <c r="H828" s="506"/>
    </row>
    <row r="829" spans="1:8" ht="15.75" thickBot="1" x14ac:dyDescent="0.3">
      <c r="A829" s="513"/>
      <c r="B829" s="514"/>
      <c r="C829" s="34"/>
      <c r="D829" s="34"/>
      <c r="E829" s="127"/>
      <c r="F829" s="205"/>
      <c r="G829" s="41"/>
      <c r="H829" s="512"/>
    </row>
    <row r="830" spans="1:8" ht="15.75" thickBot="1" x14ac:dyDescent="0.3">
      <c r="A830" s="36"/>
      <c r="B830" s="22"/>
      <c r="C830" s="22"/>
      <c r="D830" s="22"/>
      <c r="E830" s="25"/>
      <c r="F830" s="206"/>
      <c r="G830" s="25" t="s">
        <v>39</v>
      </c>
      <c r="H830" s="42">
        <f>SUM(G827:G829)</f>
        <v>2000</v>
      </c>
    </row>
    <row r="831" spans="1:8" ht="15.75" thickBot="1" x14ac:dyDescent="0.3">
      <c r="A831" s="75" t="s">
        <v>53</v>
      </c>
      <c r="B831" s="22"/>
      <c r="C831" s="22"/>
      <c r="D831" s="22"/>
      <c r="E831" s="25"/>
      <c r="F831" s="206"/>
      <c r="G831" s="25"/>
      <c r="H831" s="26"/>
    </row>
    <row r="832" spans="1:8" x14ac:dyDescent="0.25">
      <c r="A832" s="46" t="str">
        <f>'CUADRILLAS DE OBRA'!B25</f>
        <v>CUADRILLA 2</v>
      </c>
      <c r="B832" s="27" t="s">
        <v>55</v>
      </c>
      <c r="C832" s="43" t="s">
        <v>56</v>
      </c>
      <c r="D832" s="27" t="s">
        <v>57</v>
      </c>
      <c r="E832" s="128" t="s">
        <v>58</v>
      </c>
      <c r="F832" s="203" t="s">
        <v>59</v>
      </c>
      <c r="G832" s="39" t="s">
        <v>36</v>
      </c>
      <c r="H832" s="517"/>
    </row>
    <row r="833" spans="1:9" x14ac:dyDescent="0.25">
      <c r="A833" s="47"/>
      <c r="B833" s="48"/>
      <c r="C833" s="49">
        <f>'CUADRILLAS DE OBRA'!E26</f>
        <v>13249</v>
      </c>
      <c r="D833" s="48">
        <v>1.8</v>
      </c>
      <c r="E833" s="72">
        <f>'CUADRILLAS DE OBRA'!G26</f>
        <v>25110</v>
      </c>
      <c r="F833" s="217">
        <v>0.2</v>
      </c>
      <c r="G833" s="72">
        <f>E833*F833</f>
        <v>5022</v>
      </c>
      <c r="H833" s="518"/>
    </row>
    <row r="834" spans="1:9" ht="15.75" thickBot="1" x14ac:dyDescent="0.3">
      <c r="A834" s="50"/>
      <c r="B834" s="34"/>
      <c r="C834" s="34"/>
      <c r="D834" s="34"/>
      <c r="E834" s="127"/>
      <c r="F834" s="205"/>
      <c r="G834" s="41"/>
      <c r="H834" s="519"/>
    </row>
    <row r="835" spans="1:9" ht="15.75" thickBot="1" x14ac:dyDescent="0.3">
      <c r="A835" s="36"/>
      <c r="B835" s="22"/>
      <c r="C835" s="22"/>
      <c r="D835" s="22"/>
      <c r="E835" s="25"/>
      <c r="F835" s="206"/>
      <c r="G835" s="25" t="s">
        <v>39</v>
      </c>
      <c r="H835" s="42">
        <f>SUM(G833:G834)</f>
        <v>5022</v>
      </c>
    </row>
    <row r="836" spans="1:9" ht="15.75" thickBot="1" x14ac:dyDescent="0.3">
      <c r="A836" s="501" t="s">
        <v>61</v>
      </c>
      <c r="B836" s="502"/>
      <c r="C836" s="22"/>
      <c r="D836" s="22"/>
      <c r="E836" s="25"/>
      <c r="F836" s="206"/>
      <c r="G836" s="25"/>
      <c r="H836" s="26"/>
    </row>
    <row r="837" spans="1:9" x14ac:dyDescent="0.25">
      <c r="A837" s="521" t="s">
        <v>32</v>
      </c>
      <c r="B837" s="522"/>
      <c r="C837" s="522"/>
      <c r="D837" s="522"/>
      <c r="E837" s="523"/>
      <c r="F837" s="51" t="s">
        <v>62</v>
      </c>
      <c r="G837" s="52" t="s">
        <v>63</v>
      </c>
      <c r="H837" s="524"/>
    </row>
    <row r="838" spans="1:9" x14ac:dyDescent="0.25">
      <c r="A838" s="487" t="s">
        <v>24</v>
      </c>
      <c r="B838" s="488"/>
      <c r="C838" s="488"/>
      <c r="D838" s="488"/>
      <c r="E838" s="489"/>
      <c r="F838" s="53">
        <v>0</v>
      </c>
      <c r="G838" s="54">
        <f>ROUND((H835+H830+H824+H818)*F838,0)</f>
        <v>0</v>
      </c>
      <c r="H838" s="525"/>
    </row>
    <row r="839" spans="1:9" x14ac:dyDescent="0.25">
      <c r="A839" s="487" t="s">
        <v>25</v>
      </c>
      <c r="B839" s="488"/>
      <c r="C839" s="488"/>
      <c r="D839" s="488"/>
      <c r="E839" s="489"/>
      <c r="F839" s="53">
        <v>0</v>
      </c>
      <c r="G839" s="54">
        <f>ROUND((H818+H824+H830+H835)*F839,0)</f>
        <v>0</v>
      </c>
      <c r="H839" s="525"/>
    </row>
    <row r="840" spans="1:9" ht="15.75" thickBot="1" x14ac:dyDescent="0.3">
      <c r="A840" s="483" t="s">
        <v>64</v>
      </c>
      <c r="B840" s="484"/>
      <c r="C840" s="484"/>
      <c r="D840" s="484"/>
      <c r="E840" s="485"/>
      <c r="F840" s="55">
        <v>0</v>
      </c>
      <c r="G840" s="56">
        <f>ROUND((H818+H824+H830+H835)*F840,0)</f>
        <v>0</v>
      </c>
      <c r="H840" s="526"/>
    </row>
    <row r="841" spans="1:9" ht="15.75" thickBot="1" x14ac:dyDescent="0.3">
      <c r="A841" s="490" t="s">
        <v>39</v>
      </c>
      <c r="B841" s="576"/>
      <c r="C841" s="576"/>
      <c r="D841" s="576"/>
      <c r="E841" s="576"/>
      <c r="F841" s="576"/>
      <c r="G841" s="576"/>
      <c r="H841" s="37">
        <f>SUM(G838:G840)</f>
        <v>0</v>
      </c>
    </row>
    <row r="842" spans="1:9" ht="15.75" thickBot="1" x14ac:dyDescent="0.3">
      <c r="A842" s="492"/>
      <c r="B842" s="564"/>
      <c r="C842" s="564"/>
      <c r="D842" s="564"/>
      <c r="E842" s="564"/>
      <c r="F842" s="564"/>
      <c r="G842" s="564"/>
      <c r="H842" s="494"/>
    </row>
    <row r="843" spans="1:9" ht="15.75" thickBot="1" x14ac:dyDescent="0.3">
      <c r="A843" s="565"/>
      <c r="B843" s="566"/>
      <c r="C843" s="566"/>
      <c r="D843" s="567"/>
      <c r="E843" s="498" t="s">
        <v>65</v>
      </c>
      <c r="F843" s="499"/>
      <c r="G843" s="500"/>
      <c r="H843" s="447">
        <v>13745.564782557745</v>
      </c>
      <c r="I843" s="201" t="s">
        <v>214</v>
      </c>
    </row>
    <row r="844" spans="1:9" x14ac:dyDescent="0.25">
      <c r="A844" s="252" t="s">
        <v>66</v>
      </c>
      <c r="B844" s="252"/>
    </row>
    <row r="845" spans="1:9" x14ac:dyDescent="0.25">
      <c r="A845" s="460" t="s">
        <v>320</v>
      </c>
      <c r="B845" s="460"/>
    </row>
    <row r="846" spans="1:9" ht="15.75" thickBot="1" x14ac:dyDescent="0.3"/>
    <row r="847" spans="1:9" ht="15.75" thickBot="1" x14ac:dyDescent="0.3">
      <c r="A847" s="63" t="s">
        <v>28</v>
      </c>
      <c r="B847" s="527" t="str">
        <f>PRESUPUESTO!B34</f>
        <v>Suministro y siembra de especies arboreas Altura: 80 - 90 cm (CARBONEROS Y FLOR DE MAYO)</v>
      </c>
      <c r="C847" s="528"/>
      <c r="D847" s="528"/>
      <c r="E847" s="528"/>
      <c r="F847" s="529"/>
      <c r="G847" s="64" t="s">
        <v>29</v>
      </c>
      <c r="H847" s="65" t="s">
        <v>18</v>
      </c>
    </row>
    <row r="848" spans="1:9" ht="15.75" thickBot="1" x14ac:dyDescent="0.3">
      <c r="A848" s="66" t="str">
        <f>PRESUPUESTO!A34</f>
        <v>5.4</v>
      </c>
      <c r="B848" s="530"/>
      <c r="C848" s="531"/>
      <c r="D848" s="531"/>
      <c r="E848" s="531"/>
      <c r="F848" s="532"/>
      <c r="G848" s="67" t="s">
        <v>30</v>
      </c>
      <c r="H848" s="68"/>
    </row>
    <row r="849" spans="1:8" ht="15.75" thickBot="1" x14ac:dyDescent="0.3">
      <c r="A849" s="20"/>
      <c r="B849" s="21"/>
      <c r="C849" s="21"/>
      <c r="D849" s="21"/>
      <c r="E849" s="23"/>
      <c r="F849" s="206"/>
      <c r="G849" s="23"/>
      <c r="H849" s="24"/>
    </row>
    <row r="850" spans="1:8" ht="15.75" thickBot="1" x14ac:dyDescent="0.3">
      <c r="A850" s="501" t="s">
        <v>31</v>
      </c>
      <c r="B850" s="502"/>
      <c r="C850" s="22"/>
      <c r="D850" s="22"/>
      <c r="E850" s="25"/>
      <c r="F850" s="206"/>
      <c r="G850" s="25"/>
      <c r="H850" s="26"/>
    </row>
    <row r="851" spans="1:8" x14ac:dyDescent="0.25">
      <c r="A851" s="533" t="s">
        <v>32</v>
      </c>
      <c r="B851" s="534"/>
      <c r="C851" s="27" t="s">
        <v>69</v>
      </c>
      <c r="D851" s="27" t="s">
        <v>52</v>
      </c>
      <c r="E851" s="125" t="s">
        <v>34</v>
      </c>
      <c r="F851" s="203" t="s">
        <v>35</v>
      </c>
      <c r="G851" s="28" t="s">
        <v>36</v>
      </c>
      <c r="H851" s="517"/>
    </row>
    <row r="852" spans="1:8" x14ac:dyDescent="0.25">
      <c r="A852" s="508" t="s">
        <v>70</v>
      </c>
      <c r="B852" s="509"/>
      <c r="C852" s="32" t="s">
        <v>38</v>
      </c>
      <c r="D852" s="32" t="s">
        <v>38</v>
      </c>
      <c r="E852" s="126"/>
      <c r="F852" s="204"/>
      <c r="G852" s="31">
        <f>H873*(0.05)</f>
        <v>134.52000000000001</v>
      </c>
      <c r="H852" s="518"/>
    </row>
    <row r="853" spans="1:8" x14ac:dyDescent="0.25">
      <c r="A853" s="508"/>
      <c r="B853" s="509"/>
      <c r="C853" s="32"/>
      <c r="D853" s="32"/>
      <c r="E853" s="126"/>
      <c r="F853" s="204"/>
      <c r="G853" s="31"/>
      <c r="H853" s="518"/>
    </row>
    <row r="854" spans="1:8" x14ac:dyDescent="0.25">
      <c r="A854" s="508"/>
      <c r="B854" s="509"/>
      <c r="C854" s="32"/>
      <c r="D854" s="32"/>
      <c r="E854" s="126"/>
      <c r="F854" s="204"/>
      <c r="G854" s="31"/>
      <c r="H854" s="518"/>
    </row>
    <row r="855" spans="1:8" x14ac:dyDescent="0.25">
      <c r="A855" s="508"/>
      <c r="B855" s="509"/>
      <c r="C855" s="32"/>
      <c r="D855" s="32"/>
      <c r="E855" s="126"/>
      <c r="F855" s="204"/>
      <c r="G855" s="31"/>
      <c r="H855" s="518"/>
    </row>
    <row r="856" spans="1:8" ht="15.75" thickBot="1" x14ac:dyDescent="0.3">
      <c r="A856" s="535"/>
      <c r="B856" s="536"/>
      <c r="C856" s="33"/>
      <c r="D856" s="33"/>
      <c r="E856" s="127"/>
      <c r="F856" s="205"/>
      <c r="G856" s="35"/>
      <c r="H856" s="519"/>
    </row>
    <row r="857" spans="1:8" ht="15.75" thickBot="1" x14ac:dyDescent="0.3">
      <c r="A857" s="36"/>
      <c r="B857" s="22"/>
      <c r="C857" s="22"/>
      <c r="D857" s="22"/>
      <c r="E857" s="25"/>
      <c r="F857" s="206"/>
      <c r="G857" s="25" t="s">
        <v>39</v>
      </c>
      <c r="H857" s="37">
        <f>SUM(G852:G856)</f>
        <v>134.52000000000001</v>
      </c>
    </row>
    <row r="858" spans="1:8" ht="15.75" thickBot="1" x14ac:dyDescent="0.3">
      <c r="A858" s="501" t="s">
        <v>40</v>
      </c>
      <c r="B858" s="502"/>
      <c r="C858" s="22"/>
      <c r="D858" s="22"/>
      <c r="E858" s="25"/>
      <c r="F858" s="206"/>
      <c r="G858" s="25"/>
      <c r="H858" s="26"/>
    </row>
    <row r="859" spans="1:8" x14ac:dyDescent="0.25">
      <c r="A859" s="503" t="s">
        <v>32</v>
      </c>
      <c r="B859" s="504"/>
      <c r="C859" s="38" t="s">
        <v>41</v>
      </c>
      <c r="D859" s="27" t="s">
        <v>29</v>
      </c>
      <c r="E859" s="125" t="s">
        <v>42</v>
      </c>
      <c r="F859" s="203" t="s">
        <v>35</v>
      </c>
      <c r="G859" s="39" t="s">
        <v>36</v>
      </c>
      <c r="H859" s="505"/>
    </row>
    <row r="860" spans="1:8" ht="56.25" customHeight="1" x14ac:dyDescent="0.25">
      <c r="A860" s="507" t="str">
        <f>B847</f>
        <v>Suministro y siembra de especies arboreas Altura: 80 - 90 cm (CARBONEROS Y FLOR DE MAYO)</v>
      </c>
      <c r="B860" s="486"/>
      <c r="C860" s="86"/>
      <c r="D860" s="32" t="s">
        <v>18</v>
      </c>
      <c r="E860" s="88">
        <v>14000</v>
      </c>
      <c r="F860" s="225">
        <v>1</v>
      </c>
      <c r="G860" s="45">
        <f>ROUND(F860*E860,0)</f>
        <v>14000</v>
      </c>
      <c r="H860" s="506"/>
    </row>
    <row r="861" spans="1:8" ht="15.75" thickBot="1" x14ac:dyDescent="0.3">
      <c r="A861" s="36"/>
      <c r="B861" s="22"/>
      <c r="C861" s="22"/>
      <c r="D861" s="22"/>
      <c r="E861" s="25"/>
      <c r="F861" s="206"/>
      <c r="G861" s="25" t="s">
        <v>39</v>
      </c>
      <c r="H861" s="42">
        <f>SUM(G860:G860)</f>
        <v>14000</v>
      </c>
    </row>
    <row r="862" spans="1:8" ht="15.75" thickBot="1" x14ac:dyDescent="0.3">
      <c r="A862" s="510" t="s">
        <v>49</v>
      </c>
      <c r="B862" s="511"/>
      <c r="C862" s="22"/>
      <c r="D862" s="22"/>
      <c r="E862" s="25"/>
      <c r="F862" s="206"/>
      <c r="G862" s="25"/>
      <c r="H862" s="26"/>
    </row>
    <row r="863" spans="1:8" x14ac:dyDescent="0.25">
      <c r="A863" s="503" t="s">
        <v>50</v>
      </c>
      <c r="B863" s="504"/>
      <c r="C863" s="43" t="s">
        <v>73</v>
      </c>
      <c r="D863" s="27" t="s">
        <v>52</v>
      </c>
      <c r="E863" s="125" t="s">
        <v>34</v>
      </c>
      <c r="F863" s="203" t="s">
        <v>35</v>
      </c>
      <c r="G863" s="39" t="s">
        <v>36</v>
      </c>
      <c r="H863" s="505"/>
    </row>
    <row r="864" spans="1:8" x14ac:dyDescent="0.25">
      <c r="A864" s="593" t="s">
        <v>80</v>
      </c>
      <c r="B864" s="594"/>
      <c r="C864" s="44" t="s">
        <v>68</v>
      </c>
      <c r="D864" s="44"/>
      <c r="E864" s="72">
        <v>0</v>
      </c>
      <c r="F864" s="217">
        <v>0</v>
      </c>
      <c r="G864" s="45">
        <f>E864*F864</f>
        <v>0</v>
      </c>
      <c r="H864" s="506"/>
    </row>
    <row r="865" spans="1:8" x14ac:dyDescent="0.25">
      <c r="A865" s="569"/>
      <c r="B865" s="570"/>
      <c r="C865" s="44"/>
      <c r="D865" s="44"/>
      <c r="E865" s="72"/>
      <c r="F865" s="217"/>
      <c r="G865" s="45"/>
      <c r="H865" s="506"/>
    </row>
    <row r="866" spans="1:8" ht="15.75" thickBot="1" x14ac:dyDescent="0.3">
      <c r="A866" s="513"/>
      <c r="B866" s="514"/>
      <c r="C866" s="34"/>
      <c r="D866" s="34"/>
      <c r="E866" s="127"/>
      <c r="F866" s="205"/>
      <c r="G866" s="41"/>
      <c r="H866" s="512"/>
    </row>
    <row r="867" spans="1:8" ht="15.75" thickBot="1" x14ac:dyDescent="0.3">
      <c r="A867" s="36"/>
      <c r="B867" s="22"/>
      <c r="C867" s="22"/>
      <c r="D867" s="22"/>
      <c r="E867" s="25"/>
      <c r="F867" s="206"/>
      <c r="G867" s="25" t="s">
        <v>39</v>
      </c>
      <c r="H867" s="42">
        <f>SUM(G864:G866)</f>
        <v>0</v>
      </c>
    </row>
    <row r="868" spans="1:8" ht="15.75" thickBot="1" x14ac:dyDescent="0.3">
      <c r="A868" s="75" t="s">
        <v>53</v>
      </c>
      <c r="B868" s="22"/>
      <c r="C868" s="22"/>
      <c r="D868" s="22"/>
      <c r="E868" s="25"/>
      <c r="F868" s="206"/>
      <c r="G868" s="25"/>
      <c r="H868" s="26"/>
    </row>
    <row r="869" spans="1:8" x14ac:dyDescent="0.25">
      <c r="A869" s="46" t="s">
        <v>54</v>
      </c>
      <c r="B869" s="27" t="s">
        <v>55</v>
      </c>
      <c r="C869" s="43" t="s">
        <v>56</v>
      </c>
      <c r="D869" s="27" t="s">
        <v>57</v>
      </c>
      <c r="E869" s="128" t="s">
        <v>58</v>
      </c>
      <c r="F869" s="203" t="s">
        <v>59</v>
      </c>
      <c r="G869" s="39" t="s">
        <v>36</v>
      </c>
      <c r="H869" s="517"/>
    </row>
    <row r="870" spans="1:8" x14ac:dyDescent="0.25">
      <c r="A870" s="47"/>
      <c r="B870" s="48" t="str">
        <f>'CUADRILLAS DE OBRA'!B22</f>
        <v>CUADRILLA 1</v>
      </c>
      <c r="C870" s="49">
        <f>'CUADRILLAS DE OBRA'!E23</f>
        <v>9464</v>
      </c>
      <c r="D870" s="200">
        <f>PRESTACIONES!E28</f>
        <v>0.8952</v>
      </c>
      <c r="E870" s="72">
        <f>'CUADRILLAS DE OBRA'!G23</f>
        <v>17936</v>
      </c>
      <c r="F870" s="217">
        <v>0.15</v>
      </c>
      <c r="G870" s="72">
        <f>E870*F870</f>
        <v>2690.4</v>
      </c>
      <c r="H870" s="518"/>
    </row>
    <row r="871" spans="1:8" x14ac:dyDescent="0.25">
      <c r="A871" s="47"/>
      <c r="B871" s="48"/>
      <c r="C871" s="44"/>
      <c r="D871" s="48"/>
      <c r="E871" s="72"/>
      <c r="F871" s="217"/>
      <c r="G871" s="72"/>
      <c r="H871" s="518"/>
    </row>
    <row r="872" spans="1:8" ht="15.75" thickBot="1" x14ac:dyDescent="0.3">
      <c r="A872" s="50"/>
      <c r="B872" s="34"/>
      <c r="C872" s="34"/>
      <c r="D872" s="34"/>
      <c r="E872" s="127"/>
      <c r="F872" s="205"/>
      <c r="G872" s="41"/>
      <c r="H872" s="519"/>
    </row>
    <row r="873" spans="1:8" ht="15.75" thickBot="1" x14ac:dyDescent="0.3">
      <c r="A873" s="36"/>
      <c r="B873" s="22"/>
      <c r="C873" s="22"/>
      <c r="D873" s="22"/>
      <c r="E873" s="25"/>
      <c r="F873" s="206"/>
      <c r="G873" s="25" t="s">
        <v>39</v>
      </c>
      <c r="H873" s="42">
        <f>SUM(G870:G872)</f>
        <v>2690.4</v>
      </c>
    </row>
    <row r="874" spans="1:8" ht="15.75" thickBot="1" x14ac:dyDescent="0.3">
      <c r="A874" s="501" t="s">
        <v>61</v>
      </c>
      <c r="B874" s="502"/>
      <c r="C874" s="22"/>
      <c r="D874" s="22"/>
      <c r="E874" s="25"/>
      <c r="F874" s="206"/>
      <c r="G874" s="25"/>
      <c r="H874" s="26"/>
    </row>
    <row r="875" spans="1:8" x14ac:dyDescent="0.25">
      <c r="A875" s="521" t="s">
        <v>32</v>
      </c>
      <c r="B875" s="522"/>
      <c r="C875" s="522"/>
      <c r="D875" s="522"/>
      <c r="E875" s="523"/>
      <c r="F875" s="51" t="s">
        <v>62</v>
      </c>
      <c r="G875" s="52" t="s">
        <v>63</v>
      </c>
      <c r="H875" s="524"/>
    </row>
    <row r="876" spans="1:8" x14ac:dyDescent="0.25">
      <c r="A876" s="487" t="s">
        <v>24</v>
      </c>
      <c r="B876" s="488"/>
      <c r="C876" s="488"/>
      <c r="D876" s="488"/>
      <c r="E876" s="489"/>
      <c r="F876" s="53">
        <v>0</v>
      </c>
      <c r="G876" s="54">
        <f>ROUND((H873+H867+H861+H857)*F876,0)</f>
        <v>0</v>
      </c>
      <c r="H876" s="525"/>
    </row>
    <row r="877" spans="1:8" x14ac:dyDescent="0.25">
      <c r="A877" s="487" t="s">
        <v>25</v>
      </c>
      <c r="B877" s="488"/>
      <c r="C877" s="488"/>
      <c r="D877" s="488"/>
      <c r="E877" s="489"/>
      <c r="F877" s="53">
        <v>0</v>
      </c>
      <c r="G877" s="54">
        <f>ROUND((H857+H861+H867+H873)*F877,0)</f>
        <v>0</v>
      </c>
      <c r="H877" s="525"/>
    </row>
    <row r="878" spans="1:8" ht="15.75" thickBot="1" x14ac:dyDescent="0.3">
      <c r="A878" s="483" t="s">
        <v>64</v>
      </c>
      <c r="B878" s="484"/>
      <c r="C878" s="484"/>
      <c r="D878" s="484"/>
      <c r="E878" s="485"/>
      <c r="F878" s="55">
        <v>0</v>
      </c>
      <c r="G878" s="56">
        <f>ROUND((H857+H861+H867+H873)*F878,0)</f>
        <v>0</v>
      </c>
      <c r="H878" s="526"/>
    </row>
    <row r="879" spans="1:8" ht="15.75" thickBot="1" x14ac:dyDescent="0.3">
      <c r="A879" s="490" t="s">
        <v>39</v>
      </c>
      <c r="B879" s="576"/>
      <c r="C879" s="576"/>
      <c r="D879" s="576"/>
      <c r="E879" s="576"/>
      <c r="F879" s="576"/>
      <c r="G879" s="576"/>
      <c r="H879" s="37">
        <f>SUM(G876:G878)</f>
        <v>0</v>
      </c>
    </row>
    <row r="880" spans="1:8" ht="15.75" thickBot="1" x14ac:dyDescent="0.3">
      <c r="A880" s="492"/>
      <c r="B880" s="564"/>
      <c r="C880" s="564"/>
      <c r="D880" s="564"/>
      <c r="E880" s="564"/>
      <c r="F880" s="564"/>
      <c r="G880" s="564"/>
      <c r="H880" s="494"/>
    </row>
    <row r="881" spans="1:9" ht="15.75" thickBot="1" x14ac:dyDescent="0.3">
      <c r="A881" s="565"/>
      <c r="B881" s="566"/>
      <c r="C881" s="566"/>
      <c r="D881" s="567"/>
      <c r="E881" s="498" t="s">
        <v>65</v>
      </c>
      <c r="F881" s="499"/>
      <c r="G881" s="500"/>
      <c r="H881" s="76">
        <f>ROUND(SUM(H849:H879),0)</f>
        <v>16825</v>
      </c>
      <c r="I881" s="270"/>
    </row>
    <row r="883" spans="1:9" x14ac:dyDescent="0.25">
      <c r="A883" s="461" t="s">
        <v>66</v>
      </c>
      <c r="B883" s="461"/>
    </row>
    <row r="884" spans="1:9" ht="15.75" thickBot="1" x14ac:dyDescent="0.3">
      <c r="A884" s="460" t="s">
        <v>320</v>
      </c>
      <c r="B884" s="460"/>
    </row>
    <row r="885" spans="1:9" ht="15.75" thickBot="1" x14ac:dyDescent="0.3">
      <c r="A885" s="63" t="s">
        <v>28</v>
      </c>
      <c r="B885" s="527" t="str">
        <f>PRESUPUESTO!B35</f>
        <v>Suministro e instalacion de piedra dolomita para adecuacion de jardinera.</v>
      </c>
      <c r="C885" s="528"/>
      <c r="D885" s="528"/>
      <c r="E885" s="528"/>
      <c r="F885" s="529"/>
      <c r="G885" s="64" t="s">
        <v>29</v>
      </c>
      <c r="H885" s="255" t="str">
        <f>PRESUPUESTO!C35</f>
        <v>m2</v>
      </c>
    </row>
    <row r="886" spans="1:9" ht="15.75" thickBot="1" x14ac:dyDescent="0.3">
      <c r="A886" s="66" t="str">
        <f>PRESUPUESTO!A35</f>
        <v>5.5</v>
      </c>
      <c r="B886" s="530"/>
      <c r="C886" s="531"/>
      <c r="D886" s="531"/>
      <c r="E886" s="531"/>
      <c r="F886" s="532"/>
      <c r="G886" s="67" t="s">
        <v>30</v>
      </c>
      <c r="H886" s="271"/>
    </row>
    <row r="887" spans="1:9" ht="15.75" thickBot="1" x14ac:dyDescent="0.3">
      <c r="A887" s="20"/>
      <c r="B887" s="238"/>
      <c r="C887" s="238"/>
      <c r="D887" s="238"/>
      <c r="E887" s="23"/>
      <c r="F887" s="241"/>
      <c r="G887" s="23"/>
      <c r="H887" s="272"/>
    </row>
    <row r="888" spans="1:9" ht="15.75" thickBot="1" x14ac:dyDescent="0.3">
      <c r="A888" s="501" t="s">
        <v>31</v>
      </c>
      <c r="B888" s="502"/>
      <c r="C888" s="241"/>
      <c r="D888" s="241"/>
      <c r="E888" s="25"/>
      <c r="F888" s="241"/>
      <c r="G888" s="25"/>
      <c r="H888" s="273"/>
    </row>
    <row r="889" spans="1:9" x14ac:dyDescent="0.25">
      <c r="A889" s="533" t="s">
        <v>32</v>
      </c>
      <c r="B889" s="534"/>
      <c r="C889" s="254" t="s">
        <v>69</v>
      </c>
      <c r="D889" s="254" t="s">
        <v>52</v>
      </c>
      <c r="E889" s="125" t="s">
        <v>34</v>
      </c>
      <c r="F889" s="254" t="s">
        <v>35</v>
      </c>
      <c r="G889" s="28" t="s">
        <v>36</v>
      </c>
      <c r="H889" s="548"/>
    </row>
    <row r="890" spans="1:9" x14ac:dyDescent="0.25">
      <c r="A890" s="508" t="s">
        <v>70</v>
      </c>
      <c r="B890" s="509"/>
      <c r="C890" s="255" t="s">
        <v>38</v>
      </c>
      <c r="D890" s="255" t="s">
        <v>38</v>
      </c>
      <c r="E890" s="126"/>
      <c r="F890" s="30"/>
      <c r="G890" s="31">
        <f>H914*(0.05)</f>
        <v>224.20000000000002</v>
      </c>
      <c r="H890" s="549"/>
    </row>
    <row r="891" spans="1:9" x14ac:dyDescent="0.25">
      <c r="A891" s="508"/>
      <c r="B891" s="509"/>
      <c r="C891" s="255"/>
      <c r="D891" s="255"/>
      <c r="E891" s="126"/>
      <c r="F891" s="30"/>
      <c r="G891" s="31"/>
      <c r="H891" s="549"/>
    </row>
    <row r="892" spans="1:9" x14ac:dyDescent="0.25">
      <c r="A892" s="508"/>
      <c r="B892" s="509"/>
      <c r="C892" s="255"/>
      <c r="D892" s="255"/>
      <c r="E892" s="126"/>
      <c r="F892" s="30"/>
      <c r="G892" s="31"/>
      <c r="H892" s="549"/>
    </row>
    <row r="893" spans="1:9" x14ac:dyDescent="0.25">
      <c r="A893" s="508"/>
      <c r="B893" s="509"/>
      <c r="C893" s="255"/>
      <c r="D893" s="255"/>
      <c r="E893" s="126"/>
      <c r="F893" s="30"/>
      <c r="G893" s="31"/>
      <c r="H893" s="549"/>
    </row>
    <row r="894" spans="1:9" ht="15.75" thickBot="1" x14ac:dyDescent="0.3">
      <c r="A894" s="535"/>
      <c r="B894" s="536"/>
      <c r="C894" s="256"/>
      <c r="D894" s="256"/>
      <c r="E894" s="127"/>
      <c r="F894" s="34"/>
      <c r="G894" s="35"/>
      <c r="H894" s="550"/>
    </row>
    <row r="895" spans="1:9" ht="15.75" thickBot="1" x14ac:dyDescent="0.3">
      <c r="A895" s="36"/>
      <c r="B895" s="241"/>
      <c r="C895" s="241"/>
      <c r="D895" s="241"/>
      <c r="E895" s="25"/>
      <c r="F895" s="241"/>
      <c r="G895" s="25" t="s">
        <v>39</v>
      </c>
      <c r="H895" s="37">
        <f>ROUND(SUM(G890:G894),0)</f>
        <v>224</v>
      </c>
    </row>
    <row r="896" spans="1:9" ht="15.75" thickBot="1" x14ac:dyDescent="0.3">
      <c r="A896" s="501" t="s">
        <v>40</v>
      </c>
      <c r="B896" s="502"/>
      <c r="C896" s="241"/>
      <c r="D896" s="241"/>
      <c r="E896" s="25"/>
      <c r="F896" s="241"/>
      <c r="G896" s="25"/>
      <c r="H896" s="273"/>
    </row>
    <row r="897" spans="1:8" x14ac:dyDescent="0.25">
      <c r="A897" s="503" t="s">
        <v>32</v>
      </c>
      <c r="B897" s="504"/>
      <c r="C897" s="38" t="s">
        <v>41</v>
      </c>
      <c r="D897" s="254" t="s">
        <v>29</v>
      </c>
      <c r="E897" s="125" t="s">
        <v>42</v>
      </c>
      <c r="F897" s="254" t="s">
        <v>35</v>
      </c>
      <c r="G897" s="39" t="s">
        <v>36</v>
      </c>
      <c r="H897" s="551"/>
    </row>
    <row r="898" spans="1:8" x14ac:dyDescent="0.25">
      <c r="A898" s="559" t="s">
        <v>231</v>
      </c>
      <c r="B898" s="560"/>
      <c r="C898" s="30"/>
      <c r="D898" s="255" t="s">
        <v>19</v>
      </c>
      <c r="E898" s="88">
        <v>35000</v>
      </c>
      <c r="F898" s="268">
        <v>1</v>
      </c>
      <c r="G898" s="45">
        <f t="shared" ref="G898" si="13">F898*E898</f>
        <v>35000</v>
      </c>
      <c r="H898" s="552"/>
    </row>
    <row r="899" spans="1:8" x14ac:dyDescent="0.25">
      <c r="A899" s="668"/>
      <c r="B899" s="669"/>
      <c r="C899" s="30"/>
      <c r="D899" s="255"/>
      <c r="E899" s="126"/>
      <c r="F899" s="274"/>
      <c r="G899" s="40"/>
      <c r="H899" s="552"/>
    </row>
    <row r="900" spans="1:8" x14ac:dyDescent="0.25">
      <c r="A900" s="559" t="s">
        <v>83</v>
      </c>
      <c r="B900" s="560"/>
      <c r="C900" s="74"/>
      <c r="D900" s="255"/>
      <c r="E900" s="126"/>
      <c r="F900" s="275"/>
      <c r="G900" s="40">
        <f>SUM(G898:G898)*C900</f>
        <v>0</v>
      </c>
      <c r="H900" s="552"/>
    </row>
    <row r="901" spans="1:8" ht="15.75" thickBot="1" x14ac:dyDescent="0.3">
      <c r="A901" s="513"/>
      <c r="B901" s="514"/>
      <c r="C901" s="34"/>
      <c r="D901" s="256"/>
      <c r="E901" s="127"/>
      <c r="F901" s="34"/>
      <c r="G901" s="41"/>
      <c r="H901" s="553"/>
    </row>
    <row r="902" spans="1:8" ht="15.75" thickBot="1" x14ac:dyDescent="0.3">
      <c r="A902" s="36"/>
      <c r="B902" s="241"/>
      <c r="C902" s="241"/>
      <c r="D902" s="241"/>
      <c r="E902" s="25"/>
      <c r="F902" s="241"/>
      <c r="G902" s="25" t="s">
        <v>39</v>
      </c>
      <c r="H902" s="42">
        <f>ROUND(SUM(G898:G901),0)</f>
        <v>35000</v>
      </c>
    </row>
    <row r="903" spans="1:8" ht="15.75" thickBot="1" x14ac:dyDescent="0.3">
      <c r="A903" s="510" t="s">
        <v>49</v>
      </c>
      <c r="B903" s="511"/>
      <c r="C903" s="241"/>
      <c r="D903" s="241"/>
      <c r="E903" s="25"/>
      <c r="F903" s="241"/>
      <c r="G903" s="25"/>
      <c r="H903" s="273"/>
    </row>
    <row r="904" spans="1:8" x14ac:dyDescent="0.25">
      <c r="A904" s="503" t="s">
        <v>50</v>
      </c>
      <c r="B904" s="504"/>
      <c r="C904" s="43" t="s">
        <v>73</v>
      </c>
      <c r="D904" s="254" t="s">
        <v>52</v>
      </c>
      <c r="E904" s="125" t="s">
        <v>34</v>
      </c>
      <c r="F904" s="254" t="s">
        <v>35</v>
      </c>
      <c r="G904" s="39" t="s">
        <v>36</v>
      </c>
      <c r="H904" s="551"/>
    </row>
    <row r="905" spans="1:8" x14ac:dyDescent="0.25">
      <c r="A905" s="559" t="s">
        <v>67</v>
      </c>
      <c r="B905" s="560"/>
      <c r="C905" s="255" t="s">
        <v>68</v>
      </c>
      <c r="D905" s="255" t="s">
        <v>76</v>
      </c>
      <c r="E905" s="72">
        <v>50000</v>
      </c>
      <c r="F905" s="268">
        <v>0.06</v>
      </c>
      <c r="G905" s="45">
        <f>F905*E905</f>
        <v>3000</v>
      </c>
      <c r="H905" s="552"/>
    </row>
    <row r="906" spans="1:8" x14ac:dyDescent="0.25">
      <c r="A906" s="508"/>
      <c r="B906" s="509"/>
      <c r="C906" s="255"/>
      <c r="D906" s="255"/>
      <c r="E906" s="72"/>
      <c r="F906" s="268"/>
      <c r="G906" s="45"/>
      <c r="H906" s="552"/>
    </row>
    <row r="907" spans="1:8" ht="15.75" thickBot="1" x14ac:dyDescent="0.3">
      <c r="A907" s="513"/>
      <c r="B907" s="514"/>
      <c r="C907" s="34"/>
      <c r="D907" s="34"/>
      <c r="E907" s="127"/>
      <c r="F907" s="34"/>
      <c r="G907" s="41"/>
      <c r="H907" s="553"/>
    </row>
    <row r="908" spans="1:8" ht="15.75" thickBot="1" x14ac:dyDescent="0.3">
      <c r="A908" s="36"/>
      <c r="B908" s="241"/>
      <c r="C908" s="241"/>
      <c r="D908" s="241"/>
      <c r="E908" s="25"/>
      <c r="F908" s="241"/>
      <c r="G908" s="25" t="s">
        <v>39</v>
      </c>
      <c r="H908" s="42">
        <f>ROUND(SUM(G905:G907),0)</f>
        <v>3000</v>
      </c>
    </row>
    <row r="909" spans="1:8" ht="15.75" thickBot="1" x14ac:dyDescent="0.3">
      <c r="A909" s="75" t="s">
        <v>53</v>
      </c>
      <c r="B909" s="241"/>
      <c r="C909" s="241"/>
      <c r="D909" s="241"/>
      <c r="E909" s="25"/>
      <c r="F909" s="241"/>
      <c r="G909" s="25"/>
      <c r="H909" s="273"/>
    </row>
    <row r="910" spans="1:8" x14ac:dyDescent="0.25">
      <c r="A910" s="46" t="s">
        <v>54</v>
      </c>
      <c r="B910" s="254" t="s">
        <v>55</v>
      </c>
      <c r="C910" s="43" t="s">
        <v>56</v>
      </c>
      <c r="D910" s="254" t="s">
        <v>57</v>
      </c>
      <c r="E910" s="128" t="s">
        <v>58</v>
      </c>
      <c r="F910" s="254" t="s">
        <v>59</v>
      </c>
      <c r="G910" s="39" t="s">
        <v>36</v>
      </c>
      <c r="H910" s="548"/>
    </row>
    <row r="911" spans="1:8" x14ac:dyDescent="0.25">
      <c r="A911" s="245"/>
      <c r="B911" s="30" t="str">
        <f>'CUADRILLAS DE OBRA'!B22</f>
        <v>CUADRILLA 1</v>
      </c>
      <c r="C911" s="276">
        <f>'CUADRILLAS DE OBRA'!E23</f>
        <v>9464</v>
      </c>
      <c r="D911" s="269">
        <f>PRESTACIONES!E28</f>
        <v>0.8952</v>
      </c>
      <c r="E911" s="72">
        <f>'CUADRILLAS DE OBRA'!G23</f>
        <v>17936</v>
      </c>
      <c r="F911" s="268">
        <v>0.25</v>
      </c>
      <c r="G911" s="72">
        <f>E911*F911</f>
        <v>4484</v>
      </c>
      <c r="H911" s="549"/>
    </row>
    <row r="912" spans="1:8" x14ac:dyDescent="0.25">
      <c r="A912" s="245"/>
      <c r="B912" s="30"/>
      <c r="C912" s="255"/>
      <c r="D912" s="30"/>
      <c r="E912" s="72"/>
      <c r="F912" s="268"/>
      <c r="G912" s="72"/>
      <c r="H912" s="549"/>
    </row>
    <row r="913" spans="1:9" ht="15.75" thickBot="1" x14ac:dyDescent="0.3">
      <c r="A913" s="50"/>
      <c r="B913" s="34"/>
      <c r="C913" s="34"/>
      <c r="D913" s="34"/>
      <c r="E913" s="127"/>
      <c r="F913" s="34"/>
      <c r="G913" s="41"/>
      <c r="H913" s="550"/>
    </row>
    <row r="914" spans="1:9" ht="15.75" thickBot="1" x14ac:dyDescent="0.3">
      <c r="A914" s="36"/>
      <c r="B914" s="241"/>
      <c r="C914" s="241"/>
      <c r="D914" s="241"/>
      <c r="E914" s="25"/>
      <c r="F914" s="241"/>
      <c r="G914" s="25" t="s">
        <v>39</v>
      </c>
      <c r="H914" s="42">
        <f>ROUND(SUM(G911:G913),0)</f>
        <v>4484</v>
      </c>
    </row>
    <row r="915" spans="1:9" ht="15.75" thickBot="1" x14ac:dyDescent="0.3">
      <c r="A915" s="501" t="s">
        <v>61</v>
      </c>
      <c r="B915" s="502"/>
      <c r="C915" s="241"/>
      <c r="D915" s="241"/>
      <c r="E915" s="25"/>
      <c r="F915" s="241"/>
      <c r="G915" s="25"/>
      <c r="H915" s="273"/>
    </row>
    <row r="916" spans="1:9" x14ac:dyDescent="0.25">
      <c r="A916" s="521" t="s">
        <v>32</v>
      </c>
      <c r="B916" s="522"/>
      <c r="C916" s="522"/>
      <c r="D916" s="522"/>
      <c r="E916" s="523"/>
      <c r="F916" s="51" t="s">
        <v>62</v>
      </c>
      <c r="G916" s="52" t="s">
        <v>63</v>
      </c>
      <c r="H916" s="561"/>
    </row>
    <row r="917" spans="1:9" x14ac:dyDescent="0.25">
      <c r="A917" s="487" t="s">
        <v>24</v>
      </c>
      <c r="B917" s="488"/>
      <c r="C917" s="488"/>
      <c r="D917" s="488"/>
      <c r="E917" s="489"/>
      <c r="F917" s="248">
        <v>0</v>
      </c>
      <c r="G917" s="54">
        <f>ROUND((H914+H908+H902+H895)*F917,0)</f>
        <v>0</v>
      </c>
      <c r="H917" s="562"/>
    </row>
    <row r="918" spans="1:9" x14ac:dyDescent="0.25">
      <c r="A918" s="487" t="s">
        <v>25</v>
      </c>
      <c r="B918" s="488"/>
      <c r="C918" s="488"/>
      <c r="D918" s="488"/>
      <c r="E918" s="489"/>
      <c r="F918" s="248">
        <v>0</v>
      </c>
      <c r="G918" s="54">
        <f>ROUND((H895+H902+H908+H914)*F918,0)</f>
        <v>0</v>
      </c>
      <c r="H918" s="562"/>
    </row>
    <row r="919" spans="1:9" ht="15.75" thickBot="1" x14ac:dyDescent="0.3">
      <c r="A919" s="483" t="s">
        <v>64</v>
      </c>
      <c r="B919" s="484"/>
      <c r="C919" s="484"/>
      <c r="D919" s="484"/>
      <c r="E919" s="485"/>
      <c r="F919" s="250">
        <v>0</v>
      </c>
      <c r="G919" s="56">
        <f>ROUND((H895+H902+H908+H914)*F919,0)</f>
        <v>0</v>
      </c>
      <c r="H919" s="563"/>
    </row>
    <row r="920" spans="1:9" ht="15.75" thickBot="1" x14ac:dyDescent="0.3">
      <c r="A920" s="490" t="s">
        <v>39</v>
      </c>
      <c r="B920" s="491"/>
      <c r="C920" s="491"/>
      <c r="D920" s="491"/>
      <c r="E920" s="491"/>
      <c r="F920" s="491"/>
      <c r="G920" s="491"/>
      <c r="H920" s="277">
        <f>SUM(G917:G919)</f>
        <v>0</v>
      </c>
    </row>
    <row r="921" spans="1:9" ht="15.75" thickBot="1" x14ac:dyDescent="0.3">
      <c r="A921" s="492"/>
      <c r="B921" s="493"/>
      <c r="C921" s="493"/>
      <c r="D921" s="493"/>
      <c r="E921" s="493"/>
      <c r="F921" s="493"/>
      <c r="G921" s="493"/>
      <c r="H921" s="494"/>
    </row>
    <row r="922" spans="1:9" ht="15.75" thickBot="1" x14ac:dyDescent="0.3">
      <c r="A922" s="495"/>
      <c r="B922" s="496"/>
      <c r="C922" s="496"/>
      <c r="D922" s="497"/>
      <c r="E922" s="498" t="s">
        <v>65</v>
      </c>
      <c r="F922" s="499"/>
      <c r="G922" s="500"/>
      <c r="H922" s="76">
        <f>ROUND(H920+H914+H908+H902+H895,0)</f>
        <v>42708</v>
      </c>
      <c r="I922" s="270"/>
    </row>
    <row r="923" spans="1:9" x14ac:dyDescent="0.25">
      <c r="A923" s="461" t="s">
        <v>66</v>
      </c>
      <c r="B923" s="461"/>
    </row>
    <row r="924" spans="1:9" x14ac:dyDescent="0.25">
      <c r="A924" s="460" t="s">
        <v>320</v>
      </c>
      <c r="B924" s="460"/>
    </row>
    <row r="925" spans="1:9" ht="15.75" thickBot="1" x14ac:dyDescent="0.3">
      <c r="A925" s="259"/>
      <c r="B925" s="259"/>
    </row>
    <row r="926" spans="1:9" ht="15.75" thickBot="1" x14ac:dyDescent="0.3">
      <c r="A926" s="63" t="s">
        <v>28</v>
      </c>
      <c r="B926" s="527" t="str">
        <f>PRESUPUESTO!B36</f>
        <v>Suministro e instalacion de Triturado tamaño 3/4", para relleno de sendero peatonal, Ancho 1m, Alto= 20 cm</v>
      </c>
      <c r="C926" s="528"/>
      <c r="D926" s="528"/>
      <c r="E926" s="528"/>
      <c r="F926" s="529"/>
      <c r="G926" s="64" t="s">
        <v>29</v>
      </c>
      <c r="H926" s="65" t="str">
        <f>PRESUPUESTO!C36</f>
        <v>m3</v>
      </c>
    </row>
    <row r="927" spans="1:9" ht="15.75" thickBot="1" x14ac:dyDescent="0.3">
      <c r="A927" s="66" t="str">
        <f>PRESUPUESTO!A36</f>
        <v>5.6</v>
      </c>
      <c r="B927" s="530"/>
      <c r="C927" s="531"/>
      <c r="D927" s="531"/>
      <c r="E927" s="531"/>
      <c r="F927" s="532"/>
      <c r="G927" s="67" t="s">
        <v>30</v>
      </c>
      <c r="H927" s="68"/>
    </row>
    <row r="928" spans="1:9" ht="15.75" thickBot="1" x14ac:dyDescent="0.3">
      <c r="A928" s="20"/>
      <c r="B928" s="238"/>
      <c r="C928" s="238"/>
      <c r="D928" s="238"/>
      <c r="E928" s="23"/>
      <c r="F928" s="241"/>
      <c r="G928" s="23"/>
      <c r="H928" s="24"/>
    </row>
    <row r="929" spans="1:8" ht="15.75" thickBot="1" x14ac:dyDescent="0.3">
      <c r="A929" s="501" t="s">
        <v>31</v>
      </c>
      <c r="B929" s="502"/>
      <c r="C929" s="241"/>
      <c r="D929" s="241"/>
      <c r="E929" s="25"/>
      <c r="F929" s="241"/>
      <c r="G929" s="25"/>
      <c r="H929" s="26"/>
    </row>
    <row r="930" spans="1:8" x14ac:dyDescent="0.25">
      <c r="A930" s="533" t="s">
        <v>32</v>
      </c>
      <c r="B930" s="534"/>
      <c r="C930" s="260" t="s">
        <v>69</v>
      </c>
      <c r="D930" s="260" t="s">
        <v>52</v>
      </c>
      <c r="E930" s="125" t="s">
        <v>34</v>
      </c>
      <c r="F930" s="260" t="s">
        <v>35</v>
      </c>
      <c r="G930" s="28" t="s">
        <v>36</v>
      </c>
      <c r="H930" s="517"/>
    </row>
    <row r="931" spans="1:8" x14ac:dyDescent="0.25">
      <c r="A931" s="508" t="s">
        <v>70</v>
      </c>
      <c r="B931" s="509"/>
      <c r="C931" s="263" t="s">
        <v>38</v>
      </c>
      <c r="D931" s="263" t="s">
        <v>38</v>
      </c>
      <c r="E931" s="126"/>
      <c r="F931" s="30"/>
      <c r="G931" s="31">
        <f>H955*(0.05)</f>
        <v>358.72</v>
      </c>
      <c r="H931" s="518"/>
    </row>
    <row r="932" spans="1:8" x14ac:dyDescent="0.25">
      <c r="A932" s="508"/>
      <c r="B932" s="509"/>
      <c r="C932" s="263"/>
      <c r="D932" s="263"/>
      <c r="E932" s="126"/>
      <c r="F932" s="30"/>
      <c r="G932" s="31"/>
      <c r="H932" s="518"/>
    </row>
    <row r="933" spans="1:8" x14ac:dyDescent="0.25">
      <c r="A933" s="508"/>
      <c r="B933" s="509"/>
      <c r="C933" s="263"/>
      <c r="D933" s="263"/>
      <c r="E933" s="126"/>
      <c r="F933" s="30"/>
      <c r="G933" s="31"/>
      <c r="H933" s="518"/>
    </row>
    <row r="934" spans="1:8" x14ac:dyDescent="0.25">
      <c r="A934" s="508"/>
      <c r="B934" s="509"/>
      <c r="C934" s="263"/>
      <c r="D934" s="263"/>
      <c r="E934" s="126"/>
      <c r="F934" s="30"/>
      <c r="G934" s="31"/>
      <c r="H934" s="518"/>
    </row>
    <row r="935" spans="1:8" ht="15.75" thickBot="1" x14ac:dyDescent="0.3">
      <c r="A935" s="535"/>
      <c r="B935" s="536"/>
      <c r="C935" s="264"/>
      <c r="D935" s="264"/>
      <c r="E935" s="127"/>
      <c r="F935" s="34"/>
      <c r="G935" s="35"/>
      <c r="H935" s="519"/>
    </row>
    <row r="936" spans="1:8" ht="15.75" thickBot="1" x14ac:dyDescent="0.3">
      <c r="A936" s="36"/>
      <c r="B936" s="241"/>
      <c r="C936" s="241"/>
      <c r="D936" s="241"/>
      <c r="E936" s="25"/>
      <c r="F936" s="241"/>
      <c r="G936" s="25" t="s">
        <v>39</v>
      </c>
      <c r="H936" s="37">
        <f>SUM(G931:G935)</f>
        <v>358.72</v>
      </c>
    </row>
    <row r="937" spans="1:8" ht="15.75" thickBot="1" x14ac:dyDescent="0.3">
      <c r="A937" s="501" t="s">
        <v>40</v>
      </c>
      <c r="B937" s="502"/>
      <c r="C937" s="241"/>
      <c r="D937" s="241"/>
      <c r="E937" s="25"/>
      <c r="F937" s="241"/>
      <c r="G937" s="25"/>
      <c r="H937" s="26"/>
    </row>
    <row r="938" spans="1:8" x14ac:dyDescent="0.25">
      <c r="A938" s="503" t="s">
        <v>32</v>
      </c>
      <c r="B938" s="504"/>
      <c r="C938" s="38" t="s">
        <v>41</v>
      </c>
      <c r="D938" s="260" t="s">
        <v>29</v>
      </c>
      <c r="E938" s="125" t="s">
        <v>42</v>
      </c>
      <c r="F938" s="260" t="s">
        <v>35</v>
      </c>
      <c r="G938" s="39" t="s">
        <v>36</v>
      </c>
      <c r="H938" s="505"/>
    </row>
    <row r="939" spans="1:8" x14ac:dyDescent="0.25">
      <c r="A939" s="559" t="s">
        <v>102</v>
      </c>
      <c r="B939" s="560"/>
      <c r="C939" s="30"/>
      <c r="D939" s="263" t="s">
        <v>16</v>
      </c>
      <c r="E939" s="88">
        <v>114000</v>
      </c>
      <c r="F939" s="268">
        <v>1</v>
      </c>
      <c r="G939" s="45">
        <f t="shared" ref="G939" si="14">F939*E939</f>
        <v>114000</v>
      </c>
      <c r="H939" s="506"/>
    </row>
    <row r="940" spans="1:8" x14ac:dyDescent="0.25">
      <c r="A940" s="668"/>
      <c r="B940" s="669"/>
      <c r="C940" s="30"/>
      <c r="D940" s="263"/>
      <c r="E940" s="126"/>
      <c r="F940" s="274"/>
      <c r="G940" s="40"/>
      <c r="H940" s="506"/>
    </row>
    <row r="941" spans="1:8" x14ac:dyDescent="0.25">
      <c r="A941" s="559" t="s">
        <v>83</v>
      </c>
      <c r="B941" s="560"/>
      <c r="C941" s="74"/>
      <c r="D941" s="263"/>
      <c r="E941" s="126"/>
      <c r="F941" s="275"/>
      <c r="G941" s="40">
        <f>SUM(G939:G939)*C941</f>
        <v>0</v>
      </c>
      <c r="H941" s="506"/>
    </row>
    <row r="942" spans="1:8" ht="15.75" thickBot="1" x14ac:dyDescent="0.3">
      <c r="A942" s="513"/>
      <c r="B942" s="514"/>
      <c r="C942" s="34"/>
      <c r="D942" s="264"/>
      <c r="E942" s="127"/>
      <c r="F942" s="34"/>
      <c r="G942" s="41"/>
      <c r="H942" s="512"/>
    </row>
    <row r="943" spans="1:8" ht="15.75" thickBot="1" x14ac:dyDescent="0.3">
      <c r="A943" s="36"/>
      <c r="B943" s="241"/>
      <c r="C943" s="241"/>
      <c r="D943" s="241"/>
      <c r="E943" s="25"/>
      <c r="F943" s="241"/>
      <c r="G943" s="25" t="s">
        <v>39</v>
      </c>
      <c r="H943" s="42">
        <f>SUM(G939:G942)</f>
        <v>114000</v>
      </c>
    </row>
    <row r="944" spans="1:8" ht="15.75" thickBot="1" x14ac:dyDescent="0.3">
      <c r="A944" s="510" t="s">
        <v>49</v>
      </c>
      <c r="B944" s="511"/>
      <c r="C944" s="241"/>
      <c r="D944" s="241"/>
      <c r="E944" s="25"/>
      <c r="F944" s="241"/>
      <c r="G944" s="25"/>
      <c r="H944" s="26"/>
    </row>
    <row r="945" spans="1:8" x14ac:dyDescent="0.25">
      <c r="A945" s="503" t="s">
        <v>50</v>
      </c>
      <c r="B945" s="504"/>
      <c r="C945" s="43" t="s">
        <v>73</v>
      </c>
      <c r="D945" s="260" t="s">
        <v>52</v>
      </c>
      <c r="E945" s="125" t="s">
        <v>34</v>
      </c>
      <c r="F945" s="260" t="s">
        <v>35</v>
      </c>
      <c r="G945" s="39" t="s">
        <v>36</v>
      </c>
      <c r="H945" s="505"/>
    </row>
    <row r="946" spans="1:8" x14ac:dyDescent="0.25">
      <c r="A946" s="559" t="s">
        <v>67</v>
      </c>
      <c r="B946" s="560"/>
      <c r="C946" s="263" t="s">
        <v>68</v>
      </c>
      <c r="D946" s="263" t="s">
        <v>76</v>
      </c>
      <c r="E946" s="72">
        <v>50000</v>
      </c>
      <c r="F946" s="268">
        <v>0.1</v>
      </c>
      <c r="G946" s="45">
        <f>F946*E946</f>
        <v>5000</v>
      </c>
      <c r="H946" s="506"/>
    </row>
    <row r="947" spans="1:8" x14ac:dyDescent="0.25">
      <c r="A947" s="508"/>
      <c r="B947" s="509"/>
      <c r="C947" s="263"/>
      <c r="D947" s="263"/>
      <c r="E947" s="72"/>
      <c r="F947" s="268"/>
      <c r="G947" s="45"/>
      <c r="H947" s="506"/>
    </row>
    <row r="948" spans="1:8" ht="15.75" thickBot="1" x14ac:dyDescent="0.3">
      <c r="A948" s="513"/>
      <c r="B948" s="514"/>
      <c r="C948" s="34"/>
      <c r="D948" s="34"/>
      <c r="E948" s="127"/>
      <c r="F948" s="34"/>
      <c r="G948" s="41"/>
      <c r="H948" s="512"/>
    </row>
    <row r="949" spans="1:8" ht="15.75" thickBot="1" x14ac:dyDescent="0.3">
      <c r="A949" s="36"/>
      <c r="B949" s="241"/>
      <c r="C949" s="241"/>
      <c r="D949" s="241"/>
      <c r="E949" s="25"/>
      <c r="F949" s="241"/>
      <c r="G949" s="25" t="s">
        <v>39</v>
      </c>
      <c r="H949" s="42">
        <f>SUM(G946:G948)</f>
        <v>5000</v>
      </c>
    </row>
    <row r="950" spans="1:8" ht="15.75" thickBot="1" x14ac:dyDescent="0.3">
      <c r="A950" s="75" t="s">
        <v>53</v>
      </c>
      <c r="B950" s="241"/>
      <c r="C950" s="241"/>
      <c r="D950" s="241"/>
      <c r="E950" s="25"/>
      <c r="F950" s="241"/>
      <c r="G950" s="25"/>
      <c r="H950" s="26"/>
    </row>
    <row r="951" spans="1:8" x14ac:dyDescent="0.25">
      <c r="A951" s="46"/>
      <c r="B951" s="260"/>
      <c r="C951" s="43" t="s">
        <v>56</v>
      </c>
      <c r="D951" s="260" t="s">
        <v>57</v>
      </c>
      <c r="E951" s="128" t="s">
        <v>58</v>
      </c>
      <c r="F951" s="260" t="s">
        <v>59</v>
      </c>
      <c r="G951" s="39" t="s">
        <v>36</v>
      </c>
      <c r="H951" s="517"/>
    </row>
    <row r="952" spans="1:8" x14ac:dyDescent="0.25">
      <c r="A952" s="245"/>
      <c r="B952" s="30" t="str">
        <f>'CUADRILLAS DE OBRA'!B22</f>
        <v>CUADRILLA 1</v>
      </c>
      <c r="C952" s="276">
        <f>'CUADRILLAS DE OBRA'!E23</f>
        <v>9464</v>
      </c>
      <c r="D952" s="269">
        <f>PRESTACIONES!E28</f>
        <v>0.8952</v>
      </c>
      <c r="E952" s="72">
        <f>'CUADRILLAS DE OBRA'!G23</f>
        <v>17936</v>
      </c>
      <c r="F952" s="268">
        <v>0.4</v>
      </c>
      <c r="G952" s="72">
        <f>F952*E952</f>
        <v>7174.4000000000005</v>
      </c>
      <c r="H952" s="518"/>
    </row>
    <row r="953" spans="1:8" x14ac:dyDescent="0.25">
      <c r="A953" s="245"/>
      <c r="B953" s="30"/>
      <c r="C953" s="263"/>
      <c r="D953" s="30"/>
      <c r="E953" s="72"/>
      <c r="F953" s="268"/>
      <c r="G953" s="72"/>
      <c r="H953" s="518"/>
    </row>
    <row r="954" spans="1:8" ht="15.75" thickBot="1" x14ac:dyDescent="0.3">
      <c r="A954" s="50"/>
      <c r="B954" s="34"/>
      <c r="C954" s="34"/>
      <c r="D954" s="34"/>
      <c r="E954" s="127"/>
      <c r="F954" s="34"/>
      <c r="G954" s="41"/>
      <c r="H954" s="519"/>
    </row>
    <row r="955" spans="1:8" ht="15.75" thickBot="1" x14ac:dyDescent="0.3">
      <c r="A955" s="36"/>
      <c r="B955" s="241"/>
      <c r="C955" s="241"/>
      <c r="D955" s="241"/>
      <c r="E955" s="25"/>
      <c r="F955" s="241"/>
      <c r="G955" s="25" t="s">
        <v>39</v>
      </c>
      <c r="H955" s="42">
        <f>SUM(G952:G954)</f>
        <v>7174.4000000000005</v>
      </c>
    </row>
    <row r="956" spans="1:8" ht="15.75" thickBot="1" x14ac:dyDescent="0.3">
      <c r="A956" s="501" t="s">
        <v>61</v>
      </c>
      <c r="B956" s="502"/>
      <c r="C956" s="241"/>
      <c r="D956" s="241"/>
      <c r="E956" s="25"/>
      <c r="F956" s="241"/>
      <c r="G956" s="25"/>
      <c r="H956" s="26"/>
    </row>
    <row r="957" spans="1:8" x14ac:dyDescent="0.25">
      <c r="A957" s="521" t="s">
        <v>32</v>
      </c>
      <c r="B957" s="522"/>
      <c r="C957" s="522"/>
      <c r="D957" s="522"/>
      <c r="E957" s="523"/>
      <c r="F957" s="51" t="s">
        <v>62</v>
      </c>
      <c r="G957" s="52" t="s">
        <v>63</v>
      </c>
      <c r="H957" s="524"/>
    </row>
    <row r="958" spans="1:8" x14ac:dyDescent="0.25">
      <c r="A958" s="487" t="s">
        <v>24</v>
      </c>
      <c r="B958" s="488"/>
      <c r="C958" s="488"/>
      <c r="D958" s="488"/>
      <c r="E958" s="489"/>
      <c r="F958" s="248">
        <v>0</v>
      </c>
      <c r="G958" s="54">
        <f>ROUND((H955+H949+H943+H936)*F958,0)</f>
        <v>0</v>
      </c>
      <c r="H958" s="525"/>
    </row>
    <row r="959" spans="1:8" x14ac:dyDescent="0.25">
      <c r="A959" s="487" t="s">
        <v>25</v>
      </c>
      <c r="B959" s="488"/>
      <c r="C959" s="488"/>
      <c r="D959" s="488"/>
      <c r="E959" s="489"/>
      <c r="F959" s="248">
        <v>0</v>
      </c>
      <c r="G959" s="54">
        <f>ROUND((H936+H943+H949+H955)*F959,0)</f>
        <v>0</v>
      </c>
      <c r="H959" s="525"/>
    </row>
    <row r="960" spans="1:8" ht="15.75" thickBot="1" x14ac:dyDescent="0.3">
      <c r="A960" s="483" t="s">
        <v>64</v>
      </c>
      <c r="B960" s="484"/>
      <c r="C960" s="484"/>
      <c r="D960" s="484"/>
      <c r="E960" s="485"/>
      <c r="F960" s="250">
        <v>0</v>
      </c>
      <c r="G960" s="56">
        <f>ROUND((H936+H943+H949+H955)*F960,0)</f>
        <v>0</v>
      </c>
      <c r="H960" s="526"/>
    </row>
    <row r="961" spans="1:8" ht="15.75" thickBot="1" x14ac:dyDescent="0.3">
      <c r="A961" s="490" t="s">
        <v>39</v>
      </c>
      <c r="B961" s="491"/>
      <c r="C961" s="491"/>
      <c r="D961" s="491"/>
      <c r="E961" s="491"/>
      <c r="F961" s="491"/>
      <c r="G961" s="491"/>
      <c r="H961" s="37">
        <f>SUM(G958:G960)</f>
        <v>0</v>
      </c>
    </row>
    <row r="962" spans="1:8" ht="15.75" thickBot="1" x14ac:dyDescent="0.3">
      <c r="A962" s="492"/>
      <c r="B962" s="493"/>
      <c r="C962" s="493"/>
      <c r="D962" s="493"/>
      <c r="E962" s="493"/>
      <c r="F962" s="493"/>
      <c r="G962" s="493"/>
      <c r="H962" s="494"/>
    </row>
    <row r="963" spans="1:8" ht="15.75" thickBot="1" x14ac:dyDescent="0.3">
      <c r="A963" s="495"/>
      <c r="B963" s="496"/>
      <c r="C963" s="496"/>
      <c r="D963" s="497"/>
      <c r="E963" s="498" t="s">
        <v>65</v>
      </c>
      <c r="F963" s="499"/>
      <c r="G963" s="500"/>
      <c r="H963" s="76">
        <f>ROUND(SUM(H930:H961),0)</f>
        <v>126533</v>
      </c>
    </row>
    <row r="964" spans="1:8" x14ac:dyDescent="0.25">
      <c r="A964" s="461" t="s">
        <v>66</v>
      </c>
      <c r="B964" s="461"/>
      <c r="C964" s="262"/>
      <c r="D964" s="262"/>
      <c r="E964" s="59"/>
      <c r="F964" s="261"/>
      <c r="G964" s="59"/>
      <c r="H964" s="60"/>
    </row>
    <row r="965" spans="1:8" x14ac:dyDescent="0.25">
      <c r="A965" s="460" t="s">
        <v>320</v>
      </c>
      <c r="B965" s="460"/>
      <c r="C965" s="262"/>
      <c r="D965" s="262"/>
      <c r="E965" s="59"/>
      <c r="F965" s="261"/>
      <c r="G965" s="59"/>
      <c r="H965" s="60"/>
    </row>
    <row r="966" spans="1:8" ht="15.75" thickBot="1" x14ac:dyDescent="0.3">
      <c r="A966" s="259"/>
      <c r="B966" s="259"/>
      <c r="C966" s="262"/>
      <c r="D966" s="262"/>
      <c r="E966" s="59"/>
      <c r="F966" s="261"/>
      <c r="G966" s="59"/>
      <c r="H966" s="60"/>
    </row>
    <row r="967" spans="1:8" ht="15.75" thickBot="1" x14ac:dyDescent="0.3">
      <c r="A967" s="63" t="s">
        <v>28</v>
      </c>
      <c r="B967" s="527" t="str">
        <f>CANTIDADES!B54</f>
        <v>Piedra promedio 6" pintada de color blanco para confirmacion de sendero</v>
      </c>
      <c r="C967" s="528"/>
      <c r="D967" s="528"/>
      <c r="E967" s="528"/>
      <c r="F967" s="529"/>
      <c r="G967" s="64" t="s">
        <v>29</v>
      </c>
      <c r="H967" s="263" t="s">
        <v>16</v>
      </c>
    </row>
    <row r="968" spans="1:8" ht="15.75" thickBot="1" x14ac:dyDescent="0.3">
      <c r="A968" s="66" t="str">
        <f>CANTIDADES!A54</f>
        <v>5.7</v>
      </c>
      <c r="B968" s="530"/>
      <c r="C968" s="531"/>
      <c r="D968" s="531"/>
      <c r="E968" s="531"/>
      <c r="F968" s="532"/>
      <c r="G968" s="67" t="s">
        <v>30</v>
      </c>
      <c r="H968" s="271"/>
    </row>
    <row r="969" spans="1:8" ht="15.75" thickBot="1" x14ac:dyDescent="0.3">
      <c r="A969" s="20"/>
      <c r="B969" s="238"/>
      <c r="C969" s="238"/>
      <c r="D969" s="238"/>
      <c r="E969" s="23"/>
      <c r="F969" s="241"/>
      <c r="G969" s="23"/>
      <c r="H969" s="272"/>
    </row>
    <row r="970" spans="1:8" ht="15.75" thickBot="1" x14ac:dyDescent="0.3">
      <c r="A970" s="501" t="s">
        <v>31</v>
      </c>
      <c r="B970" s="502"/>
      <c r="C970" s="241"/>
      <c r="D970" s="241"/>
      <c r="E970" s="25"/>
      <c r="F970" s="241"/>
      <c r="G970" s="25"/>
      <c r="H970" s="273"/>
    </row>
    <row r="971" spans="1:8" x14ac:dyDescent="0.25">
      <c r="A971" s="533" t="s">
        <v>32</v>
      </c>
      <c r="B971" s="534"/>
      <c r="C971" s="260" t="s">
        <v>69</v>
      </c>
      <c r="D971" s="260" t="s">
        <v>52</v>
      </c>
      <c r="E971" s="125" t="s">
        <v>34</v>
      </c>
      <c r="F971" s="260" t="s">
        <v>35</v>
      </c>
      <c r="G971" s="28" t="s">
        <v>36</v>
      </c>
      <c r="H971" s="548"/>
    </row>
    <row r="972" spans="1:8" x14ac:dyDescent="0.25">
      <c r="A972" s="508" t="s">
        <v>70</v>
      </c>
      <c r="B972" s="509"/>
      <c r="C972" s="263" t="s">
        <v>38</v>
      </c>
      <c r="D972" s="263" t="s">
        <v>38</v>
      </c>
      <c r="E972" s="126"/>
      <c r="F972" s="30"/>
      <c r="G972" s="31">
        <f>H995*(0.05)</f>
        <v>2690.4</v>
      </c>
      <c r="H972" s="549"/>
    </row>
    <row r="973" spans="1:8" x14ac:dyDescent="0.25">
      <c r="A973" s="508"/>
      <c r="B973" s="509"/>
      <c r="C973" s="263"/>
      <c r="D973" s="263"/>
      <c r="E973" s="126"/>
      <c r="F973" s="30"/>
      <c r="G973" s="31"/>
      <c r="H973" s="549"/>
    </row>
    <row r="974" spans="1:8" x14ac:dyDescent="0.25">
      <c r="A974" s="508"/>
      <c r="B974" s="509"/>
      <c r="C974" s="263"/>
      <c r="D974" s="263"/>
      <c r="E974" s="126"/>
      <c r="F974" s="30"/>
      <c r="G974" s="31"/>
      <c r="H974" s="549"/>
    </row>
    <row r="975" spans="1:8" x14ac:dyDescent="0.25">
      <c r="A975" s="508"/>
      <c r="B975" s="509"/>
      <c r="C975" s="263"/>
      <c r="D975" s="263"/>
      <c r="E975" s="126"/>
      <c r="F975" s="30"/>
      <c r="G975" s="31"/>
      <c r="H975" s="549"/>
    </row>
    <row r="976" spans="1:8" ht="15.75" thickBot="1" x14ac:dyDescent="0.3">
      <c r="A976" s="535"/>
      <c r="B976" s="536"/>
      <c r="C976" s="264"/>
      <c r="D976" s="264"/>
      <c r="E976" s="127"/>
      <c r="F976" s="34"/>
      <c r="G976" s="35"/>
      <c r="H976" s="550"/>
    </row>
    <row r="977" spans="1:8" ht="15.75" thickBot="1" x14ac:dyDescent="0.3">
      <c r="A977" s="36"/>
      <c r="B977" s="241"/>
      <c r="C977" s="241"/>
      <c r="D977" s="241"/>
      <c r="E977" s="25"/>
      <c r="F977" s="241"/>
      <c r="G977" s="25" t="s">
        <v>39</v>
      </c>
      <c r="H977" s="37">
        <f>ROUND(SUM(G972:G976),0)</f>
        <v>2690</v>
      </c>
    </row>
    <row r="978" spans="1:8" ht="15.75" thickBot="1" x14ac:dyDescent="0.3">
      <c r="A978" s="501" t="s">
        <v>40</v>
      </c>
      <c r="B978" s="502"/>
      <c r="C978" s="241"/>
      <c r="D978" s="241"/>
      <c r="E978" s="25"/>
      <c r="F978" s="241"/>
      <c r="G978" s="25"/>
      <c r="H978" s="273"/>
    </row>
    <row r="979" spans="1:8" x14ac:dyDescent="0.25">
      <c r="A979" s="503" t="s">
        <v>32</v>
      </c>
      <c r="B979" s="504"/>
      <c r="C979" s="38" t="s">
        <v>41</v>
      </c>
      <c r="D979" s="260" t="s">
        <v>29</v>
      </c>
      <c r="E979" s="125" t="s">
        <v>42</v>
      </c>
      <c r="F979" s="260" t="s">
        <v>35</v>
      </c>
      <c r="G979" s="39" t="s">
        <v>36</v>
      </c>
      <c r="H979" s="551"/>
    </row>
    <row r="980" spans="1:8" ht="57" customHeight="1" x14ac:dyDescent="0.25">
      <c r="A980" s="507" t="str">
        <f>B967</f>
        <v>Piedra promedio 6" pintada de color blanco para confirmacion de sendero</v>
      </c>
      <c r="B980" s="486"/>
      <c r="C980" s="30"/>
      <c r="D980" s="263" t="s">
        <v>16</v>
      </c>
      <c r="E980" s="88">
        <v>95000</v>
      </c>
      <c r="F980" s="268">
        <v>1</v>
      </c>
      <c r="G980" s="45">
        <f t="shared" ref="G980:G981" si="15">F980*E980</f>
        <v>95000</v>
      </c>
      <c r="H980" s="552"/>
    </row>
    <row r="981" spans="1:8" ht="51.75" customHeight="1" x14ac:dyDescent="0.25">
      <c r="A981" s="507" t="s">
        <v>349</v>
      </c>
      <c r="B981" s="486"/>
      <c r="C981" s="74"/>
      <c r="D981" s="263" t="s">
        <v>115</v>
      </c>
      <c r="E981" s="126">
        <v>90000</v>
      </c>
      <c r="F981" s="275">
        <v>1.5</v>
      </c>
      <c r="G981" s="45">
        <f t="shared" si="15"/>
        <v>135000</v>
      </c>
      <c r="H981" s="552"/>
    </row>
    <row r="982" spans="1:8" ht="15.75" thickBot="1" x14ac:dyDescent="0.3">
      <c r="A982" s="513"/>
      <c r="B982" s="514"/>
      <c r="C982" s="34"/>
      <c r="D982" s="264"/>
      <c r="E982" s="127"/>
      <c r="F982" s="34"/>
      <c r="G982" s="41"/>
      <c r="H982" s="553"/>
    </row>
    <row r="983" spans="1:8" ht="15.75" thickBot="1" x14ac:dyDescent="0.3">
      <c r="A983" s="36"/>
      <c r="B983" s="241"/>
      <c r="C983" s="241"/>
      <c r="D983" s="241"/>
      <c r="E983" s="25"/>
      <c r="F983" s="241"/>
      <c r="G983" s="25" t="s">
        <v>39</v>
      </c>
      <c r="H983" s="42">
        <f>ROUND(SUM(G980:G982),0)</f>
        <v>230000</v>
      </c>
    </row>
    <row r="984" spans="1:8" ht="15.75" thickBot="1" x14ac:dyDescent="0.3">
      <c r="A984" s="510" t="s">
        <v>49</v>
      </c>
      <c r="B984" s="511"/>
      <c r="C984" s="241"/>
      <c r="D984" s="241"/>
      <c r="E984" s="25"/>
      <c r="F984" s="241"/>
      <c r="G984" s="25"/>
      <c r="H984" s="273"/>
    </row>
    <row r="985" spans="1:8" x14ac:dyDescent="0.25">
      <c r="A985" s="503" t="s">
        <v>50</v>
      </c>
      <c r="B985" s="504"/>
      <c r="C985" s="43" t="s">
        <v>73</v>
      </c>
      <c r="D985" s="260" t="s">
        <v>52</v>
      </c>
      <c r="E985" s="125" t="s">
        <v>34</v>
      </c>
      <c r="F985" s="260" t="s">
        <v>35</v>
      </c>
      <c r="G985" s="39" t="s">
        <v>36</v>
      </c>
      <c r="H985" s="551"/>
    </row>
    <row r="986" spans="1:8" x14ac:dyDescent="0.25">
      <c r="A986" s="559" t="s">
        <v>80</v>
      </c>
      <c r="B986" s="560"/>
      <c r="C986" s="263" t="s">
        <v>68</v>
      </c>
      <c r="D986" s="263"/>
      <c r="E986" s="72">
        <v>11980</v>
      </c>
      <c r="F986" s="268">
        <v>0.01</v>
      </c>
      <c r="G986" s="45">
        <f>E986*F986</f>
        <v>119.8</v>
      </c>
      <c r="H986" s="552"/>
    </row>
    <row r="987" spans="1:8" x14ac:dyDescent="0.25">
      <c r="A987" s="508"/>
      <c r="B987" s="509"/>
      <c r="C987" s="263"/>
      <c r="D987" s="263"/>
      <c r="E987" s="72"/>
      <c r="F987" s="268"/>
      <c r="G987" s="45"/>
      <c r="H987" s="552"/>
    </row>
    <row r="988" spans="1:8" ht="15.75" thickBot="1" x14ac:dyDescent="0.3">
      <c r="A988" s="513"/>
      <c r="B988" s="514"/>
      <c r="C988" s="34"/>
      <c r="D988" s="34"/>
      <c r="E988" s="127"/>
      <c r="F988" s="34"/>
      <c r="G988" s="41"/>
      <c r="H988" s="553"/>
    </row>
    <row r="989" spans="1:8" ht="15.75" thickBot="1" x14ac:dyDescent="0.3">
      <c r="A989" s="36"/>
      <c r="B989" s="241"/>
      <c r="C989" s="241"/>
      <c r="D989" s="241"/>
      <c r="E989" s="25"/>
      <c r="F989" s="241"/>
      <c r="G989" s="25" t="s">
        <v>39</v>
      </c>
      <c r="H989" s="42">
        <f>ROUND(SUM(G986:G988),0)</f>
        <v>120</v>
      </c>
    </row>
    <row r="990" spans="1:8" ht="15.75" thickBot="1" x14ac:dyDescent="0.3">
      <c r="A990" s="75" t="s">
        <v>53</v>
      </c>
      <c r="B990" s="241"/>
      <c r="C990" s="241"/>
      <c r="D990" s="241"/>
      <c r="E990" s="25"/>
      <c r="F990" s="241"/>
      <c r="G990" s="25"/>
      <c r="H990" s="273"/>
    </row>
    <row r="991" spans="1:8" x14ac:dyDescent="0.25">
      <c r="A991" s="46"/>
      <c r="B991" s="260"/>
      <c r="C991" s="43" t="s">
        <v>56</v>
      </c>
      <c r="D991" s="260" t="s">
        <v>57</v>
      </c>
      <c r="E991" s="128" t="s">
        <v>58</v>
      </c>
      <c r="F991" s="260" t="s">
        <v>59</v>
      </c>
      <c r="G991" s="39" t="s">
        <v>36</v>
      </c>
      <c r="H991" s="548"/>
    </row>
    <row r="992" spans="1:8" x14ac:dyDescent="0.25">
      <c r="A992" s="495" t="str">
        <f>'CUADRILLAS DE OBRA'!B22</f>
        <v>CUADRILLA 1</v>
      </c>
      <c r="B992" s="520"/>
      <c r="C992" s="246">
        <f>'CUADRILLAS DE OBRA'!E23</f>
        <v>9464</v>
      </c>
      <c r="D992" s="269">
        <f>PRESTACIONES!E28</f>
        <v>0.8952</v>
      </c>
      <c r="E992" s="72">
        <f>'CUADRILLAS DE OBRA'!G23</f>
        <v>17936</v>
      </c>
      <c r="F992" s="268">
        <v>3</v>
      </c>
      <c r="G992" s="72">
        <f>E992*F992</f>
        <v>53808</v>
      </c>
      <c r="H992" s="549"/>
    </row>
    <row r="993" spans="1:8" x14ac:dyDescent="0.25">
      <c r="A993" s="245"/>
      <c r="B993" s="30"/>
      <c r="C993" s="247"/>
      <c r="D993" s="30"/>
      <c r="E993" s="72"/>
      <c r="F993" s="268"/>
      <c r="G993" s="72"/>
      <c r="H993" s="549"/>
    </row>
    <row r="994" spans="1:8" ht="15.75" thickBot="1" x14ac:dyDescent="0.3">
      <c r="A994" s="50"/>
      <c r="B994" s="34"/>
      <c r="C994" s="34"/>
      <c r="D994" s="34"/>
      <c r="E994" s="127"/>
      <c r="F994" s="34"/>
      <c r="G994" s="41"/>
      <c r="H994" s="550"/>
    </row>
    <row r="995" spans="1:8" ht="15.75" thickBot="1" x14ac:dyDescent="0.3">
      <c r="A995" s="36"/>
      <c r="B995" s="241"/>
      <c r="C995" s="241"/>
      <c r="D995" s="241"/>
      <c r="E995" s="25"/>
      <c r="F995" s="241"/>
      <c r="G995" s="25" t="s">
        <v>39</v>
      </c>
      <c r="H995" s="42">
        <f>ROUND(SUM(G992:G994),2)</f>
        <v>53808</v>
      </c>
    </row>
    <row r="996" spans="1:8" ht="15.75" thickBot="1" x14ac:dyDescent="0.3">
      <c r="A996" s="501" t="s">
        <v>61</v>
      </c>
      <c r="B996" s="502"/>
      <c r="C996" s="241"/>
      <c r="D996" s="241"/>
      <c r="E996" s="25"/>
      <c r="F996" s="241"/>
      <c r="G996" s="25"/>
      <c r="H996" s="273"/>
    </row>
    <row r="997" spans="1:8" x14ac:dyDescent="0.25">
      <c r="A997" s="521" t="s">
        <v>32</v>
      </c>
      <c r="B997" s="522"/>
      <c r="C997" s="522"/>
      <c r="D997" s="522"/>
      <c r="E997" s="523"/>
      <c r="F997" s="51" t="s">
        <v>62</v>
      </c>
      <c r="G997" s="52" t="s">
        <v>63</v>
      </c>
      <c r="H997" s="561"/>
    </row>
    <row r="998" spans="1:8" x14ac:dyDescent="0.25">
      <c r="A998" s="487" t="s">
        <v>24</v>
      </c>
      <c r="B998" s="488"/>
      <c r="C998" s="488"/>
      <c r="D998" s="488"/>
      <c r="E998" s="489"/>
      <c r="F998" s="248">
        <v>0</v>
      </c>
      <c r="G998" s="54">
        <f>ROUND((H995+H989+H983+H977)*F998,0)</f>
        <v>0</v>
      </c>
      <c r="H998" s="562"/>
    </row>
    <row r="999" spans="1:8" x14ac:dyDescent="0.25">
      <c r="A999" s="487" t="s">
        <v>25</v>
      </c>
      <c r="B999" s="488"/>
      <c r="C999" s="488"/>
      <c r="D999" s="488"/>
      <c r="E999" s="489"/>
      <c r="F999" s="248">
        <v>0</v>
      </c>
      <c r="G999" s="54">
        <f>ROUND((H977+H983+H989+H995)*F999,0)</f>
        <v>0</v>
      </c>
      <c r="H999" s="562"/>
    </row>
    <row r="1000" spans="1:8" ht="15.75" thickBot="1" x14ac:dyDescent="0.3">
      <c r="A1000" s="483" t="s">
        <v>64</v>
      </c>
      <c r="B1000" s="484"/>
      <c r="C1000" s="484"/>
      <c r="D1000" s="484"/>
      <c r="E1000" s="485"/>
      <c r="F1000" s="250">
        <v>0</v>
      </c>
      <c r="G1000" s="56">
        <f>ROUND((H977+H983+H989+H995)*F1000,0)</f>
        <v>0</v>
      </c>
      <c r="H1000" s="563"/>
    </row>
    <row r="1001" spans="1:8" ht="15.75" thickBot="1" x14ac:dyDescent="0.3">
      <c r="A1001" s="490" t="s">
        <v>39</v>
      </c>
      <c r="B1001" s="491"/>
      <c r="C1001" s="491"/>
      <c r="D1001" s="491"/>
      <c r="E1001" s="491"/>
      <c r="F1001" s="491"/>
      <c r="G1001" s="491"/>
      <c r="H1001" s="277">
        <f>SUM(G998:G1000)</f>
        <v>0</v>
      </c>
    </row>
    <row r="1002" spans="1:8" ht="15.75" thickBot="1" x14ac:dyDescent="0.3">
      <c r="A1002" s="492"/>
      <c r="B1002" s="493"/>
      <c r="C1002" s="493"/>
      <c r="D1002" s="493"/>
      <c r="E1002" s="493"/>
      <c r="F1002" s="493"/>
      <c r="G1002" s="493"/>
      <c r="H1002" s="494"/>
    </row>
    <row r="1003" spans="1:8" ht="15.75" thickBot="1" x14ac:dyDescent="0.3">
      <c r="A1003" s="495"/>
      <c r="B1003" s="496"/>
      <c r="C1003" s="496"/>
      <c r="D1003" s="497"/>
      <c r="E1003" s="498" t="s">
        <v>65</v>
      </c>
      <c r="F1003" s="499"/>
      <c r="G1003" s="500"/>
      <c r="H1003" s="76">
        <f>ROUND(H1001+H995+H989+H983+H977,0)</f>
        <v>286618</v>
      </c>
    </row>
    <row r="1004" spans="1:8" x14ac:dyDescent="0.25">
      <c r="A1004" s="461" t="s">
        <v>66</v>
      </c>
      <c r="B1004" s="461"/>
    </row>
    <row r="1005" spans="1:8" x14ac:dyDescent="0.25">
      <c r="A1005" s="460" t="s">
        <v>320</v>
      </c>
      <c r="B1005" s="460"/>
    </row>
    <row r="1006" spans="1:8" ht="15.75" thickBot="1" x14ac:dyDescent="0.3"/>
    <row r="1007" spans="1:8" ht="15.75" thickBot="1" x14ac:dyDescent="0.3">
      <c r="A1007" s="63" t="s">
        <v>28</v>
      </c>
      <c r="B1007" s="527" t="str">
        <f>PRESUPUESTO!B20</f>
        <v>Losa en concreto de 21 MPA para kiosko  E= .15CM</v>
      </c>
      <c r="C1007" s="528"/>
      <c r="D1007" s="528"/>
      <c r="E1007" s="528"/>
      <c r="F1007" s="529"/>
      <c r="G1007" s="64" t="s">
        <v>29</v>
      </c>
      <c r="H1007" s="65" t="str">
        <f>PRESUPUESTO!C20</f>
        <v>m3</v>
      </c>
    </row>
    <row r="1008" spans="1:8" ht="24" customHeight="1" thickBot="1" x14ac:dyDescent="0.3">
      <c r="A1008" s="66" t="str">
        <f>PRESUPUESTO!A20</f>
        <v>3.7</v>
      </c>
      <c r="B1008" s="530"/>
      <c r="C1008" s="531"/>
      <c r="D1008" s="531"/>
      <c r="E1008" s="531"/>
      <c r="F1008" s="532"/>
      <c r="G1008" s="67" t="s">
        <v>30</v>
      </c>
      <c r="H1008" s="68"/>
    </row>
    <row r="1009" spans="1:8" ht="15.75" thickBot="1" x14ac:dyDescent="0.3">
      <c r="A1009" s="20"/>
      <c r="B1009" s="238"/>
      <c r="C1009" s="238"/>
      <c r="D1009" s="238"/>
      <c r="E1009" s="23"/>
      <c r="F1009" s="428"/>
      <c r="G1009" s="23"/>
      <c r="H1009" s="24"/>
    </row>
    <row r="1010" spans="1:8" ht="15.75" thickBot="1" x14ac:dyDescent="0.3">
      <c r="A1010" s="501" t="s">
        <v>31</v>
      </c>
      <c r="B1010" s="502"/>
      <c r="C1010" s="241"/>
      <c r="D1010" s="241"/>
      <c r="E1010" s="25"/>
      <c r="F1010" s="428"/>
      <c r="G1010" s="25"/>
      <c r="H1010" s="26"/>
    </row>
    <row r="1011" spans="1:8" x14ac:dyDescent="0.25">
      <c r="A1011" s="533" t="s">
        <v>32</v>
      </c>
      <c r="B1011" s="534"/>
      <c r="C1011" s="429" t="s">
        <v>69</v>
      </c>
      <c r="D1011" s="429" t="s">
        <v>52</v>
      </c>
      <c r="E1011" s="125" t="s">
        <v>34</v>
      </c>
      <c r="F1011" s="429" t="s">
        <v>35</v>
      </c>
      <c r="G1011" s="28" t="s">
        <v>36</v>
      </c>
      <c r="H1011" s="517"/>
    </row>
    <row r="1012" spans="1:8" x14ac:dyDescent="0.25">
      <c r="A1012" s="508" t="s">
        <v>70</v>
      </c>
      <c r="B1012" s="509"/>
      <c r="C1012" s="430" t="s">
        <v>38</v>
      </c>
      <c r="D1012" s="430" t="s">
        <v>38</v>
      </c>
      <c r="E1012" s="126"/>
      <c r="F1012" s="430"/>
      <c r="G1012" s="31">
        <f>H1032*(0.05)</f>
        <v>2795.7000000000003</v>
      </c>
      <c r="H1012" s="518"/>
    </row>
    <row r="1013" spans="1:8" x14ac:dyDescent="0.25">
      <c r="A1013" s="508" t="s">
        <v>284</v>
      </c>
      <c r="B1013" s="509"/>
      <c r="C1013" s="430"/>
      <c r="D1013" s="430"/>
      <c r="E1013" s="126">
        <v>7500</v>
      </c>
      <c r="F1013" s="430">
        <v>4.4999999999999998E-2</v>
      </c>
      <c r="G1013" s="31">
        <f>+E1013*F1013</f>
        <v>337.5</v>
      </c>
      <c r="H1013" s="518"/>
    </row>
    <row r="1014" spans="1:8" ht="15.75" thickBot="1" x14ac:dyDescent="0.3">
      <c r="A1014" s="535"/>
      <c r="B1014" s="536"/>
      <c r="C1014" s="431"/>
      <c r="D1014" s="431"/>
      <c r="E1014" s="127"/>
      <c r="F1014" s="431"/>
      <c r="G1014" s="35"/>
      <c r="H1014" s="519"/>
    </row>
    <row r="1015" spans="1:8" ht="15.75" thickBot="1" x14ac:dyDescent="0.3">
      <c r="A1015" s="36"/>
      <c r="B1015" s="241"/>
      <c r="C1015" s="241"/>
      <c r="D1015" s="241"/>
      <c r="E1015" s="25"/>
      <c r="F1015" s="428"/>
      <c r="G1015" s="25" t="s">
        <v>39</v>
      </c>
      <c r="H1015" s="37">
        <f>ROUND(SUM(G1012:G1014),0)</f>
        <v>3133</v>
      </c>
    </row>
    <row r="1016" spans="1:8" ht="15.75" thickBot="1" x14ac:dyDescent="0.3">
      <c r="A1016" s="501" t="s">
        <v>40</v>
      </c>
      <c r="B1016" s="502"/>
      <c r="C1016" s="241"/>
      <c r="D1016" s="241"/>
      <c r="E1016" s="25"/>
      <c r="F1016" s="428"/>
      <c r="G1016" s="25"/>
      <c r="H1016" s="26"/>
    </row>
    <row r="1017" spans="1:8" x14ac:dyDescent="0.25">
      <c r="A1017" s="503" t="s">
        <v>32</v>
      </c>
      <c r="B1017" s="504"/>
      <c r="C1017" s="38" t="s">
        <v>41</v>
      </c>
      <c r="D1017" s="429" t="s">
        <v>29</v>
      </c>
      <c r="E1017" s="125" t="s">
        <v>42</v>
      </c>
      <c r="F1017" s="429" t="s">
        <v>35</v>
      </c>
      <c r="G1017" s="39" t="s">
        <v>36</v>
      </c>
      <c r="H1017" s="505"/>
    </row>
    <row r="1018" spans="1:8" ht="27.75" customHeight="1" x14ac:dyDescent="0.25">
      <c r="A1018" s="507" t="s">
        <v>216</v>
      </c>
      <c r="B1018" s="486"/>
      <c r="C1018" s="74"/>
      <c r="D1018" s="430" t="s">
        <v>16</v>
      </c>
      <c r="E1018" s="126">
        <f>'BASICO CONCRETO'!G35</f>
        <v>443580</v>
      </c>
      <c r="F1018" s="214">
        <f>1*0.15*3.1416</f>
        <v>0.47123999999999999</v>
      </c>
      <c r="G1018" s="45">
        <f>+E1018*F1018</f>
        <v>209032.63920000001</v>
      </c>
      <c r="H1018" s="506"/>
    </row>
    <row r="1019" spans="1:8" x14ac:dyDescent="0.25">
      <c r="A1019" s="508" t="s">
        <v>285</v>
      </c>
      <c r="B1019" s="509"/>
      <c r="C1019" s="375"/>
      <c r="D1019" s="81" t="s">
        <v>19</v>
      </c>
      <c r="E1019" s="131">
        <v>26000</v>
      </c>
      <c r="F1019" s="82">
        <v>0.6</v>
      </c>
      <c r="G1019" s="376">
        <f>+E1019*F1019</f>
        <v>15600</v>
      </c>
      <c r="H1019" s="506"/>
    </row>
    <row r="1020" spans="1:8" ht="30" customHeight="1" thickBot="1" x14ac:dyDescent="0.3">
      <c r="A1020" s="538" t="s">
        <v>336</v>
      </c>
      <c r="B1020" s="539"/>
      <c r="C1020" s="34"/>
      <c r="D1020" s="431" t="s">
        <v>19</v>
      </c>
      <c r="E1020" s="127">
        <v>46000</v>
      </c>
      <c r="F1020" s="431">
        <v>1</v>
      </c>
      <c r="G1020" s="72">
        <f>+E1020*F1020</f>
        <v>46000</v>
      </c>
      <c r="H1020" s="537"/>
    </row>
    <row r="1021" spans="1:8" ht="15.75" thickBot="1" x14ac:dyDescent="0.3">
      <c r="A1021" s="36"/>
      <c r="B1021" s="241"/>
      <c r="C1021" s="241"/>
      <c r="D1021" s="241"/>
      <c r="E1021" s="25"/>
      <c r="F1021" s="428"/>
      <c r="G1021" s="25" t="s">
        <v>39</v>
      </c>
      <c r="H1021" s="42">
        <f>ROUND(SUM(G1018:G1020),0)</f>
        <v>270633</v>
      </c>
    </row>
    <row r="1022" spans="1:8" ht="15.75" thickBot="1" x14ac:dyDescent="0.3">
      <c r="A1022" s="510" t="s">
        <v>49</v>
      </c>
      <c r="B1022" s="511"/>
      <c r="C1022" s="241"/>
      <c r="D1022" s="241"/>
      <c r="E1022" s="25"/>
      <c r="F1022" s="428"/>
      <c r="G1022" s="25"/>
      <c r="H1022" s="26"/>
    </row>
    <row r="1023" spans="1:8" x14ac:dyDescent="0.25">
      <c r="A1023" s="503" t="s">
        <v>50</v>
      </c>
      <c r="B1023" s="504"/>
      <c r="C1023" s="43" t="s">
        <v>73</v>
      </c>
      <c r="D1023" s="429" t="s">
        <v>52</v>
      </c>
      <c r="E1023" s="125" t="s">
        <v>34</v>
      </c>
      <c r="F1023" s="429" t="s">
        <v>35</v>
      </c>
      <c r="G1023" s="39" t="s">
        <v>36</v>
      </c>
      <c r="H1023" s="505"/>
    </row>
    <row r="1024" spans="1:8" x14ac:dyDescent="0.25">
      <c r="A1024" s="508"/>
      <c r="B1024" s="509"/>
      <c r="C1024" s="430"/>
      <c r="D1024" s="430"/>
      <c r="E1024" s="72"/>
      <c r="F1024" s="214"/>
      <c r="G1024" s="45"/>
      <c r="H1024" s="506"/>
    </row>
    <row r="1025" spans="1:9" ht="15.75" thickBot="1" x14ac:dyDescent="0.3">
      <c r="A1025" s="513"/>
      <c r="B1025" s="514"/>
      <c r="C1025" s="34"/>
      <c r="D1025" s="34"/>
      <c r="E1025" s="127"/>
      <c r="F1025" s="431"/>
      <c r="G1025" s="41"/>
      <c r="H1025" s="512"/>
    </row>
    <row r="1026" spans="1:9" ht="15.75" thickBot="1" x14ac:dyDescent="0.3">
      <c r="A1026" s="36"/>
      <c r="B1026" s="241"/>
      <c r="C1026" s="241"/>
      <c r="D1026" s="241"/>
      <c r="E1026" s="25"/>
      <c r="F1026" s="428"/>
      <c r="G1026" s="25" t="s">
        <v>39</v>
      </c>
      <c r="H1026" s="42">
        <f>SUM(G1024:G1025)</f>
        <v>0</v>
      </c>
    </row>
    <row r="1027" spans="1:9" ht="15.75" thickBot="1" x14ac:dyDescent="0.3">
      <c r="A1027" s="75" t="s">
        <v>53</v>
      </c>
      <c r="B1027" s="241"/>
      <c r="C1027" s="241"/>
      <c r="D1027" s="241"/>
      <c r="E1027" s="25"/>
      <c r="F1027" s="428"/>
      <c r="G1027" s="25"/>
      <c r="H1027" s="26"/>
    </row>
    <row r="1028" spans="1:9" ht="27" customHeight="1" x14ac:dyDescent="0.25">
      <c r="A1028" s="515" t="s">
        <v>213</v>
      </c>
      <c r="B1028" s="516"/>
      <c r="C1028" s="43" t="s">
        <v>56</v>
      </c>
      <c r="D1028" s="429" t="s">
        <v>57</v>
      </c>
      <c r="E1028" s="128" t="s">
        <v>58</v>
      </c>
      <c r="F1028" s="429" t="s">
        <v>59</v>
      </c>
      <c r="G1028" s="39" t="s">
        <v>36</v>
      </c>
      <c r="H1028" s="517"/>
    </row>
    <row r="1029" spans="1:9" x14ac:dyDescent="0.25">
      <c r="A1029" s="495" t="str">
        <f>'CUADRILLAS DE OBRA'!A29:B29</f>
        <v>4 Ayudantes + 1 Oficial</v>
      </c>
      <c r="B1029" s="520"/>
      <c r="C1029" s="123">
        <f>'CUADRILLAS DE OBRA'!E29</f>
        <v>20820</v>
      </c>
      <c r="D1029" s="269">
        <f>PRESTACIONES!E28</f>
        <v>0.8952</v>
      </c>
      <c r="E1029" s="72">
        <f>D1029*C1029</f>
        <v>18638.063999999998</v>
      </c>
      <c r="F1029" s="214">
        <v>3</v>
      </c>
      <c r="G1029" s="72">
        <f>E1029*F1029</f>
        <v>55914.191999999995</v>
      </c>
      <c r="H1029" s="518"/>
    </row>
    <row r="1030" spans="1:9" x14ac:dyDescent="0.25">
      <c r="A1030" s="245"/>
      <c r="B1030" s="30"/>
      <c r="C1030" s="430"/>
      <c r="D1030" s="30"/>
      <c r="E1030" s="72"/>
      <c r="F1030" s="214"/>
      <c r="G1030" s="72"/>
      <c r="H1030" s="518"/>
    </row>
    <row r="1031" spans="1:9" ht="15.75" thickBot="1" x14ac:dyDescent="0.3">
      <c r="A1031" s="50"/>
      <c r="B1031" s="34"/>
      <c r="C1031" s="34"/>
      <c r="D1031" s="34"/>
      <c r="E1031" s="127"/>
      <c r="F1031" s="431"/>
      <c r="G1031" s="41"/>
      <c r="H1031" s="519"/>
    </row>
    <row r="1032" spans="1:9" ht="15.75" thickBot="1" x14ac:dyDescent="0.3">
      <c r="A1032" s="36"/>
      <c r="B1032" s="241"/>
      <c r="C1032" s="241"/>
      <c r="D1032" s="241"/>
      <c r="E1032" s="25"/>
      <c r="F1032" s="428"/>
      <c r="G1032" s="25" t="s">
        <v>39</v>
      </c>
      <c r="H1032" s="42">
        <f>ROUND(SUM(G1029:G1031),0)</f>
        <v>55914</v>
      </c>
    </row>
    <row r="1033" spans="1:9" ht="15.75" thickBot="1" x14ac:dyDescent="0.3">
      <c r="A1033" s="501" t="s">
        <v>61</v>
      </c>
      <c r="B1033" s="502"/>
      <c r="C1033" s="241"/>
      <c r="D1033" s="241"/>
      <c r="E1033" s="25"/>
      <c r="F1033" s="428"/>
      <c r="G1033" s="25"/>
      <c r="H1033" s="26"/>
    </row>
    <row r="1034" spans="1:9" x14ac:dyDescent="0.25">
      <c r="A1034" s="521" t="s">
        <v>32</v>
      </c>
      <c r="B1034" s="522"/>
      <c r="C1034" s="522"/>
      <c r="D1034" s="522"/>
      <c r="E1034" s="523"/>
      <c r="F1034" s="51" t="s">
        <v>62</v>
      </c>
      <c r="G1034" s="52" t="s">
        <v>63</v>
      </c>
      <c r="H1034" s="524"/>
    </row>
    <row r="1035" spans="1:9" x14ac:dyDescent="0.25">
      <c r="A1035" s="487" t="s">
        <v>24</v>
      </c>
      <c r="B1035" s="488"/>
      <c r="C1035" s="488"/>
      <c r="D1035" s="488"/>
      <c r="E1035" s="489"/>
      <c r="F1035" s="248">
        <v>0</v>
      </c>
      <c r="G1035" s="54">
        <f>ROUND((H1032+H1026+H1021+H1015)*F1035,0)</f>
        <v>0</v>
      </c>
      <c r="H1035" s="525"/>
    </row>
    <row r="1036" spans="1:9" x14ac:dyDescent="0.25">
      <c r="A1036" s="487" t="s">
        <v>25</v>
      </c>
      <c r="B1036" s="488"/>
      <c r="C1036" s="488"/>
      <c r="D1036" s="488"/>
      <c r="E1036" s="489"/>
      <c r="F1036" s="248">
        <v>0</v>
      </c>
      <c r="G1036" s="54">
        <f>ROUND((H1015+H1021+H1026+H1032)*F1036,0)</f>
        <v>0</v>
      </c>
      <c r="H1036" s="525"/>
    </row>
    <row r="1037" spans="1:9" ht="15.75" thickBot="1" x14ac:dyDescent="0.3">
      <c r="A1037" s="483" t="s">
        <v>64</v>
      </c>
      <c r="B1037" s="484"/>
      <c r="C1037" s="484"/>
      <c r="D1037" s="484"/>
      <c r="E1037" s="485"/>
      <c r="F1037" s="250">
        <v>0</v>
      </c>
      <c r="G1037" s="56">
        <f>ROUND((H1015+H1021+H1026+H1032)*F1037,0)</f>
        <v>0</v>
      </c>
      <c r="H1037" s="526"/>
    </row>
    <row r="1038" spans="1:9" ht="15.75" thickBot="1" x14ac:dyDescent="0.3">
      <c r="A1038" s="490" t="s">
        <v>39</v>
      </c>
      <c r="B1038" s="491"/>
      <c r="C1038" s="491"/>
      <c r="D1038" s="491"/>
      <c r="E1038" s="491"/>
      <c r="F1038" s="491"/>
      <c r="G1038" s="491"/>
      <c r="H1038" s="37">
        <f>SUM(G1035:G1037)</f>
        <v>0</v>
      </c>
    </row>
    <row r="1039" spans="1:9" ht="15.75" thickBot="1" x14ac:dyDescent="0.3">
      <c r="A1039" s="492"/>
      <c r="B1039" s="493"/>
      <c r="C1039" s="493"/>
      <c r="D1039" s="493"/>
      <c r="E1039" s="493"/>
      <c r="F1039" s="493"/>
      <c r="G1039" s="493"/>
      <c r="H1039" s="494"/>
    </row>
    <row r="1040" spans="1:9" ht="15.75" thickBot="1" x14ac:dyDescent="0.3">
      <c r="A1040" s="495"/>
      <c r="B1040" s="496"/>
      <c r="C1040" s="496"/>
      <c r="D1040" s="497"/>
      <c r="E1040" s="498" t="s">
        <v>65</v>
      </c>
      <c r="F1040" s="499"/>
      <c r="G1040" s="500"/>
      <c r="H1040" s="76">
        <f>ROUND(SUM(H1011:H1038),0)</f>
        <v>329680</v>
      </c>
      <c r="I1040" s="201" t="s">
        <v>219</v>
      </c>
    </row>
    <row r="1042" spans="1:8" ht="15.75" thickBot="1" x14ac:dyDescent="0.3"/>
    <row r="1043" spans="1:8" ht="15.75" thickBot="1" x14ac:dyDescent="0.3">
      <c r="A1043" s="63" t="s">
        <v>28</v>
      </c>
      <c r="B1043" s="527" t="str">
        <f>PRESUPUESTO!B21</f>
        <v>Pedestales en concreto 0,80m, 0,2m bajo el nivel de losa, y 0,40 sobre nivel de losa, 0,4m de diametro</v>
      </c>
      <c r="C1043" s="528"/>
      <c r="D1043" s="528"/>
      <c r="E1043" s="528"/>
      <c r="F1043" s="529"/>
      <c r="G1043" s="64" t="s">
        <v>29</v>
      </c>
      <c r="H1043" s="65" t="str">
        <f>PRESUPUESTO!C21</f>
        <v>und</v>
      </c>
    </row>
    <row r="1044" spans="1:8" ht="24" customHeight="1" thickBot="1" x14ac:dyDescent="0.3">
      <c r="A1044" s="66" t="str">
        <f>PRESUPUESTO!A21</f>
        <v>3.8</v>
      </c>
      <c r="B1044" s="530"/>
      <c r="C1044" s="531"/>
      <c r="D1044" s="531"/>
      <c r="E1044" s="531"/>
      <c r="F1044" s="532"/>
      <c r="G1044" s="67" t="s">
        <v>30</v>
      </c>
      <c r="H1044" s="68"/>
    </row>
    <row r="1045" spans="1:8" ht="15.75" thickBot="1" x14ac:dyDescent="0.3">
      <c r="A1045" s="20"/>
      <c r="B1045" s="238"/>
      <c r="C1045" s="238"/>
      <c r="D1045" s="238"/>
      <c r="E1045" s="23"/>
      <c r="F1045" s="428"/>
      <c r="G1045" s="23"/>
      <c r="H1045" s="24"/>
    </row>
    <row r="1046" spans="1:8" ht="15.75" thickBot="1" x14ac:dyDescent="0.3">
      <c r="A1046" s="501" t="s">
        <v>31</v>
      </c>
      <c r="B1046" s="502"/>
      <c r="C1046" s="241"/>
      <c r="D1046" s="241"/>
      <c r="E1046" s="25"/>
      <c r="F1046" s="428"/>
      <c r="G1046" s="25"/>
      <c r="H1046" s="26"/>
    </row>
    <row r="1047" spans="1:8" x14ac:dyDescent="0.25">
      <c r="A1047" s="533" t="s">
        <v>32</v>
      </c>
      <c r="B1047" s="534"/>
      <c r="C1047" s="429" t="s">
        <v>69</v>
      </c>
      <c r="D1047" s="429" t="s">
        <v>52</v>
      </c>
      <c r="E1047" s="125" t="s">
        <v>34</v>
      </c>
      <c r="F1047" s="429" t="s">
        <v>35</v>
      </c>
      <c r="G1047" s="28" t="s">
        <v>36</v>
      </c>
      <c r="H1047" s="517"/>
    </row>
    <row r="1048" spans="1:8" x14ac:dyDescent="0.25">
      <c r="A1048" s="508" t="s">
        <v>70</v>
      </c>
      <c r="B1048" s="509"/>
      <c r="C1048" s="430" t="s">
        <v>38</v>
      </c>
      <c r="D1048" s="430" t="s">
        <v>38</v>
      </c>
      <c r="E1048" s="126"/>
      <c r="F1048" s="430"/>
      <c r="G1048" s="31">
        <f>H1068*(0.05)</f>
        <v>948.85</v>
      </c>
      <c r="H1048" s="518"/>
    </row>
    <row r="1049" spans="1:8" x14ac:dyDescent="0.25">
      <c r="A1049" s="508" t="s">
        <v>284</v>
      </c>
      <c r="B1049" s="509"/>
      <c r="C1049" s="430"/>
      <c r="D1049" s="430"/>
      <c r="E1049" s="126">
        <v>7500</v>
      </c>
      <c r="F1049" s="430">
        <v>4.4999999999999998E-2</v>
      </c>
      <c r="G1049" s="31">
        <f>+E1049*F1049</f>
        <v>337.5</v>
      </c>
      <c r="H1049" s="518"/>
    </row>
    <row r="1050" spans="1:8" ht="15.75" thickBot="1" x14ac:dyDescent="0.3">
      <c r="A1050" s="535"/>
      <c r="B1050" s="536"/>
      <c r="C1050" s="431"/>
      <c r="D1050" s="431"/>
      <c r="E1050" s="127"/>
      <c r="F1050" s="431"/>
      <c r="G1050" s="35"/>
      <c r="H1050" s="519"/>
    </row>
    <row r="1051" spans="1:8" ht="15.75" thickBot="1" x14ac:dyDescent="0.3">
      <c r="A1051" s="36"/>
      <c r="B1051" s="241"/>
      <c r="C1051" s="241"/>
      <c r="D1051" s="241"/>
      <c r="E1051" s="25"/>
      <c r="F1051" s="428"/>
      <c r="G1051" s="25" t="s">
        <v>39</v>
      </c>
      <c r="H1051" s="37">
        <f>ROUND(SUM(G1048:G1050),0)</f>
        <v>1286</v>
      </c>
    </row>
    <row r="1052" spans="1:8" ht="15.75" thickBot="1" x14ac:dyDescent="0.3">
      <c r="A1052" s="501" t="s">
        <v>40</v>
      </c>
      <c r="B1052" s="502"/>
      <c r="C1052" s="241"/>
      <c r="D1052" s="241"/>
      <c r="E1052" s="25"/>
      <c r="F1052" s="428"/>
      <c r="G1052" s="25"/>
      <c r="H1052" s="26"/>
    </row>
    <row r="1053" spans="1:8" x14ac:dyDescent="0.25">
      <c r="A1053" s="503" t="s">
        <v>32</v>
      </c>
      <c r="B1053" s="504"/>
      <c r="C1053" s="38" t="s">
        <v>41</v>
      </c>
      <c r="D1053" s="429" t="s">
        <v>29</v>
      </c>
      <c r="E1053" s="125" t="s">
        <v>42</v>
      </c>
      <c r="F1053" s="429" t="s">
        <v>35</v>
      </c>
      <c r="G1053" s="39" t="s">
        <v>36</v>
      </c>
      <c r="H1053" s="505"/>
    </row>
    <row r="1054" spans="1:8" ht="27.75" customHeight="1" x14ac:dyDescent="0.25">
      <c r="A1054" s="507" t="s">
        <v>216</v>
      </c>
      <c r="B1054" s="486"/>
      <c r="C1054" s="74"/>
      <c r="D1054" s="430" t="s">
        <v>16</v>
      </c>
      <c r="E1054" s="126">
        <f>'BASICO CONCRETO'!G35</f>
        <v>443580</v>
      </c>
      <c r="F1054" s="214">
        <f>0.8*0.4*0.4</f>
        <v>0.12800000000000003</v>
      </c>
      <c r="G1054" s="45">
        <f>+E1054*F1054</f>
        <v>56778.240000000013</v>
      </c>
      <c r="H1054" s="506"/>
    </row>
    <row r="1055" spans="1:8" x14ac:dyDescent="0.25">
      <c r="A1055" s="508" t="s">
        <v>285</v>
      </c>
      <c r="B1055" s="509"/>
      <c r="C1055" s="74"/>
      <c r="D1055" s="430" t="s">
        <v>19</v>
      </c>
      <c r="E1055" s="126">
        <v>26000</v>
      </c>
      <c r="F1055" s="214">
        <v>0.6</v>
      </c>
      <c r="G1055" s="45">
        <f>+E1055*F1055</f>
        <v>15600</v>
      </c>
      <c r="H1055" s="506"/>
    </row>
    <row r="1056" spans="1:8" ht="32.25" customHeight="1" x14ac:dyDescent="0.25">
      <c r="A1056" s="486" t="s">
        <v>352</v>
      </c>
      <c r="B1056" s="486"/>
      <c r="C1056" s="74"/>
      <c r="D1056" s="446" t="s">
        <v>18</v>
      </c>
      <c r="E1056" s="126">
        <v>24000</v>
      </c>
      <c r="F1056" s="214">
        <v>1</v>
      </c>
      <c r="G1056" s="45">
        <f>+E1056*F1056</f>
        <v>24000</v>
      </c>
      <c r="H1056" s="456"/>
    </row>
    <row r="1057" spans="1:8" ht="15.75" thickBot="1" x14ac:dyDescent="0.3">
      <c r="A1057" s="36"/>
      <c r="B1057" s="241"/>
      <c r="C1057" s="241"/>
      <c r="D1057" s="241"/>
      <c r="E1057" s="25"/>
      <c r="F1057" s="428"/>
      <c r="G1057" s="25" t="s">
        <v>39</v>
      </c>
      <c r="H1057" s="42">
        <f>SUM(G1054:G1056)</f>
        <v>96378.24000000002</v>
      </c>
    </row>
    <row r="1058" spans="1:8" ht="15.75" thickBot="1" x14ac:dyDescent="0.3">
      <c r="A1058" s="510" t="s">
        <v>49</v>
      </c>
      <c r="B1058" s="511"/>
      <c r="C1058" s="241"/>
      <c r="D1058" s="241"/>
      <c r="E1058" s="25"/>
      <c r="F1058" s="428"/>
      <c r="G1058" s="25"/>
      <c r="H1058" s="26"/>
    </row>
    <row r="1059" spans="1:8" x14ac:dyDescent="0.25">
      <c r="A1059" s="503" t="s">
        <v>50</v>
      </c>
      <c r="B1059" s="504"/>
      <c r="C1059" s="43" t="s">
        <v>73</v>
      </c>
      <c r="D1059" s="429" t="s">
        <v>52</v>
      </c>
      <c r="E1059" s="125" t="s">
        <v>34</v>
      </c>
      <c r="F1059" s="429" t="s">
        <v>35</v>
      </c>
      <c r="G1059" s="39" t="s">
        <v>36</v>
      </c>
      <c r="H1059" s="505"/>
    </row>
    <row r="1060" spans="1:8" x14ac:dyDescent="0.25">
      <c r="A1060" s="508"/>
      <c r="B1060" s="509"/>
      <c r="C1060" s="430"/>
      <c r="D1060" s="430"/>
      <c r="E1060" s="72"/>
      <c r="F1060" s="214"/>
      <c r="G1060" s="45"/>
      <c r="H1060" s="506"/>
    </row>
    <row r="1061" spans="1:8" ht="15.75" thickBot="1" x14ac:dyDescent="0.3">
      <c r="A1061" s="513"/>
      <c r="B1061" s="514"/>
      <c r="C1061" s="34"/>
      <c r="D1061" s="34"/>
      <c r="E1061" s="127"/>
      <c r="F1061" s="431"/>
      <c r="G1061" s="41"/>
      <c r="H1061" s="512"/>
    </row>
    <row r="1062" spans="1:8" ht="15.75" thickBot="1" x14ac:dyDescent="0.3">
      <c r="A1062" s="36"/>
      <c r="B1062" s="241"/>
      <c r="C1062" s="241"/>
      <c r="D1062" s="241"/>
      <c r="E1062" s="25"/>
      <c r="F1062" s="428"/>
      <c r="G1062" s="25" t="s">
        <v>39</v>
      </c>
      <c r="H1062" s="42">
        <f>SUM(G1060:G1061)</f>
        <v>0</v>
      </c>
    </row>
    <row r="1063" spans="1:8" ht="15.75" thickBot="1" x14ac:dyDescent="0.3">
      <c r="A1063" s="75" t="s">
        <v>53</v>
      </c>
      <c r="B1063" s="241"/>
      <c r="C1063" s="241"/>
      <c r="D1063" s="241"/>
      <c r="E1063" s="25"/>
      <c r="F1063" s="428"/>
      <c r="G1063" s="25"/>
      <c r="H1063" s="26"/>
    </row>
    <row r="1064" spans="1:8" ht="27" customHeight="1" x14ac:dyDescent="0.25">
      <c r="A1064" s="515" t="s">
        <v>213</v>
      </c>
      <c r="B1064" s="516"/>
      <c r="C1064" s="43" t="s">
        <v>56</v>
      </c>
      <c r="D1064" s="429" t="s">
        <v>57</v>
      </c>
      <c r="E1064" s="128" t="s">
        <v>58</v>
      </c>
      <c r="F1064" s="429" t="s">
        <v>59</v>
      </c>
      <c r="G1064" s="39" t="s">
        <v>36</v>
      </c>
      <c r="H1064" s="517"/>
    </row>
    <row r="1065" spans="1:8" x14ac:dyDescent="0.25">
      <c r="A1065" s="495" t="str">
        <f>'CUADRILLAS DE OBRA'!B25</f>
        <v>CUADRILLA 2</v>
      </c>
      <c r="B1065" s="520"/>
      <c r="C1065" s="123">
        <f>'CUADRILLAS DE OBRA'!E26</f>
        <v>13249</v>
      </c>
      <c r="D1065" s="269">
        <f>PRESTACIONES!E28</f>
        <v>0.8952</v>
      </c>
      <c r="E1065" s="72">
        <f>D1065*C1065</f>
        <v>11860.504800000001</v>
      </c>
      <c r="F1065" s="214">
        <v>1.6</v>
      </c>
      <c r="G1065" s="72">
        <f>E1065*F1065</f>
        <v>18976.807680000002</v>
      </c>
      <c r="H1065" s="518"/>
    </row>
    <row r="1066" spans="1:8" x14ac:dyDescent="0.25">
      <c r="A1066" s="245"/>
      <c r="B1066" s="30"/>
      <c r="C1066" s="430"/>
      <c r="D1066" s="30"/>
      <c r="E1066" s="72"/>
      <c r="F1066" s="214"/>
      <c r="G1066" s="72"/>
      <c r="H1066" s="518"/>
    </row>
    <row r="1067" spans="1:8" ht="15.75" thickBot="1" x14ac:dyDescent="0.3">
      <c r="A1067" s="50"/>
      <c r="B1067" s="34"/>
      <c r="C1067" s="34"/>
      <c r="D1067" s="34"/>
      <c r="E1067" s="127"/>
      <c r="F1067" s="431"/>
      <c r="G1067" s="41"/>
      <c r="H1067" s="519"/>
    </row>
    <row r="1068" spans="1:8" ht="15.75" thickBot="1" x14ac:dyDescent="0.3">
      <c r="A1068" s="36"/>
      <c r="B1068" s="241"/>
      <c r="C1068" s="241"/>
      <c r="D1068" s="241"/>
      <c r="E1068" s="25"/>
      <c r="F1068" s="428"/>
      <c r="G1068" s="25" t="s">
        <v>39</v>
      </c>
      <c r="H1068" s="42">
        <f>ROUND(SUM(G1065:G1067),0)</f>
        <v>18977</v>
      </c>
    </row>
    <row r="1069" spans="1:8" ht="15.75" thickBot="1" x14ac:dyDescent="0.3">
      <c r="A1069" s="501" t="s">
        <v>61</v>
      </c>
      <c r="B1069" s="502"/>
      <c r="C1069" s="241"/>
      <c r="D1069" s="241"/>
      <c r="E1069" s="25"/>
      <c r="F1069" s="428"/>
      <c r="G1069" s="25"/>
      <c r="H1069" s="26"/>
    </row>
    <row r="1070" spans="1:8" x14ac:dyDescent="0.25">
      <c r="A1070" s="521" t="s">
        <v>32</v>
      </c>
      <c r="B1070" s="522"/>
      <c r="C1070" s="522"/>
      <c r="D1070" s="522"/>
      <c r="E1070" s="523"/>
      <c r="F1070" s="51" t="s">
        <v>62</v>
      </c>
      <c r="G1070" s="52" t="s">
        <v>63</v>
      </c>
      <c r="H1070" s="524"/>
    </row>
    <row r="1071" spans="1:8" x14ac:dyDescent="0.25">
      <c r="A1071" s="487" t="s">
        <v>24</v>
      </c>
      <c r="B1071" s="488"/>
      <c r="C1071" s="488"/>
      <c r="D1071" s="488"/>
      <c r="E1071" s="489"/>
      <c r="F1071" s="248">
        <v>0</v>
      </c>
      <c r="G1071" s="54">
        <f>ROUND((H1068+H1062+H1057+H1051)*F1071,0)</f>
        <v>0</v>
      </c>
      <c r="H1071" s="525"/>
    </row>
    <row r="1072" spans="1:8" x14ac:dyDescent="0.25">
      <c r="A1072" s="487" t="s">
        <v>25</v>
      </c>
      <c r="B1072" s="488"/>
      <c r="C1072" s="488"/>
      <c r="D1072" s="488"/>
      <c r="E1072" s="489"/>
      <c r="F1072" s="248">
        <v>0</v>
      </c>
      <c r="G1072" s="54">
        <f>ROUND((H1051+H1057+H1062+H1068)*F1072,0)</f>
        <v>0</v>
      </c>
      <c r="H1072" s="525"/>
    </row>
    <row r="1073" spans="1:9" ht="15.75" thickBot="1" x14ac:dyDescent="0.3">
      <c r="A1073" s="483" t="s">
        <v>64</v>
      </c>
      <c r="B1073" s="484"/>
      <c r="C1073" s="484"/>
      <c r="D1073" s="484"/>
      <c r="E1073" s="485"/>
      <c r="F1073" s="250">
        <v>0</v>
      </c>
      <c r="G1073" s="56">
        <f>ROUND((H1051+H1057+H1062+H1068)*F1073,0)</f>
        <v>0</v>
      </c>
      <c r="H1073" s="526"/>
    </row>
    <row r="1074" spans="1:9" ht="15.75" thickBot="1" x14ac:dyDescent="0.3">
      <c r="A1074" s="490" t="s">
        <v>39</v>
      </c>
      <c r="B1074" s="491"/>
      <c r="C1074" s="491"/>
      <c r="D1074" s="491"/>
      <c r="E1074" s="491"/>
      <c r="F1074" s="491"/>
      <c r="G1074" s="491"/>
      <c r="H1074" s="37">
        <f>SUM(G1071:G1073)</f>
        <v>0</v>
      </c>
    </row>
    <row r="1075" spans="1:9" ht="15.75" thickBot="1" x14ac:dyDescent="0.3">
      <c r="A1075" s="492"/>
      <c r="B1075" s="493"/>
      <c r="C1075" s="493"/>
      <c r="D1075" s="493"/>
      <c r="E1075" s="493"/>
      <c r="F1075" s="493"/>
      <c r="G1075" s="493"/>
      <c r="H1075" s="494"/>
    </row>
    <row r="1076" spans="1:9" ht="15.75" thickBot="1" x14ac:dyDescent="0.3">
      <c r="A1076" s="495"/>
      <c r="B1076" s="496"/>
      <c r="C1076" s="496"/>
      <c r="D1076" s="497"/>
      <c r="E1076" s="498" t="s">
        <v>65</v>
      </c>
      <c r="F1076" s="499"/>
      <c r="G1076" s="500"/>
      <c r="H1076" s="76">
        <f>ROUND(SUM(H1047:H1074),0)</f>
        <v>116641</v>
      </c>
      <c r="I1076" s="201" t="s">
        <v>219</v>
      </c>
    </row>
  </sheetData>
  <mergeCells count="964">
    <mergeCell ref="A210:B210"/>
    <mergeCell ref="A222:B222"/>
    <mergeCell ref="A205:B205"/>
    <mergeCell ref="A1002:H1002"/>
    <mergeCell ref="A941:B941"/>
    <mergeCell ref="A942:B942"/>
    <mergeCell ref="A944:B944"/>
    <mergeCell ref="A945:B945"/>
    <mergeCell ref="H945:H948"/>
    <mergeCell ref="A946:B946"/>
    <mergeCell ref="A947:B947"/>
    <mergeCell ref="A948:B948"/>
    <mergeCell ref="H951:H954"/>
    <mergeCell ref="A956:B956"/>
    <mergeCell ref="A957:E957"/>
    <mergeCell ref="H957:H960"/>
    <mergeCell ref="A958:E958"/>
    <mergeCell ref="A971:B971"/>
    <mergeCell ref="A972:B972"/>
    <mergeCell ref="A973:B973"/>
    <mergeCell ref="A859:B859"/>
    <mergeCell ref="H859:H860"/>
    <mergeCell ref="A881:D881"/>
    <mergeCell ref="E881:G881"/>
    <mergeCell ref="A883:B883"/>
    <mergeCell ref="A903:B903"/>
    <mergeCell ref="A904:B904"/>
    <mergeCell ref="H904:H907"/>
    <mergeCell ref="A905:B905"/>
    <mergeCell ref="A906:B906"/>
    <mergeCell ref="A907:B907"/>
    <mergeCell ref="A841:G841"/>
    <mergeCell ref="A842:H842"/>
    <mergeCell ref="A843:D843"/>
    <mergeCell ref="E843:G843"/>
    <mergeCell ref="A845:B845"/>
    <mergeCell ref="B847:F848"/>
    <mergeCell ref="A850:B850"/>
    <mergeCell ref="A851:B851"/>
    <mergeCell ref="H851:H856"/>
    <mergeCell ref="A852:B852"/>
    <mergeCell ref="A853:B853"/>
    <mergeCell ref="A854:B854"/>
    <mergeCell ref="A855:B855"/>
    <mergeCell ref="A856:B856"/>
    <mergeCell ref="A896:B896"/>
    <mergeCell ref="A897:B897"/>
    <mergeCell ref="H897:H901"/>
    <mergeCell ref="A819:B819"/>
    <mergeCell ref="A820:B820"/>
    <mergeCell ref="H820:H823"/>
    <mergeCell ref="B885:F886"/>
    <mergeCell ref="A888:B888"/>
    <mergeCell ref="A889:B889"/>
    <mergeCell ref="H889:H894"/>
    <mergeCell ref="A890:B890"/>
    <mergeCell ref="A891:B891"/>
    <mergeCell ref="A892:B892"/>
    <mergeCell ref="A893:B893"/>
    <mergeCell ref="A894:B894"/>
    <mergeCell ref="H869:H872"/>
    <mergeCell ref="A874:B874"/>
    <mergeCell ref="A875:E875"/>
    <mergeCell ref="H875:H878"/>
    <mergeCell ref="A876:E876"/>
    <mergeCell ref="A877:E877"/>
    <mergeCell ref="A878:E878"/>
    <mergeCell ref="A879:G879"/>
    <mergeCell ref="A880:H880"/>
    <mergeCell ref="A858:B858"/>
    <mergeCell ref="H832:H834"/>
    <mergeCell ref="A836:B836"/>
    <mergeCell ref="H798:H801"/>
    <mergeCell ref="A799:E799"/>
    <mergeCell ref="A800:E800"/>
    <mergeCell ref="A801:E801"/>
    <mergeCell ref="A802:G802"/>
    <mergeCell ref="A803:H803"/>
    <mergeCell ref="A780:B780"/>
    <mergeCell ref="A781:B781"/>
    <mergeCell ref="A812:B812"/>
    <mergeCell ref="H812:H817"/>
    <mergeCell ref="A813:B813"/>
    <mergeCell ref="A837:E837"/>
    <mergeCell ref="H837:H840"/>
    <mergeCell ref="A838:E838"/>
    <mergeCell ref="A839:E839"/>
    <mergeCell ref="A840:E840"/>
    <mergeCell ref="A821:B821"/>
    <mergeCell ref="A822:B822"/>
    <mergeCell ref="A823:B823"/>
    <mergeCell ref="A825:B825"/>
    <mergeCell ref="A826:B826"/>
    <mergeCell ref="H826:H829"/>
    <mergeCell ref="A827:B827"/>
    <mergeCell ref="A828:B828"/>
    <mergeCell ref="A829:B829"/>
    <mergeCell ref="A390:H390"/>
    <mergeCell ref="A414:B414"/>
    <mergeCell ref="A405:B405"/>
    <mergeCell ref="A406:B406"/>
    <mergeCell ref="H406:H412"/>
    <mergeCell ref="A407:B407"/>
    <mergeCell ref="A408:B408"/>
    <mergeCell ref="A410:B410"/>
    <mergeCell ref="A411:B411"/>
    <mergeCell ref="A412:B412"/>
    <mergeCell ref="A409:B409"/>
    <mergeCell ref="A391:D391"/>
    <mergeCell ref="E391:G391"/>
    <mergeCell ref="A372:B372"/>
    <mergeCell ref="A373:B373"/>
    <mergeCell ref="H373:H376"/>
    <mergeCell ref="A374:B374"/>
    <mergeCell ref="A375:B375"/>
    <mergeCell ref="H781:H784"/>
    <mergeCell ref="A782:B782"/>
    <mergeCell ref="A392:B392"/>
    <mergeCell ref="A393:B393"/>
    <mergeCell ref="A378:B378"/>
    <mergeCell ref="H379:H382"/>
    <mergeCell ref="A384:B384"/>
    <mergeCell ref="A385:E385"/>
    <mergeCell ref="H385:H388"/>
    <mergeCell ref="A386:E386"/>
    <mergeCell ref="A387:E387"/>
    <mergeCell ref="A388:E388"/>
    <mergeCell ref="A379:B379"/>
    <mergeCell ref="A380:B380"/>
    <mergeCell ref="B395:F396"/>
    <mergeCell ref="A398:B398"/>
    <mergeCell ref="A389:G389"/>
    <mergeCell ref="A758:B758"/>
    <mergeCell ref="A759:E759"/>
    <mergeCell ref="B926:F927"/>
    <mergeCell ref="A922:D922"/>
    <mergeCell ref="E922:G922"/>
    <mergeCell ref="H910:H913"/>
    <mergeCell ref="A915:B915"/>
    <mergeCell ref="A916:E916"/>
    <mergeCell ref="H916:H919"/>
    <mergeCell ref="A917:E917"/>
    <mergeCell ref="A918:E918"/>
    <mergeCell ref="A919:E919"/>
    <mergeCell ref="A920:G920"/>
    <mergeCell ref="A921:H921"/>
    <mergeCell ref="A862:B862"/>
    <mergeCell ref="A863:B863"/>
    <mergeCell ref="H863:H866"/>
    <mergeCell ref="A864:B864"/>
    <mergeCell ref="A865:B865"/>
    <mergeCell ref="A866:B866"/>
    <mergeCell ref="A899:B899"/>
    <mergeCell ref="A975:B975"/>
    <mergeCell ref="A976:B976"/>
    <mergeCell ref="A937:B937"/>
    <mergeCell ref="A938:B938"/>
    <mergeCell ref="H938:H942"/>
    <mergeCell ref="A939:B939"/>
    <mergeCell ref="A940:B940"/>
    <mergeCell ref="A923:B923"/>
    <mergeCell ref="A924:B924"/>
    <mergeCell ref="A929:B929"/>
    <mergeCell ref="A930:B930"/>
    <mergeCell ref="H930:H935"/>
    <mergeCell ref="A931:B931"/>
    <mergeCell ref="A932:B932"/>
    <mergeCell ref="A933:B933"/>
    <mergeCell ref="A934:B934"/>
    <mergeCell ref="A935:B935"/>
    <mergeCell ref="A900:B900"/>
    <mergeCell ref="A901:B901"/>
    <mergeCell ref="A884:B884"/>
    <mergeCell ref="H787:H789"/>
    <mergeCell ref="A788:B788"/>
    <mergeCell ref="A789:B789"/>
    <mergeCell ref="A793:B793"/>
    <mergeCell ref="A776:B776"/>
    <mergeCell ref="A777:B777"/>
    <mergeCell ref="A778:B778"/>
    <mergeCell ref="A814:B814"/>
    <mergeCell ref="A815:B815"/>
    <mergeCell ref="A816:B816"/>
    <mergeCell ref="A817:B817"/>
    <mergeCell ref="A804:D804"/>
    <mergeCell ref="E804:G804"/>
    <mergeCell ref="A805:B805"/>
    <mergeCell ref="A806:B806"/>
    <mergeCell ref="B808:F809"/>
    <mergeCell ref="A811:B811"/>
    <mergeCell ref="A797:B797"/>
    <mergeCell ref="A798:E798"/>
    <mergeCell ref="A898:B898"/>
    <mergeCell ref="A860:B860"/>
    <mergeCell ref="A773:B773"/>
    <mergeCell ref="H773:H778"/>
    <mergeCell ref="A774:B774"/>
    <mergeCell ref="A775:B775"/>
    <mergeCell ref="H792:H795"/>
    <mergeCell ref="A754:B754"/>
    <mergeCell ref="A765:D765"/>
    <mergeCell ref="E765:G765"/>
    <mergeCell ref="A766:B766"/>
    <mergeCell ref="A783:B783"/>
    <mergeCell ref="A784:B784"/>
    <mergeCell ref="A786:B786"/>
    <mergeCell ref="A787:B787"/>
    <mergeCell ref="H759:H762"/>
    <mergeCell ref="A760:E760"/>
    <mergeCell ref="A761:E761"/>
    <mergeCell ref="A762:E762"/>
    <mergeCell ref="A763:G763"/>
    <mergeCell ref="A764:H764"/>
    <mergeCell ref="A767:B767"/>
    <mergeCell ref="B769:F770"/>
    <mergeCell ref="A772:B772"/>
    <mergeCell ref="A740:B740"/>
    <mergeCell ref="H740:H744"/>
    <mergeCell ref="A741:B741"/>
    <mergeCell ref="A742:B742"/>
    <mergeCell ref="A743:B743"/>
    <mergeCell ref="A744:B744"/>
    <mergeCell ref="A746:B746"/>
    <mergeCell ref="A747:B747"/>
    <mergeCell ref="H747:H750"/>
    <mergeCell ref="A748:B748"/>
    <mergeCell ref="A749:B749"/>
    <mergeCell ref="A750:B750"/>
    <mergeCell ref="H11:H15"/>
    <mergeCell ref="A12:B12"/>
    <mergeCell ref="A13:B13"/>
    <mergeCell ref="A14:B14"/>
    <mergeCell ref="A15:B15"/>
    <mergeCell ref="A31:B31"/>
    <mergeCell ref="H32:H34"/>
    <mergeCell ref="A36:B36"/>
    <mergeCell ref="A739:B739"/>
    <mergeCell ref="A358:B358"/>
    <mergeCell ref="A376:B376"/>
    <mergeCell ref="A364:B364"/>
    <mergeCell ref="A365:B365"/>
    <mergeCell ref="H365:H370"/>
    <mergeCell ref="A366:B366"/>
    <mergeCell ref="A367:B367"/>
    <mergeCell ref="A368:B368"/>
    <mergeCell ref="A369:B369"/>
    <mergeCell ref="A370:B370"/>
    <mergeCell ref="H358:H362"/>
    <mergeCell ref="A359:B359"/>
    <mergeCell ref="A360:B360"/>
    <mergeCell ref="A361:B361"/>
    <mergeCell ref="A362:B362"/>
    <mergeCell ref="A1:H1"/>
    <mergeCell ref="A2:H3"/>
    <mergeCell ref="A4:B4"/>
    <mergeCell ref="D4:H4"/>
    <mergeCell ref="B7:F8"/>
    <mergeCell ref="B728:F729"/>
    <mergeCell ref="A731:B731"/>
    <mergeCell ref="A732:B732"/>
    <mergeCell ref="H732:H737"/>
    <mergeCell ref="A733:B733"/>
    <mergeCell ref="A734:B734"/>
    <mergeCell ref="A735:B735"/>
    <mergeCell ref="A736:B736"/>
    <mergeCell ref="A737:B737"/>
    <mergeCell ref="A17:B17"/>
    <mergeCell ref="A18:B18"/>
    <mergeCell ref="H18:H23"/>
    <mergeCell ref="A19:B19"/>
    <mergeCell ref="A20:B20"/>
    <mergeCell ref="A21:B21"/>
    <mergeCell ref="A22:B22"/>
    <mergeCell ref="A23:B23"/>
    <mergeCell ref="A10:B10"/>
    <mergeCell ref="A11:B11"/>
    <mergeCell ref="B47:F48"/>
    <mergeCell ref="A50:B50"/>
    <mergeCell ref="A51:B51"/>
    <mergeCell ref="H51:H55"/>
    <mergeCell ref="A52:B52"/>
    <mergeCell ref="A53:B53"/>
    <mergeCell ref="A54:B54"/>
    <mergeCell ref="A55:B55"/>
    <mergeCell ref="A41:G41"/>
    <mergeCell ref="A42:H42"/>
    <mergeCell ref="A43:D43"/>
    <mergeCell ref="E43:G43"/>
    <mergeCell ref="A44:B44"/>
    <mergeCell ref="A45:B45"/>
    <mergeCell ref="A37:E37"/>
    <mergeCell ref="H37:H40"/>
    <mergeCell ref="A38:E38"/>
    <mergeCell ref="A39:E39"/>
    <mergeCell ref="A40:E40"/>
    <mergeCell ref="A25:B25"/>
    <mergeCell ref="A26:B26"/>
    <mergeCell ref="H26:H29"/>
    <mergeCell ref="A27:B27"/>
    <mergeCell ref="A28:B28"/>
    <mergeCell ref="A29:B29"/>
    <mergeCell ref="A32:B32"/>
    <mergeCell ref="A33:B33"/>
    <mergeCell ref="A34:B34"/>
    <mergeCell ref="A67:B67"/>
    <mergeCell ref="H68:H70"/>
    <mergeCell ref="A72:B72"/>
    <mergeCell ref="A73:E73"/>
    <mergeCell ref="H73:H76"/>
    <mergeCell ref="A74:E74"/>
    <mergeCell ref="A75:E75"/>
    <mergeCell ref="A76:E76"/>
    <mergeCell ref="A57:B57"/>
    <mergeCell ref="A58:B58"/>
    <mergeCell ref="H58:H59"/>
    <mergeCell ref="A59:B59"/>
    <mergeCell ref="A61:B61"/>
    <mergeCell ref="A62:B62"/>
    <mergeCell ref="H62:H65"/>
    <mergeCell ref="A63:B63"/>
    <mergeCell ref="A64:B64"/>
    <mergeCell ref="A65:B65"/>
    <mergeCell ref="A68:B68"/>
    <mergeCell ref="A69:B69"/>
    <mergeCell ref="A86:B86"/>
    <mergeCell ref="A87:B87"/>
    <mergeCell ref="H87:H91"/>
    <mergeCell ref="A88:B88"/>
    <mergeCell ref="A89:B89"/>
    <mergeCell ref="A90:B90"/>
    <mergeCell ref="A91:B91"/>
    <mergeCell ref="B83:F84"/>
    <mergeCell ref="A77:G77"/>
    <mergeCell ref="A78:H78"/>
    <mergeCell ref="A79:D79"/>
    <mergeCell ref="E79:G79"/>
    <mergeCell ref="A80:B80"/>
    <mergeCell ref="A81:B81"/>
    <mergeCell ref="A116:D116"/>
    <mergeCell ref="E116:G116"/>
    <mergeCell ref="A117:B117"/>
    <mergeCell ref="A118:B118"/>
    <mergeCell ref="H105:H107"/>
    <mergeCell ref="A109:B109"/>
    <mergeCell ref="A110:E110"/>
    <mergeCell ref="H110:H113"/>
    <mergeCell ref="A111:E111"/>
    <mergeCell ref="A112:E112"/>
    <mergeCell ref="A113:E113"/>
    <mergeCell ref="A105:B105"/>
    <mergeCell ref="A106:B106"/>
    <mergeCell ref="A104:B104"/>
    <mergeCell ref="A93:B93"/>
    <mergeCell ref="A94:B94"/>
    <mergeCell ref="H94:H96"/>
    <mergeCell ref="A95:B95"/>
    <mergeCell ref="A96:B96"/>
    <mergeCell ref="A98:B98"/>
    <mergeCell ref="A114:G114"/>
    <mergeCell ref="A115:H115"/>
    <mergeCell ref="A99:B99"/>
    <mergeCell ref="H99:H102"/>
    <mergeCell ref="A100:B100"/>
    <mergeCell ref="A101:B101"/>
    <mergeCell ref="A102:B102"/>
    <mergeCell ref="A131:B131"/>
    <mergeCell ref="A132:B132"/>
    <mergeCell ref="H132:H134"/>
    <mergeCell ref="A133:B133"/>
    <mergeCell ref="A134:B134"/>
    <mergeCell ref="A136:B136"/>
    <mergeCell ref="B120:F121"/>
    <mergeCell ref="A123:B123"/>
    <mergeCell ref="A124:B124"/>
    <mergeCell ref="H124:H129"/>
    <mergeCell ref="A125:B125"/>
    <mergeCell ref="A126:B126"/>
    <mergeCell ref="A127:B127"/>
    <mergeCell ref="A128:B128"/>
    <mergeCell ref="A129:B129"/>
    <mergeCell ref="B158:F159"/>
    <mergeCell ref="A161:B161"/>
    <mergeCell ref="A162:B162"/>
    <mergeCell ref="H162:H165"/>
    <mergeCell ref="A163:B163"/>
    <mergeCell ref="A164:B164"/>
    <mergeCell ref="A165:B165"/>
    <mergeCell ref="A153:G153"/>
    <mergeCell ref="A154:H154"/>
    <mergeCell ref="A155:D155"/>
    <mergeCell ref="E155:G155"/>
    <mergeCell ref="A156:B156"/>
    <mergeCell ref="A157:B157"/>
    <mergeCell ref="A149:E149"/>
    <mergeCell ref="H149:H152"/>
    <mergeCell ref="A150:E150"/>
    <mergeCell ref="A151:E151"/>
    <mergeCell ref="A152:E152"/>
    <mergeCell ref="A137:B137"/>
    <mergeCell ref="H137:H140"/>
    <mergeCell ref="A138:B138"/>
    <mergeCell ref="A139:B139"/>
    <mergeCell ref="A140:B140"/>
    <mergeCell ref="A142:B142"/>
    <mergeCell ref="A143:B143"/>
    <mergeCell ref="A144:B144"/>
    <mergeCell ref="H143:H146"/>
    <mergeCell ref="A148:B148"/>
    <mergeCell ref="A203:B203"/>
    <mergeCell ref="A204:B204"/>
    <mergeCell ref="H204:H211"/>
    <mergeCell ref="A206:B206"/>
    <mergeCell ref="A207:B207"/>
    <mergeCell ref="A208:B208"/>
    <mergeCell ref="A209:B209"/>
    <mergeCell ref="A230:G230"/>
    <mergeCell ref="A167:B167"/>
    <mergeCell ref="A168:B168"/>
    <mergeCell ref="H168:H171"/>
    <mergeCell ref="A169:B169"/>
    <mergeCell ref="A171:B171"/>
    <mergeCell ref="A173:B173"/>
    <mergeCell ref="A190:H190"/>
    <mergeCell ref="A191:D191"/>
    <mergeCell ref="E191:G191"/>
    <mergeCell ref="A192:B192"/>
    <mergeCell ref="A193:B193"/>
    <mergeCell ref="A185:E185"/>
    <mergeCell ref="H185:H188"/>
    <mergeCell ref="A186:E186"/>
    <mergeCell ref="A187:E187"/>
    <mergeCell ref="A188:E188"/>
    <mergeCell ref="A174:B174"/>
    <mergeCell ref="H174:H176"/>
    <mergeCell ref="A175:B175"/>
    <mergeCell ref="A176:B176"/>
    <mergeCell ref="H179:H182"/>
    <mergeCell ref="A184:B184"/>
    <mergeCell ref="B194:F195"/>
    <mergeCell ref="A197:B197"/>
    <mergeCell ref="A198:B198"/>
    <mergeCell ref="H198:H201"/>
    <mergeCell ref="A199:B199"/>
    <mergeCell ref="A200:B200"/>
    <mergeCell ref="A201:B201"/>
    <mergeCell ref="A189:G189"/>
    <mergeCell ref="A179:B179"/>
    <mergeCell ref="A180:B180"/>
    <mergeCell ref="A233:B233"/>
    <mergeCell ref="A234:B234"/>
    <mergeCell ref="A211:B211"/>
    <mergeCell ref="A213:B213"/>
    <mergeCell ref="A214:B214"/>
    <mergeCell ref="H214:H217"/>
    <mergeCell ref="A215:B215"/>
    <mergeCell ref="A216:B216"/>
    <mergeCell ref="A217:B217"/>
    <mergeCell ref="A219:B219"/>
    <mergeCell ref="A220:B220"/>
    <mergeCell ref="A231:H231"/>
    <mergeCell ref="A232:D232"/>
    <mergeCell ref="E232:G232"/>
    <mergeCell ref="A242:B242"/>
    <mergeCell ref="A243:B243"/>
    <mergeCell ref="B236:F237"/>
    <mergeCell ref="H240:H244"/>
    <mergeCell ref="A244:B244"/>
    <mergeCell ref="A271:H271"/>
    <mergeCell ref="A266:E266"/>
    <mergeCell ref="A267:E267"/>
    <mergeCell ref="A268:E268"/>
    <mergeCell ref="A265:B265"/>
    <mergeCell ref="A253:B253"/>
    <mergeCell ref="A254:B254"/>
    <mergeCell ref="A255:B255"/>
    <mergeCell ref="A256:B256"/>
    <mergeCell ref="A260:B260"/>
    <mergeCell ref="A261:B261"/>
    <mergeCell ref="H247:H251"/>
    <mergeCell ref="A251:B251"/>
    <mergeCell ref="H254:H257"/>
    <mergeCell ref="A257:B257"/>
    <mergeCell ref="H260:H263"/>
    <mergeCell ref="A239:B239"/>
    <mergeCell ref="A240:B240"/>
    <mergeCell ref="A241:B241"/>
    <mergeCell ref="A293:B293"/>
    <mergeCell ref="A294:B294"/>
    <mergeCell ref="H294:H297"/>
    <mergeCell ref="A295:B295"/>
    <mergeCell ref="A296:B296"/>
    <mergeCell ref="A297:B297"/>
    <mergeCell ref="A286:B286"/>
    <mergeCell ref="A287:B287"/>
    <mergeCell ref="H287:H291"/>
    <mergeCell ref="A288:B288"/>
    <mergeCell ref="A289:B289"/>
    <mergeCell ref="A290:B290"/>
    <mergeCell ref="A291:B291"/>
    <mergeCell ref="A281:B281"/>
    <mergeCell ref="H281:H284"/>
    <mergeCell ref="A282:B282"/>
    <mergeCell ref="A283:B283"/>
    <mergeCell ref="A284:B284"/>
    <mergeCell ref="A272:D272"/>
    <mergeCell ref="E272:G272"/>
    <mergeCell ref="A274:B274"/>
    <mergeCell ref="A275:B275"/>
    <mergeCell ref="A280:B280"/>
    <mergeCell ref="B277:F278"/>
    <mergeCell ref="H266:H269"/>
    <mergeCell ref="A269:E269"/>
    <mergeCell ref="A270:G270"/>
    <mergeCell ref="A246:B246"/>
    <mergeCell ref="A247:B247"/>
    <mergeCell ref="A248:B248"/>
    <mergeCell ref="A249:B249"/>
    <mergeCell ref="A250:B250"/>
    <mergeCell ref="A357:B357"/>
    <mergeCell ref="B316:F317"/>
    <mergeCell ref="A319:B319"/>
    <mergeCell ref="A320:B320"/>
    <mergeCell ref="H320:H323"/>
    <mergeCell ref="A321:B321"/>
    <mergeCell ref="A322:B322"/>
    <mergeCell ref="A323:B323"/>
    <mergeCell ref="A325:B325"/>
    <mergeCell ref="A348:G348"/>
    <mergeCell ref="A349:H349"/>
    <mergeCell ref="A350:D350"/>
    <mergeCell ref="E350:G350"/>
    <mergeCell ref="A351:B351"/>
    <mergeCell ref="A352:B352"/>
    <mergeCell ref="B354:F355"/>
    <mergeCell ref="A299:B299"/>
    <mergeCell ref="H300:H303"/>
    <mergeCell ref="A305:B305"/>
    <mergeCell ref="A306:E306"/>
    <mergeCell ref="H306:H309"/>
    <mergeCell ref="A307:E307"/>
    <mergeCell ref="A308:E308"/>
    <mergeCell ref="A309:E309"/>
    <mergeCell ref="A300:B300"/>
    <mergeCell ref="A301:B301"/>
    <mergeCell ref="H338:H341"/>
    <mergeCell ref="A339:B339"/>
    <mergeCell ref="A343:B343"/>
    <mergeCell ref="A344:E344"/>
    <mergeCell ref="H344:H347"/>
    <mergeCell ref="A345:E345"/>
    <mergeCell ref="A346:E346"/>
    <mergeCell ref="A347:E347"/>
    <mergeCell ref="A310:G310"/>
    <mergeCell ref="A311:H311"/>
    <mergeCell ref="A312:D312"/>
    <mergeCell ref="E312:G312"/>
    <mergeCell ref="A313:B313"/>
    <mergeCell ref="A314:B314"/>
    <mergeCell ref="A415:B415"/>
    <mergeCell ref="H415:H417"/>
    <mergeCell ref="A416:B416"/>
    <mergeCell ref="A417:B417"/>
    <mergeCell ref="H420:H424"/>
    <mergeCell ref="A326:B326"/>
    <mergeCell ref="H326:H329"/>
    <mergeCell ref="A327:B327"/>
    <mergeCell ref="A328:B328"/>
    <mergeCell ref="A329:B329"/>
    <mergeCell ref="A331:B331"/>
    <mergeCell ref="A332:B332"/>
    <mergeCell ref="H332:H335"/>
    <mergeCell ref="A333:B333"/>
    <mergeCell ref="A334:B334"/>
    <mergeCell ref="A335:B335"/>
    <mergeCell ref="A399:B399"/>
    <mergeCell ref="H399:H403"/>
    <mergeCell ref="A400:B400"/>
    <mergeCell ref="A401:B401"/>
    <mergeCell ref="A402:B402"/>
    <mergeCell ref="A403:B403"/>
    <mergeCell ref="A337:B337"/>
    <mergeCell ref="A338:B338"/>
    <mergeCell ref="A420:B420"/>
    <mergeCell ref="A421:B421"/>
    <mergeCell ref="A431:G431"/>
    <mergeCell ref="A432:H432"/>
    <mergeCell ref="A433:D433"/>
    <mergeCell ref="E433:G433"/>
    <mergeCell ref="A434:B434"/>
    <mergeCell ref="A435:B435"/>
    <mergeCell ref="A426:B426"/>
    <mergeCell ref="A427:E427"/>
    <mergeCell ref="H427:H430"/>
    <mergeCell ref="A428:E428"/>
    <mergeCell ref="A429:E429"/>
    <mergeCell ref="A430:E430"/>
    <mergeCell ref="A451:B451"/>
    <mergeCell ref="A450:B450"/>
    <mergeCell ref="A449:B449"/>
    <mergeCell ref="A448:B448"/>
    <mergeCell ref="H448:H454"/>
    <mergeCell ref="A469:E469"/>
    <mergeCell ref="H469:H472"/>
    <mergeCell ref="A468:B468"/>
    <mergeCell ref="A463:B463"/>
    <mergeCell ref="A462:B462"/>
    <mergeCell ref="H462:H466"/>
    <mergeCell ref="A459:B459"/>
    <mergeCell ref="A458:B458"/>
    <mergeCell ref="A457:B457"/>
    <mergeCell ref="H457:H459"/>
    <mergeCell ref="B479:F480"/>
    <mergeCell ref="A482:B482"/>
    <mergeCell ref="A483:B483"/>
    <mergeCell ref="H483:H487"/>
    <mergeCell ref="A484:B484"/>
    <mergeCell ref="A485:B485"/>
    <mergeCell ref="A486:B486"/>
    <mergeCell ref="A487:B487"/>
    <mergeCell ref="B437:F438"/>
    <mergeCell ref="A447:B447"/>
    <mergeCell ref="A445:B445"/>
    <mergeCell ref="A444:B444"/>
    <mergeCell ref="A443:B443"/>
    <mergeCell ref="A442:B442"/>
    <mergeCell ref="A441:B441"/>
    <mergeCell ref="H441:H445"/>
    <mergeCell ref="A440:B440"/>
    <mergeCell ref="A456:B456"/>
    <mergeCell ref="A454:B454"/>
    <mergeCell ref="A453:B453"/>
    <mergeCell ref="A472:E472"/>
    <mergeCell ref="A471:E471"/>
    <mergeCell ref="A470:E470"/>
    <mergeCell ref="A452:B452"/>
    <mergeCell ref="A489:B489"/>
    <mergeCell ref="A490:B490"/>
    <mergeCell ref="H490:H500"/>
    <mergeCell ref="A492:B492"/>
    <mergeCell ref="A496:B496"/>
    <mergeCell ref="A499:B499"/>
    <mergeCell ref="A500:B500"/>
    <mergeCell ref="A497:B497"/>
    <mergeCell ref="A498:B498"/>
    <mergeCell ref="E520:G520"/>
    <mergeCell ref="A521:B521"/>
    <mergeCell ref="A522:B522"/>
    <mergeCell ref="A502:B502"/>
    <mergeCell ref="A503:B503"/>
    <mergeCell ref="H503:H505"/>
    <mergeCell ref="A504:B504"/>
    <mergeCell ref="A505:B505"/>
    <mergeCell ref="H508:H511"/>
    <mergeCell ref="A508:B508"/>
    <mergeCell ref="A509:B509"/>
    <mergeCell ref="A559:E559"/>
    <mergeCell ref="A560:E560"/>
    <mergeCell ref="A544:B544"/>
    <mergeCell ref="A545:B545"/>
    <mergeCell ref="H545:H548"/>
    <mergeCell ref="A546:B546"/>
    <mergeCell ref="A513:B513"/>
    <mergeCell ref="A514:E514"/>
    <mergeCell ref="H514:H517"/>
    <mergeCell ref="A515:E515"/>
    <mergeCell ref="A516:E516"/>
    <mergeCell ref="A517:E517"/>
    <mergeCell ref="B524:F525"/>
    <mergeCell ref="A527:B527"/>
    <mergeCell ref="A528:B528"/>
    <mergeCell ref="H528:H533"/>
    <mergeCell ref="A529:B529"/>
    <mergeCell ref="A530:B530"/>
    <mergeCell ref="A531:B531"/>
    <mergeCell ref="A532:B532"/>
    <mergeCell ref="A533:B533"/>
    <mergeCell ref="A518:G518"/>
    <mergeCell ref="A519:H519"/>
    <mergeCell ref="A520:D520"/>
    <mergeCell ref="A535:B535"/>
    <mergeCell ref="A536:B536"/>
    <mergeCell ref="H536:H542"/>
    <mergeCell ref="A537:B537"/>
    <mergeCell ref="A538:B538"/>
    <mergeCell ref="A539:B539"/>
    <mergeCell ref="A540:B540"/>
    <mergeCell ref="A541:B541"/>
    <mergeCell ref="A542:B542"/>
    <mergeCell ref="A582:B582"/>
    <mergeCell ref="A583:B583"/>
    <mergeCell ref="A584:B584"/>
    <mergeCell ref="A585:B585"/>
    <mergeCell ref="A586:B586"/>
    <mergeCell ref="A604:G604"/>
    <mergeCell ref="A547:B547"/>
    <mergeCell ref="A548:B548"/>
    <mergeCell ref="H589:H592"/>
    <mergeCell ref="A590:B590"/>
    <mergeCell ref="A591:B591"/>
    <mergeCell ref="A592:B592"/>
    <mergeCell ref="A561:G561"/>
    <mergeCell ref="A562:H562"/>
    <mergeCell ref="A552:B552"/>
    <mergeCell ref="A563:D563"/>
    <mergeCell ref="E563:G563"/>
    <mergeCell ref="A565:B565"/>
    <mergeCell ref="A566:B566"/>
    <mergeCell ref="H551:H554"/>
    <mergeCell ref="A556:B556"/>
    <mergeCell ref="A557:E557"/>
    <mergeCell ref="H557:H560"/>
    <mergeCell ref="A558:E558"/>
    <mergeCell ref="A476:B476"/>
    <mergeCell ref="A475:D475"/>
    <mergeCell ref="E475:G475"/>
    <mergeCell ref="A627:B627"/>
    <mergeCell ref="A635:B635"/>
    <mergeCell ref="A634:B634"/>
    <mergeCell ref="B610:F611"/>
    <mergeCell ref="A613:B613"/>
    <mergeCell ref="A614:B614"/>
    <mergeCell ref="A615:B615"/>
    <mergeCell ref="A616:B616"/>
    <mergeCell ref="A617:B617"/>
    <mergeCell ref="A618:B618"/>
    <mergeCell ref="A619:B619"/>
    <mergeCell ref="B568:F569"/>
    <mergeCell ref="A571:B571"/>
    <mergeCell ref="A572:B572"/>
    <mergeCell ref="A573:B573"/>
    <mergeCell ref="A574:B574"/>
    <mergeCell ref="A575:B575"/>
    <mergeCell ref="A576:B576"/>
    <mergeCell ref="A577:B577"/>
    <mergeCell ref="A579:B579"/>
    <mergeCell ref="A580:B580"/>
    <mergeCell ref="A625:B625"/>
    <mergeCell ref="A491:B491"/>
    <mergeCell ref="A639:B639"/>
    <mergeCell ref="A628:B628"/>
    <mergeCell ref="A631:B631"/>
    <mergeCell ref="A605:H605"/>
    <mergeCell ref="A588:B588"/>
    <mergeCell ref="A589:B589"/>
    <mergeCell ref="H595:H597"/>
    <mergeCell ref="A599:B599"/>
    <mergeCell ref="A600:E600"/>
    <mergeCell ref="H600:H603"/>
    <mergeCell ref="A601:E601"/>
    <mergeCell ref="A602:E602"/>
    <mergeCell ref="A603:E603"/>
    <mergeCell ref="A595:B595"/>
    <mergeCell ref="A596:B596"/>
    <mergeCell ref="A621:B621"/>
    <mergeCell ref="A622:B622"/>
    <mergeCell ref="H614:H619"/>
    <mergeCell ref="H572:H577"/>
    <mergeCell ref="H634:H637"/>
    <mergeCell ref="H580:H586"/>
    <mergeCell ref="A581:B581"/>
    <mergeCell ref="A474:H474"/>
    <mergeCell ref="A473:G473"/>
    <mergeCell ref="A692:B692"/>
    <mergeCell ref="A685:D685"/>
    <mergeCell ref="E685:G685"/>
    <mergeCell ref="A686:B686"/>
    <mergeCell ref="A687:B687"/>
    <mergeCell ref="B689:F690"/>
    <mergeCell ref="A661:B661"/>
    <mergeCell ref="A662:B662"/>
    <mergeCell ref="H662:H664"/>
    <mergeCell ref="A663:B663"/>
    <mergeCell ref="A664:B664"/>
    <mergeCell ref="A666:B666"/>
    <mergeCell ref="A667:B667"/>
    <mergeCell ref="H667:H670"/>
    <mergeCell ref="A681:E681"/>
    <mergeCell ref="A606:D606"/>
    <mergeCell ref="A630:B630"/>
    <mergeCell ref="E606:G606"/>
    <mergeCell ref="A607:B607"/>
    <mergeCell ref="A608:B608"/>
    <mergeCell ref="H622:H625"/>
    <mergeCell ref="A623:B623"/>
    <mergeCell ref="H628:H631"/>
    <mergeCell ref="A629:B629"/>
    <mergeCell ref="A725:B725"/>
    <mergeCell ref="A701:B701"/>
    <mergeCell ref="A702:B702"/>
    <mergeCell ref="A703:B703"/>
    <mergeCell ref="A723:H723"/>
    <mergeCell ref="A724:D724"/>
    <mergeCell ref="E724:G724"/>
    <mergeCell ref="A713:B713"/>
    <mergeCell ref="A712:B712"/>
    <mergeCell ref="A640:E640"/>
    <mergeCell ref="H640:H643"/>
    <mergeCell ref="A641:E641"/>
    <mergeCell ref="A642:E642"/>
    <mergeCell ref="A643:E643"/>
    <mergeCell ref="A693:B693"/>
    <mergeCell ref="H701:H703"/>
    <mergeCell ref="A706:B706"/>
    <mergeCell ref="H706:H709"/>
    <mergeCell ref="A707:B707"/>
    <mergeCell ref="A705:B705"/>
    <mergeCell ref="A682:E682"/>
    <mergeCell ref="A683:G683"/>
    <mergeCell ref="A645:H645"/>
    <mergeCell ref="A646:D646"/>
    <mergeCell ref="E646:G646"/>
    <mergeCell ref="A647:B647"/>
    <mergeCell ref="A648:B648"/>
    <mergeCell ref="A700:B700"/>
    <mergeCell ref="A726:B726"/>
    <mergeCell ref="A720:E720"/>
    <mergeCell ref="A721:E721"/>
    <mergeCell ref="H712:H715"/>
    <mergeCell ref="A717:B717"/>
    <mergeCell ref="A718:E718"/>
    <mergeCell ref="H718:H721"/>
    <mergeCell ref="A719:E719"/>
    <mergeCell ref="A722:G722"/>
    <mergeCell ref="A684:H684"/>
    <mergeCell ref="A668:B668"/>
    <mergeCell ref="A669:B669"/>
    <mergeCell ref="A670:B670"/>
    <mergeCell ref="A673:B673"/>
    <mergeCell ref="H673:H676"/>
    <mergeCell ref="A674:B674"/>
    <mergeCell ref="A1001:G1001"/>
    <mergeCell ref="A1004:B1004"/>
    <mergeCell ref="A959:E959"/>
    <mergeCell ref="A960:E960"/>
    <mergeCell ref="A961:G961"/>
    <mergeCell ref="A962:H962"/>
    <mergeCell ref="A979:B979"/>
    <mergeCell ref="A980:B980"/>
    <mergeCell ref="A981:B981"/>
    <mergeCell ref="A982:B982"/>
    <mergeCell ref="A985:B985"/>
    <mergeCell ref="A986:B986"/>
    <mergeCell ref="A987:B987"/>
    <mergeCell ref="A988:B988"/>
    <mergeCell ref="A1000:E1000"/>
    <mergeCell ref="A999:E999"/>
    <mergeCell ref="A998:E998"/>
    <mergeCell ref="A963:D963"/>
    <mergeCell ref="H985:H988"/>
    <mergeCell ref="H991:H994"/>
    <mergeCell ref="A996:B996"/>
    <mergeCell ref="A997:E997"/>
    <mergeCell ref="H997:H1000"/>
    <mergeCell ref="A974:B974"/>
    <mergeCell ref="H979:H982"/>
    <mergeCell ref="A984:B984"/>
    <mergeCell ref="H220:H223"/>
    <mergeCell ref="A221:B221"/>
    <mergeCell ref="A225:B225"/>
    <mergeCell ref="A226:E226"/>
    <mergeCell ref="H226:H229"/>
    <mergeCell ref="A227:E227"/>
    <mergeCell ref="A228:E228"/>
    <mergeCell ref="A229:E229"/>
    <mergeCell ref="A495:B495"/>
    <mergeCell ref="A493:B493"/>
    <mergeCell ref="A494:B494"/>
    <mergeCell ref="H753:H756"/>
    <mergeCell ref="A477:B477"/>
    <mergeCell ref="A708:B708"/>
    <mergeCell ref="A709:B709"/>
    <mergeCell ref="H693:H698"/>
    <mergeCell ref="A694:B694"/>
    <mergeCell ref="A695:B695"/>
    <mergeCell ref="A696:B696"/>
    <mergeCell ref="A697:B697"/>
    <mergeCell ref="A698:B698"/>
    <mergeCell ref="A644:G644"/>
    <mergeCell ref="A1005:B1005"/>
    <mergeCell ref="A1003:D1003"/>
    <mergeCell ref="E1003:G1003"/>
    <mergeCell ref="A992:B992"/>
    <mergeCell ref="B650:F651"/>
    <mergeCell ref="A653:B653"/>
    <mergeCell ref="A654:B654"/>
    <mergeCell ref="H654:H659"/>
    <mergeCell ref="A655:B655"/>
    <mergeCell ref="A656:B656"/>
    <mergeCell ref="A657:B657"/>
    <mergeCell ref="A658:B658"/>
    <mergeCell ref="A659:B659"/>
    <mergeCell ref="A678:B678"/>
    <mergeCell ref="A679:E679"/>
    <mergeCell ref="H679:H682"/>
    <mergeCell ref="A680:E680"/>
    <mergeCell ref="E963:G963"/>
    <mergeCell ref="A964:B964"/>
    <mergeCell ref="A965:B965"/>
    <mergeCell ref="B967:F968"/>
    <mergeCell ref="A970:B970"/>
    <mergeCell ref="H971:H976"/>
    <mergeCell ref="A978:B978"/>
    <mergeCell ref="H1034:H1037"/>
    <mergeCell ref="A1035:E1035"/>
    <mergeCell ref="B1007:F1008"/>
    <mergeCell ref="A1010:B1010"/>
    <mergeCell ref="A1011:B1011"/>
    <mergeCell ref="H1011:H1014"/>
    <mergeCell ref="A1012:B1012"/>
    <mergeCell ref="A1013:B1013"/>
    <mergeCell ref="A1014:B1014"/>
    <mergeCell ref="A1016:B1016"/>
    <mergeCell ref="A1017:B1017"/>
    <mergeCell ref="H1017:H1020"/>
    <mergeCell ref="A1018:B1018"/>
    <mergeCell ref="A1020:B1020"/>
    <mergeCell ref="A1071:E1071"/>
    <mergeCell ref="A1072:E1072"/>
    <mergeCell ref="A1038:G1038"/>
    <mergeCell ref="A1039:H1039"/>
    <mergeCell ref="A1040:D1040"/>
    <mergeCell ref="E1040:G1040"/>
    <mergeCell ref="A1019:B1019"/>
    <mergeCell ref="B1043:F1044"/>
    <mergeCell ref="A1046:B1046"/>
    <mergeCell ref="A1047:B1047"/>
    <mergeCell ref="H1047:H1050"/>
    <mergeCell ref="A1048:B1048"/>
    <mergeCell ref="A1049:B1049"/>
    <mergeCell ref="A1050:B1050"/>
    <mergeCell ref="A1022:B1022"/>
    <mergeCell ref="A1023:B1023"/>
    <mergeCell ref="H1023:H1025"/>
    <mergeCell ref="A1024:B1024"/>
    <mergeCell ref="A1025:B1025"/>
    <mergeCell ref="A1028:B1028"/>
    <mergeCell ref="H1028:H1031"/>
    <mergeCell ref="A1029:B1029"/>
    <mergeCell ref="A1033:B1033"/>
    <mergeCell ref="A1034:E1034"/>
    <mergeCell ref="A1073:E1073"/>
    <mergeCell ref="A1056:B1056"/>
    <mergeCell ref="A1036:E1036"/>
    <mergeCell ref="A1037:E1037"/>
    <mergeCell ref="A1074:G1074"/>
    <mergeCell ref="A1075:H1075"/>
    <mergeCell ref="A1076:D1076"/>
    <mergeCell ref="E1076:G1076"/>
    <mergeCell ref="A1052:B1052"/>
    <mergeCell ref="A1053:B1053"/>
    <mergeCell ref="H1053:H1055"/>
    <mergeCell ref="A1054:B1054"/>
    <mergeCell ref="A1055:B1055"/>
    <mergeCell ref="A1058:B1058"/>
    <mergeCell ref="A1059:B1059"/>
    <mergeCell ref="H1059:H1061"/>
    <mergeCell ref="A1060:B1060"/>
    <mergeCell ref="A1061:B1061"/>
    <mergeCell ref="A1064:B1064"/>
    <mergeCell ref="H1064:H1067"/>
    <mergeCell ref="A1065:B1065"/>
    <mergeCell ref="A1069:B1069"/>
    <mergeCell ref="A1070:E1070"/>
    <mergeCell ref="H1070:H1073"/>
  </mergeCells>
  <printOptions horizontalCentered="1"/>
  <pageMargins left="1.1811023622047245" right="0.78740157480314965" top="1.3779527559055118" bottom="1.3779527559055118" header="0.31496062992125984" footer="0.31496062992125984"/>
  <pageSetup scale="47" orientation="portrait" r:id="rId1"/>
  <rowBreaks count="25" manualBreakCount="25">
    <brk id="45" max="16383" man="1"/>
    <brk id="81" max="16383" man="1"/>
    <brk id="118" max="16383" man="1"/>
    <brk id="193" max="16383" man="1"/>
    <brk id="234" max="16383" man="1"/>
    <brk id="275" max="16383" man="1"/>
    <brk id="314" max="16383" man="1"/>
    <brk id="352" max="16383" man="1"/>
    <brk id="393" max="16383" man="1"/>
    <brk id="435" max="16383" man="1"/>
    <brk id="477" max="16383" man="1"/>
    <brk id="522" max="16383" man="1"/>
    <brk id="566" max="16383" man="1"/>
    <brk id="608" max="16383" man="1"/>
    <brk id="648" max="16383" man="1"/>
    <brk id="687" max="16383" man="1"/>
    <brk id="726" max="16383" man="1"/>
    <brk id="767" max="16383" man="1"/>
    <brk id="806" max="16383" man="1"/>
    <brk id="845" max="16383" man="1"/>
    <brk id="884" max="16383" man="1"/>
    <brk id="924" max="16383" man="1"/>
    <brk id="965" max="16383" man="1"/>
    <brk id="1005" max="16383" man="1"/>
    <brk id="1076" max="16383" man="1"/>
  </rowBreaks>
  <colBreaks count="1" manualBreakCount="1">
    <brk id="8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FCB09-6E0E-455E-BCA1-5A70C2FD2A14}">
  <dimension ref="A1:J37"/>
  <sheetViews>
    <sheetView topLeftCell="A16" workbookViewId="0">
      <selection activeCell="H29" sqref="H29"/>
    </sheetView>
  </sheetViews>
  <sheetFormatPr baseColWidth="10" defaultRowHeight="12" x14ac:dyDescent="0.2"/>
  <cols>
    <col min="1" max="1" width="15.28515625" style="371" customWidth="1"/>
    <col min="2" max="2" width="11.42578125" style="371"/>
    <col min="3" max="3" width="14" style="371" customWidth="1"/>
    <col min="4" max="16384" width="11.42578125" style="371"/>
  </cols>
  <sheetData>
    <row r="1" spans="1:9" x14ac:dyDescent="0.2">
      <c r="A1" s="682"/>
      <c r="B1" s="682"/>
      <c r="C1" s="682"/>
      <c r="D1" s="682"/>
      <c r="E1" s="682"/>
      <c r="F1" s="682"/>
      <c r="G1" s="682"/>
    </row>
    <row r="2" spans="1:9" x14ac:dyDescent="0.2">
      <c r="A2" s="683" t="s">
        <v>282</v>
      </c>
      <c r="B2" s="683"/>
      <c r="C2" s="683"/>
      <c r="D2" s="683"/>
      <c r="E2" s="683"/>
      <c r="F2" s="683"/>
      <c r="G2" s="683"/>
    </row>
    <row r="3" spans="1:9" x14ac:dyDescent="0.2">
      <c r="A3" s="360" t="s">
        <v>283</v>
      </c>
      <c r="B3" s="358"/>
      <c r="C3" s="358"/>
      <c r="D3" s="358"/>
      <c r="E3" s="365" t="s">
        <v>252</v>
      </c>
      <c r="F3" s="372">
        <v>43798</v>
      </c>
      <c r="G3" s="366"/>
    </row>
    <row r="4" spans="1:9" x14ac:dyDescent="0.2">
      <c r="A4" s="682"/>
      <c r="B4" s="682"/>
      <c r="C4" s="682"/>
      <c r="D4" s="682"/>
      <c r="E4" s="682"/>
      <c r="F4" s="682"/>
      <c r="G4" s="682"/>
    </row>
    <row r="5" spans="1:9" x14ac:dyDescent="0.2">
      <c r="A5" s="684" t="s">
        <v>253</v>
      </c>
      <c r="B5" s="684"/>
      <c r="C5" s="684"/>
      <c r="D5" s="684"/>
      <c r="E5" s="684"/>
      <c r="F5" s="684"/>
      <c r="G5" s="684"/>
    </row>
    <row r="6" spans="1:9" x14ac:dyDescent="0.2">
      <c r="A6" s="685" t="s">
        <v>254</v>
      </c>
      <c r="B6" s="685"/>
      <c r="C6" s="351" t="s">
        <v>255</v>
      </c>
      <c r="D6" s="351" t="s">
        <v>256</v>
      </c>
      <c r="E6" s="351" t="s">
        <v>257</v>
      </c>
      <c r="F6" s="351" t="s">
        <v>258</v>
      </c>
      <c r="G6" s="352"/>
    </row>
    <row r="7" spans="1:9" x14ac:dyDescent="0.2">
      <c r="A7" s="679" t="s">
        <v>70</v>
      </c>
      <c r="B7" s="679"/>
      <c r="C7" s="353" t="s">
        <v>259</v>
      </c>
      <c r="D7" s="354"/>
      <c r="E7" s="354"/>
      <c r="F7" s="354">
        <f>0.05*G33</f>
        <v>2192.1111111111109</v>
      </c>
      <c r="G7" s="355"/>
    </row>
    <row r="8" spans="1:9" ht="27" customHeight="1" x14ac:dyDescent="0.2">
      <c r="A8" s="680" t="s">
        <v>274</v>
      </c>
      <c r="B8" s="680"/>
      <c r="C8" s="353" t="s">
        <v>260</v>
      </c>
      <c r="D8" s="354">
        <f>60000/8</f>
        <v>7500</v>
      </c>
      <c r="E8" s="354">
        <v>0.85</v>
      </c>
      <c r="F8" s="354">
        <f>D8/E8</f>
        <v>8823.5294117647063</v>
      </c>
      <c r="G8" s="355"/>
    </row>
    <row r="9" spans="1:9" x14ac:dyDescent="0.2">
      <c r="A9" s="679"/>
      <c r="B9" s="679"/>
      <c r="C9" s="356"/>
      <c r="D9" s="354"/>
      <c r="E9" s="354"/>
      <c r="F9" s="354"/>
      <c r="G9" s="357"/>
    </row>
    <row r="10" spans="1:9" x14ac:dyDescent="0.2">
      <c r="A10" s="681"/>
      <c r="B10" s="681"/>
      <c r="C10" s="358"/>
      <c r="D10" s="358"/>
      <c r="E10" s="359" t="s">
        <v>261</v>
      </c>
      <c r="F10" s="359" t="s">
        <v>262</v>
      </c>
      <c r="G10" s="354">
        <f>SUM(F7:F9)</f>
        <v>11015.640522875818</v>
      </c>
    </row>
    <row r="11" spans="1:9" x14ac:dyDescent="0.2">
      <c r="A11" s="686"/>
      <c r="B11" s="686"/>
      <c r="C11" s="358"/>
      <c r="D11" s="358"/>
      <c r="E11" s="358"/>
      <c r="F11" s="358"/>
      <c r="G11" s="358"/>
    </row>
    <row r="12" spans="1:9" x14ac:dyDescent="0.2">
      <c r="A12" s="684" t="s">
        <v>263</v>
      </c>
      <c r="B12" s="684"/>
      <c r="C12" s="360"/>
      <c r="D12" s="358"/>
      <c r="E12" s="358"/>
      <c r="F12" s="358"/>
      <c r="G12" s="358"/>
    </row>
    <row r="13" spans="1:9" x14ac:dyDescent="0.2">
      <c r="A13" s="685" t="s">
        <v>254</v>
      </c>
      <c r="B13" s="685"/>
      <c r="C13" s="351" t="s">
        <v>3</v>
      </c>
      <c r="D13" s="351" t="s">
        <v>264</v>
      </c>
      <c r="E13" s="351" t="s">
        <v>165</v>
      </c>
      <c r="F13" s="351" t="s">
        <v>258</v>
      </c>
      <c r="G13" s="352"/>
    </row>
    <row r="14" spans="1:9" x14ac:dyDescent="0.2">
      <c r="A14" s="679" t="s">
        <v>275</v>
      </c>
      <c r="B14" s="679"/>
      <c r="C14" s="353" t="s">
        <v>16</v>
      </c>
      <c r="D14" s="354">
        <v>130000</v>
      </c>
      <c r="E14" s="361">
        <v>0.84</v>
      </c>
      <c r="F14" s="354">
        <f>D14*E14</f>
        <v>109200</v>
      </c>
      <c r="G14" s="355"/>
      <c r="I14" s="371" t="s">
        <v>279</v>
      </c>
    </row>
    <row r="15" spans="1:9" x14ac:dyDescent="0.2">
      <c r="A15" s="679" t="s">
        <v>276</v>
      </c>
      <c r="B15" s="679"/>
      <c r="C15" s="353" t="s">
        <v>16</v>
      </c>
      <c r="D15" s="354">
        <v>110000</v>
      </c>
      <c r="E15" s="361">
        <v>0.56000000000000005</v>
      </c>
      <c r="F15" s="354">
        <f>D15*E15</f>
        <v>61600.000000000007</v>
      </c>
      <c r="G15" s="355"/>
      <c r="I15" s="371" t="s">
        <v>280</v>
      </c>
    </row>
    <row r="16" spans="1:9" x14ac:dyDescent="0.2">
      <c r="A16" s="679" t="s">
        <v>227</v>
      </c>
      <c r="B16" s="679"/>
      <c r="C16" s="353" t="s">
        <v>278</v>
      </c>
      <c r="D16" s="354">
        <v>20</v>
      </c>
      <c r="E16" s="362">
        <v>180</v>
      </c>
      <c r="F16" s="354">
        <f>D16*E16</f>
        <v>3600</v>
      </c>
      <c r="G16" s="355"/>
    </row>
    <row r="17" spans="1:9" x14ac:dyDescent="0.2">
      <c r="A17" s="679" t="s">
        <v>277</v>
      </c>
      <c r="B17" s="679"/>
      <c r="C17" s="353" t="s">
        <v>230</v>
      </c>
      <c r="D17" s="354">
        <v>580</v>
      </c>
      <c r="E17" s="362">
        <v>350</v>
      </c>
      <c r="F17" s="354">
        <f>D17*E17</f>
        <v>203000</v>
      </c>
      <c r="G17" s="355"/>
      <c r="I17" s="371" t="s">
        <v>281</v>
      </c>
    </row>
    <row r="18" spans="1:9" x14ac:dyDescent="0.2">
      <c r="A18" s="679" t="s">
        <v>265</v>
      </c>
      <c r="B18" s="679"/>
      <c r="C18" s="353"/>
      <c r="D18" s="354"/>
      <c r="E18" s="361"/>
      <c r="F18" s="354">
        <f>(SUM(F14:F17))*0.03</f>
        <v>11322</v>
      </c>
      <c r="G18" s="355"/>
    </row>
    <row r="19" spans="1:9" x14ac:dyDescent="0.2">
      <c r="A19" s="679"/>
      <c r="B19" s="679"/>
      <c r="C19" s="353"/>
      <c r="D19" s="354"/>
      <c r="E19" s="361"/>
      <c r="F19" s="354"/>
      <c r="G19" s="355"/>
    </row>
    <row r="20" spans="1:9" x14ac:dyDescent="0.2">
      <c r="A20" s="681"/>
      <c r="B20" s="681"/>
      <c r="C20" s="358"/>
      <c r="D20" s="358"/>
      <c r="E20" s="359" t="s">
        <v>261</v>
      </c>
      <c r="F20" s="359" t="s">
        <v>262</v>
      </c>
      <c r="G20" s="354">
        <f>SUM(F14:F19)</f>
        <v>388722</v>
      </c>
    </row>
    <row r="21" spans="1:9" x14ac:dyDescent="0.2">
      <c r="A21" s="686"/>
      <c r="B21" s="686"/>
      <c r="C21" s="358"/>
      <c r="D21" s="358"/>
      <c r="E21" s="358"/>
      <c r="F21" s="358"/>
      <c r="G21" s="358"/>
    </row>
    <row r="22" spans="1:9" x14ac:dyDescent="0.2">
      <c r="A22" s="684" t="s">
        <v>266</v>
      </c>
      <c r="B22" s="684"/>
      <c r="C22" s="360"/>
      <c r="D22" s="358"/>
      <c r="E22" s="358"/>
      <c r="F22" s="358"/>
      <c r="G22" s="358"/>
    </row>
    <row r="23" spans="1:9" x14ac:dyDescent="0.2">
      <c r="A23" s="363" t="s">
        <v>254</v>
      </c>
      <c r="B23" s="363" t="s">
        <v>267</v>
      </c>
      <c r="C23" s="351" t="s">
        <v>268</v>
      </c>
      <c r="D23" s="351" t="s">
        <v>269</v>
      </c>
      <c r="E23" s="351" t="s">
        <v>270</v>
      </c>
      <c r="F23" s="351" t="s">
        <v>258</v>
      </c>
      <c r="G23" s="352"/>
    </row>
    <row r="24" spans="1:9" x14ac:dyDescent="0.2">
      <c r="A24" s="356"/>
      <c r="B24" s="356"/>
      <c r="C24" s="356"/>
      <c r="D24" s="356"/>
      <c r="E24" s="367"/>
      <c r="F24" s="367">
        <f>+E24*D24</f>
        <v>0</v>
      </c>
      <c r="G24" s="355"/>
    </row>
    <row r="25" spans="1:9" x14ac:dyDescent="0.2">
      <c r="A25" s="363"/>
      <c r="B25" s="363"/>
      <c r="C25" s="356"/>
      <c r="D25" s="354"/>
      <c r="E25" s="354"/>
      <c r="F25" s="354">
        <f>+E25*D25</f>
        <v>0</v>
      </c>
      <c r="G25" s="355"/>
    </row>
    <row r="26" spans="1:9" x14ac:dyDescent="0.2">
      <c r="A26" s="363"/>
      <c r="B26" s="363"/>
      <c r="C26" s="356"/>
      <c r="D26" s="354"/>
      <c r="E26" s="354"/>
      <c r="F26" s="354">
        <f>+E26*D26</f>
        <v>0</v>
      </c>
      <c r="G26" s="355"/>
    </row>
    <row r="27" spans="1:9" x14ac:dyDescent="0.2">
      <c r="A27" s="681"/>
      <c r="B27" s="681"/>
      <c r="C27" s="358"/>
      <c r="D27" s="358"/>
      <c r="E27" s="359" t="s">
        <v>261</v>
      </c>
      <c r="F27" s="359" t="s">
        <v>262</v>
      </c>
      <c r="G27" s="354">
        <f>SUM(F24:F26)</f>
        <v>0</v>
      </c>
    </row>
    <row r="28" spans="1:9" x14ac:dyDescent="0.2">
      <c r="A28" s="686"/>
      <c r="B28" s="686"/>
      <c r="C28" s="358"/>
      <c r="D28" s="358"/>
      <c r="E28" s="358"/>
      <c r="F28" s="358"/>
      <c r="G28" s="358"/>
    </row>
    <row r="29" spans="1:9" x14ac:dyDescent="0.2">
      <c r="A29" s="684" t="s">
        <v>271</v>
      </c>
      <c r="B29" s="684"/>
      <c r="C29" s="360"/>
      <c r="D29" s="358"/>
      <c r="E29" s="358"/>
      <c r="F29" s="358"/>
      <c r="G29" s="358"/>
    </row>
    <row r="30" spans="1:9" x14ac:dyDescent="0.2">
      <c r="A30" s="351" t="s">
        <v>254</v>
      </c>
      <c r="B30" s="351" t="s">
        <v>190</v>
      </c>
      <c r="C30" s="351" t="s">
        <v>272</v>
      </c>
      <c r="D30" s="351" t="s">
        <v>256</v>
      </c>
      <c r="E30" s="351" t="s">
        <v>257</v>
      </c>
      <c r="F30" s="351" t="s">
        <v>258</v>
      </c>
      <c r="G30" s="352"/>
    </row>
    <row r="31" spans="1:9" x14ac:dyDescent="0.2">
      <c r="A31" s="356" t="str">
        <f>[8]personal!B33</f>
        <v>CUADRILLA 3</v>
      </c>
      <c r="B31" s="368">
        <f>+'CUADRILLAS DE OBRA'!D29</f>
        <v>166563.1</v>
      </c>
      <c r="C31" s="369">
        <f>+PRESTACIONES!E28</f>
        <v>0.8952</v>
      </c>
      <c r="D31" s="368">
        <f>+'CUADRILLAS DE OBRA'!G29</f>
        <v>39458</v>
      </c>
      <c r="E31" s="367">
        <v>0.9</v>
      </c>
      <c r="F31" s="368">
        <f>D31/E31</f>
        <v>43842.222222222219</v>
      </c>
      <c r="G31" s="355"/>
    </row>
    <row r="32" spans="1:9" x14ac:dyDescent="0.2">
      <c r="A32" s="356"/>
      <c r="B32" s="354"/>
      <c r="C32" s="354"/>
      <c r="D32" s="354"/>
      <c r="E32" s="361"/>
      <c r="F32" s="354"/>
      <c r="G32" s="355"/>
    </row>
    <row r="33" spans="1:10" x14ac:dyDescent="0.2">
      <c r="A33" s="358"/>
      <c r="B33" s="358"/>
      <c r="C33" s="358"/>
      <c r="D33" s="358"/>
      <c r="E33" s="359" t="s">
        <v>261</v>
      </c>
      <c r="F33" s="359" t="s">
        <v>262</v>
      </c>
      <c r="G33" s="354">
        <f>SUM(F31:F32)</f>
        <v>43842.222222222219</v>
      </c>
    </row>
    <row r="34" spans="1:10" x14ac:dyDescent="0.2">
      <c r="A34" s="358"/>
      <c r="B34" s="358"/>
      <c r="C34" s="358"/>
      <c r="D34" s="358"/>
      <c r="E34" s="358"/>
      <c r="F34" s="358"/>
      <c r="G34" s="358"/>
    </row>
    <row r="35" spans="1:10" x14ac:dyDescent="0.2">
      <c r="A35" s="358"/>
      <c r="B35" s="358"/>
      <c r="C35" s="358"/>
      <c r="D35" s="364" t="s">
        <v>273</v>
      </c>
      <c r="E35" s="358"/>
      <c r="F35" s="359" t="s">
        <v>262</v>
      </c>
      <c r="G35" s="370">
        <f>ROUND(G33+G27+G20+G10,0)</f>
        <v>443580</v>
      </c>
      <c r="J35" s="373"/>
    </row>
    <row r="36" spans="1:10" x14ac:dyDescent="0.2">
      <c r="A36" s="358"/>
      <c r="B36" s="358"/>
      <c r="C36" s="358"/>
      <c r="D36" s="358"/>
      <c r="E36" s="358"/>
      <c r="F36" s="358"/>
      <c r="G36" s="358"/>
    </row>
    <row r="37" spans="1:10" x14ac:dyDescent="0.2">
      <c r="A37" s="419" t="s">
        <v>234</v>
      </c>
      <c r="B37" s="419"/>
    </row>
  </sheetData>
  <mergeCells count="24">
    <mergeCell ref="A29:B29"/>
    <mergeCell ref="A17:B17"/>
    <mergeCell ref="A18:B18"/>
    <mergeCell ref="A19:B19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7:B27"/>
    <mergeCell ref="A28:B28"/>
    <mergeCell ref="A7:B7"/>
    <mergeCell ref="A8:B8"/>
    <mergeCell ref="A9:B9"/>
    <mergeCell ref="A10:B10"/>
    <mergeCell ref="A1:G1"/>
    <mergeCell ref="A2:G2"/>
    <mergeCell ref="A4:G4"/>
    <mergeCell ref="A5:G5"/>
    <mergeCell ref="A6:B6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B44B-4915-4818-81A5-930AACDF4CD9}">
  <dimension ref="A1:J46"/>
  <sheetViews>
    <sheetView view="pageBreakPreview" zoomScale="60" zoomScaleNormal="70" workbookViewId="0">
      <pane ySplit="6" topLeftCell="A43" activePane="bottomLeft" state="frozen"/>
      <selection pane="bottomLeft" activeCell="G58" sqref="G58:G59"/>
    </sheetView>
  </sheetViews>
  <sheetFormatPr baseColWidth="10" defaultRowHeight="15" x14ac:dyDescent="0.25"/>
  <cols>
    <col min="1" max="1" width="5.28515625" customWidth="1"/>
    <col min="2" max="2" width="33.85546875" style="139" customWidth="1"/>
    <col min="3" max="3" width="17.28515625" style="87" customWidth="1"/>
    <col min="4" max="4" width="11.42578125" style="154"/>
    <col min="5" max="10" width="11.42578125" style="157"/>
  </cols>
  <sheetData>
    <row r="1" spans="1:10" x14ac:dyDescent="0.25">
      <c r="A1" s="652" t="str">
        <f>APUS!A1</f>
        <v>PRESUPUESTO OFICIAL DE OBRA VEREDA SAN RAFAEL- MUNICIPIO DE MORALES</v>
      </c>
      <c r="B1" s="652"/>
      <c r="C1" s="652"/>
      <c r="D1" s="652"/>
      <c r="E1" s="652"/>
      <c r="F1" s="652"/>
      <c r="G1" s="652"/>
      <c r="H1" s="652"/>
      <c r="I1" s="652"/>
      <c r="J1" s="652"/>
    </row>
    <row r="2" spans="1:10" ht="15" customHeight="1" x14ac:dyDescent="0.25">
      <c r="A2" s="687" t="str">
        <f>PRESUPUESTO!A2</f>
        <v>EJECUCIÓN DE ACCIÓN DE MEJORAMIENTO AMBIENTAL Y PAISAJÍSTICO DE LA ZONA VERDE COMPLEMENTARIA AL ESPACIO PÚBLICO DEL ESCENARIO DEPORTIVO EXISTENTE EN LA VEREDA SAN RAFAEL, MUNICIPIO DE MORALES, DEPARTAMENTO DEL CAUCA</v>
      </c>
      <c r="B2" s="687"/>
      <c r="C2" s="687"/>
      <c r="D2" s="687"/>
      <c r="E2" s="687"/>
      <c r="F2" s="687"/>
      <c r="G2" s="687"/>
      <c r="H2" s="687"/>
      <c r="I2" s="687"/>
      <c r="J2" s="687"/>
    </row>
    <row r="3" spans="1:10" x14ac:dyDescent="0.25">
      <c r="A3" s="687"/>
      <c r="B3" s="687"/>
      <c r="C3" s="687"/>
      <c r="D3" s="687"/>
      <c r="E3" s="687"/>
      <c r="F3" s="687"/>
      <c r="G3" s="687"/>
      <c r="H3" s="687"/>
      <c r="I3" s="687"/>
      <c r="J3" s="687"/>
    </row>
    <row r="4" spans="1:10" x14ac:dyDescent="0.25">
      <c r="A4" s="652" t="str">
        <f>APUS!A4</f>
        <v>FECHA: 09-JUNIO-2021</v>
      </c>
      <c r="B4" s="652"/>
      <c r="C4" s="151" t="s">
        <v>0</v>
      </c>
      <c r="D4" s="652" t="str">
        <f>[7]PRESUPUESTO!D4</f>
        <v>ARQ. MILAGROS HERNÁNDEZ T.</v>
      </c>
      <c r="E4" s="652"/>
      <c r="F4" s="652"/>
      <c r="G4" s="652"/>
      <c r="H4" s="652"/>
      <c r="I4" s="652"/>
      <c r="J4" s="652"/>
    </row>
    <row r="5" spans="1:10" ht="15.75" thickBot="1" x14ac:dyDescent="0.3"/>
    <row r="6" spans="1:10" ht="27" customHeight="1" thickBot="1" x14ac:dyDescent="0.3">
      <c r="A6" s="146" t="s">
        <v>1</v>
      </c>
      <c r="B6" s="144" t="s">
        <v>2</v>
      </c>
      <c r="C6" s="147" t="s">
        <v>119</v>
      </c>
      <c r="D6" s="142" t="s">
        <v>120</v>
      </c>
      <c r="E6" s="142" t="s">
        <v>121</v>
      </c>
      <c r="F6" s="142" t="s">
        <v>124</v>
      </c>
      <c r="G6" s="142" t="s">
        <v>122</v>
      </c>
      <c r="H6" s="142" t="s">
        <v>125</v>
      </c>
      <c r="I6" s="142" t="s">
        <v>123</v>
      </c>
      <c r="J6" s="142" t="s">
        <v>126</v>
      </c>
    </row>
    <row r="7" spans="1:10" x14ac:dyDescent="0.25">
      <c r="A7" s="145">
        <f>CANTIDADES!A7</f>
        <v>1</v>
      </c>
      <c r="B7" s="143" t="str">
        <f>CANTIDADES!B7</f>
        <v>PRELIMINARES</v>
      </c>
      <c r="C7" s="152"/>
      <c r="D7" s="155"/>
      <c r="E7" s="158"/>
      <c r="F7" s="158"/>
      <c r="G7" s="158"/>
      <c r="H7" s="158"/>
      <c r="I7" s="158"/>
      <c r="J7" s="158"/>
    </row>
    <row r="8" spans="1:10" x14ac:dyDescent="0.25">
      <c r="A8" s="8">
        <v>1.1000000000000001</v>
      </c>
      <c r="B8" s="141" t="str">
        <f>CANTIDADES!B8</f>
        <v>Localización y Replanteo</v>
      </c>
      <c r="C8" s="61">
        <f>PRESUPUESTO!F8</f>
        <v>800800</v>
      </c>
      <c r="D8" s="156" t="e">
        <f>C8/C41</f>
        <v>#REF!</v>
      </c>
      <c r="E8" s="279" t="e">
        <f>D8</f>
        <v>#REF!</v>
      </c>
      <c r="F8" s="159"/>
      <c r="G8" s="159"/>
      <c r="H8" s="159"/>
      <c r="I8" s="159"/>
      <c r="J8" s="159"/>
    </row>
    <row r="9" spans="1:10" ht="16.5" customHeight="1" x14ac:dyDescent="0.25">
      <c r="A9" s="6">
        <f>CANTIDADES!A9</f>
        <v>2</v>
      </c>
      <c r="B9" s="140" t="str">
        <f>CANTIDADES!B9</f>
        <v>EXCAVACIONES, RELLENOS Y RETIRO</v>
      </c>
      <c r="C9" s="152"/>
      <c r="D9" s="155"/>
      <c r="E9" s="279"/>
      <c r="F9" s="278"/>
      <c r="G9" s="278"/>
      <c r="H9" s="278"/>
      <c r="I9" s="278"/>
      <c r="J9" s="278"/>
    </row>
    <row r="10" spans="1:10" ht="34.5" customHeight="1" x14ac:dyDescent="0.25">
      <c r="A10" s="138">
        <f>CANTIDADES!A10</f>
        <v>2.1</v>
      </c>
      <c r="B10" s="7" t="str">
        <f>CANTIDADES!B10</f>
        <v>Excavacion a mano en material común prof hasta 0,60m</v>
      </c>
      <c r="C10" s="61">
        <f>PRESUPUESTO!F10</f>
        <v>1107372</v>
      </c>
      <c r="D10" s="156" t="e">
        <f>C10/C41</f>
        <v>#REF!</v>
      </c>
      <c r="E10" s="279" t="e">
        <f>D10</f>
        <v>#REF!</v>
      </c>
      <c r="F10" s="159"/>
      <c r="G10" s="159"/>
      <c r="H10" s="159"/>
      <c r="I10" s="159"/>
      <c r="J10" s="159"/>
    </row>
    <row r="11" spans="1:10" ht="48" customHeight="1" x14ac:dyDescent="0.25">
      <c r="A11" s="138">
        <f>CANTIDADES!A24</f>
        <v>2.2000000000000002</v>
      </c>
      <c r="B11" s="7" t="str">
        <f>CANTIDADES!B24</f>
        <v xml:space="preserve">Suministro, instalación, compactación y nivelación de material de prestamo (tierra amarilla) para conformación de Relleno </v>
      </c>
      <c r="C11" s="61">
        <f>PRESUPUESTO!F11</f>
        <v>973924</v>
      </c>
      <c r="D11" s="156" t="e">
        <f>C11/C41</f>
        <v>#REF!</v>
      </c>
      <c r="E11" s="279" t="e">
        <f>D11/2</f>
        <v>#REF!</v>
      </c>
      <c r="F11" s="279" t="e">
        <f>D11/2</f>
        <v>#REF!</v>
      </c>
      <c r="G11" s="159"/>
      <c r="H11" s="159"/>
      <c r="I11" s="159"/>
      <c r="J11" s="159"/>
    </row>
    <row r="12" spans="1:10" ht="34.5" customHeight="1" x14ac:dyDescent="0.25">
      <c r="A12" s="138">
        <f>CANTIDADES!A25</f>
        <v>2.2999999999999998</v>
      </c>
      <c r="B12" s="7" t="str">
        <f>CANTIDADES!B25</f>
        <v>Retiro de material sobrante hasta sitio autorizado</v>
      </c>
      <c r="C12" s="61">
        <f>PRESUPUESTO!F12</f>
        <v>1843800</v>
      </c>
      <c r="D12" s="156" t="e">
        <f>C12/C41</f>
        <v>#REF!</v>
      </c>
      <c r="E12" s="159"/>
      <c r="F12" s="159"/>
      <c r="G12" s="159"/>
      <c r="H12" s="159"/>
      <c r="I12" s="159"/>
      <c r="J12" s="280" t="e">
        <f>D12</f>
        <v>#REF!</v>
      </c>
    </row>
    <row r="13" spans="1:10" ht="16.5" customHeight="1" x14ac:dyDescent="0.25">
      <c r="A13" s="6">
        <f>CANTIDADES!A26</f>
        <v>3</v>
      </c>
      <c r="B13" s="140" t="str">
        <f>CANTIDADES!B26</f>
        <v xml:space="preserve">ESTRUCTURAS EN CONCRETOS </v>
      </c>
      <c r="C13" s="152"/>
      <c r="D13" s="155"/>
      <c r="E13" s="278"/>
      <c r="F13" s="278"/>
      <c r="G13" s="278"/>
      <c r="H13" s="278"/>
      <c r="I13" s="278"/>
      <c r="J13" s="278"/>
    </row>
    <row r="14" spans="1:10" ht="68.25" customHeight="1" x14ac:dyDescent="0.25">
      <c r="A14" s="138" t="s">
        <v>141</v>
      </c>
      <c r="B14" s="7" t="e">
        <f>PRESUPUESTO!#REF!</f>
        <v>#REF!</v>
      </c>
      <c r="C14" s="61" t="e">
        <f>PRESUPUESTO!#REF!</f>
        <v>#REF!</v>
      </c>
      <c r="D14" s="156" t="e">
        <f>C14/C41</f>
        <v>#REF!</v>
      </c>
      <c r="E14" s="159"/>
      <c r="F14" s="280" t="e">
        <f>D14/2</f>
        <v>#REF!</v>
      </c>
      <c r="G14" s="280" t="e">
        <f>D14/2</f>
        <v>#REF!</v>
      </c>
      <c r="H14" s="159"/>
      <c r="I14" s="159"/>
      <c r="J14" s="159"/>
    </row>
    <row r="15" spans="1:10" ht="55.5" customHeight="1" x14ac:dyDescent="0.25">
      <c r="A15" s="258" t="s">
        <v>142</v>
      </c>
      <c r="B15" s="7" t="e">
        <f>PRESUPUESTO!#REF!</f>
        <v>#REF!</v>
      </c>
      <c r="C15" s="61" t="e">
        <f>PRESUPUESTO!#REF!</f>
        <v>#REF!</v>
      </c>
      <c r="D15" s="156" t="e">
        <f>C15/C41</f>
        <v>#REF!</v>
      </c>
      <c r="E15" s="159"/>
      <c r="F15" s="159"/>
      <c r="G15" s="280" t="e">
        <f>D15</f>
        <v>#REF!</v>
      </c>
      <c r="H15" s="159"/>
      <c r="I15" s="159"/>
      <c r="J15" s="159"/>
    </row>
    <row r="16" spans="1:10" ht="60" x14ac:dyDescent="0.25">
      <c r="A16" s="138" t="str">
        <f>CANTIDADES!A27</f>
        <v>3.1</v>
      </c>
      <c r="B16" s="9" t="str">
        <f>PRESUPUESTO!B14</f>
        <v>Huellas en concreto ciclopeo 3000 PSI-21Mpa, ANCHO= 35 cm x L= 1,2 E= 15 cm a nivel del piso sobre zona verde para protección de la misma</v>
      </c>
      <c r="C16" s="61">
        <f>PRESUPUESTO!F14</f>
        <v>1624744</v>
      </c>
      <c r="D16" s="156" t="e">
        <f>C16/C41</f>
        <v>#REF!</v>
      </c>
      <c r="E16" s="159"/>
      <c r="F16" s="159"/>
      <c r="G16" s="159"/>
      <c r="H16" s="280" t="e">
        <f t="shared" ref="H16:H21" si="0">D16</f>
        <v>#REF!</v>
      </c>
      <c r="I16" s="159"/>
      <c r="J16" s="159"/>
    </row>
    <row r="17" spans="1:10" x14ac:dyDescent="0.25">
      <c r="A17" s="258" t="e">
        <f>CANTIDADES!#REF!</f>
        <v>#REF!</v>
      </c>
      <c r="B17" s="7" t="e">
        <f>PRESUPUESTO!#REF!</f>
        <v>#REF!</v>
      </c>
      <c r="C17" s="61" t="e">
        <f>PRESUPUESTO!#REF!</f>
        <v>#REF!</v>
      </c>
      <c r="D17" s="156" t="e">
        <f>C17/C41</f>
        <v>#REF!</v>
      </c>
      <c r="E17" s="159"/>
      <c r="F17" s="159"/>
      <c r="G17" s="159"/>
      <c r="H17" s="280" t="e">
        <f t="shared" si="0"/>
        <v>#REF!</v>
      </c>
      <c r="I17" s="159"/>
      <c r="J17" s="159"/>
    </row>
    <row r="18" spans="1:10" ht="54" customHeight="1" x14ac:dyDescent="0.25">
      <c r="A18" s="258" t="str">
        <f>CANTIDADES!A29</f>
        <v>3.3</v>
      </c>
      <c r="B18" s="7" t="str">
        <f>PRESUPUESTO!B16</f>
        <v>Bases en concreto para instalaciòn de juegos en llanta, Diametro=1,5m, E= 15 cm; 3000PSI -21MP</v>
      </c>
      <c r="C18" s="61">
        <f>PRESUPUESTO!F16</f>
        <v>661156</v>
      </c>
      <c r="D18" s="156" t="e">
        <f>C18/C41</f>
        <v>#REF!</v>
      </c>
      <c r="E18" s="159"/>
      <c r="F18" s="159"/>
      <c r="G18" s="159"/>
      <c r="H18" s="280" t="e">
        <f t="shared" si="0"/>
        <v>#REF!</v>
      </c>
      <c r="I18" s="159"/>
      <c r="J18" s="159"/>
    </row>
    <row r="19" spans="1:10" ht="45" x14ac:dyDescent="0.25">
      <c r="A19" s="258" t="str">
        <f>CANTIDADES!A30</f>
        <v>3.4</v>
      </c>
      <c r="B19" s="7" t="str">
        <f>CANTIDADES!B30</f>
        <v>Bases en concreto para instalaciòn de juegos infantiles   45 cm x 45 cm x 45 cm, 3000PSI -21MP</v>
      </c>
      <c r="C19" s="61">
        <f>PRESUPUESTO!F17</f>
        <v>2170560</v>
      </c>
      <c r="D19" s="156" t="e">
        <f>C19/C41</f>
        <v>#REF!</v>
      </c>
      <c r="E19" s="159"/>
      <c r="F19" s="159"/>
      <c r="G19" s="159"/>
      <c r="H19" s="280" t="e">
        <f t="shared" si="0"/>
        <v>#REF!</v>
      </c>
      <c r="I19" s="159"/>
      <c r="J19" s="159"/>
    </row>
    <row r="20" spans="1:10" ht="36" customHeight="1" x14ac:dyDescent="0.25">
      <c r="A20" s="258" t="str">
        <f>CANTIDADES!A31</f>
        <v>3.5</v>
      </c>
      <c r="B20" s="7" t="str">
        <f>PRESUPUESTO!B18</f>
        <v>Bases en concreto para instalaciòn de  bancas   E= 15cm,  .3000PSI -21MP</v>
      </c>
      <c r="C20" s="61">
        <f>PRESUPUESTO!F18</f>
        <v>265893</v>
      </c>
      <c r="D20" s="156" t="e">
        <f>C20/C41</f>
        <v>#REF!</v>
      </c>
      <c r="E20" s="159"/>
      <c r="F20" s="159"/>
      <c r="G20" s="159"/>
      <c r="H20" s="280" t="e">
        <f t="shared" si="0"/>
        <v>#REF!</v>
      </c>
      <c r="I20" s="159"/>
      <c r="J20" s="159"/>
    </row>
    <row r="21" spans="1:10" ht="63" customHeight="1" x14ac:dyDescent="0.25">
      <c r="A21" s="258" t="str">
        <f>CANTIDADES!A32</f>
        <v>3.6</v>
      </c>
      <c r="B21" s="7" t="str">
        <f>PRESUPUESTO!B19</f>
        <v>Bases en concreto simple para instalaciòn de   puntos ecologicos L= 1.60 m X Ancho= 70 cm, E= 15 cm,  .3000PSI -21MP</v>
      </c>
      <c r="C21" s="61">
        <f>PRESUPUESTO!F19</f>
        <v>92229</v>
      </c>
      <c r="D21" s="156" t="e">
        <f>C21/C41</f>
        <v>#REF!</v>
      </c>
      <c r="E21" s="159"/>
      <c r="F21" s="159"/>
      <c r="G21" s="159"/>
      <c r="H21" s="280" t="e">
        <f t="shared" si="0"/>
        <v>#REF!</v>
      </c>
      <c r="I21" s="159"/>
      <c r="J21" s="159"/>
    </row>
    <row r="22" spans="1:10" ht="48" customHeight="1" x14ac:dyDescent="0.25">
      <c r="A22" s="258" t="e">
        <f>CANTIDADES!#REF!</f>
        <v>#REF!</v>
      </c>
      <c r="B22" s="7" t="e">
        <f>PRESUPUESTO!#REF!</f>
        <v>#REF!</v>
      </c>
      <c r="C22" s="61" t="e">
        <f>PRESUPUESTO!#REF!</f>
        <v>#REF!</v>
      </c>
      <c r="D22" s="156" t="e">
        <f>C22/C41</f>
        <v>#REF!</v>
      </c>
      <c r="E22" s="159"/>
      <c r="F22" s="159"/>
      <c r="G22" s="159"/>
      <c r="H22" s="159"/>
      <c r="I22" s="280" t="e">
        <f>D22</f>
        <v>#REF!</v>
      </c>
      <c r="J22" s="159"/>
    </row>
    <row r="23" spans="1:10" x14ac:dyDescent="0.25">
      <c r="A23" s="6">
        <f>CANTIDADES!A36</f>
        <v>4</v>
      </c>
      <c r="B23" s="140" t="str">
        <f>CANTIDADES!B36</f>
        <v>MOBILIARIO URBANO</v>
      </c>
      <c r="C23" s="152"/>
      <c r="D23" s="155"/>
      <c r="E23" s="278"/>
      <c r="F23" s="278"/>
      <c r="G23" s="278"/>
      <c r="H23" s="278"/>
      <c r="I23" s="278"/>
      <c r="J23" s="278"/>
    </row>
    <row r="24" spans="1:10" ht="45" x14ac:dyDescent="0.25">
      <c r="A24" s="138" t="str">
        <f>CANTIDADES!A37</f>
        <v>4.1</v>
      </c>
      <c r="B24" s="7" t="str">
        <f>CANTIDADES!B37</f>
        <v>Suministro e instalacion de juegos infantiles en madera plastica según especificaciones técnicas.</v>
      </c>
      <c r="C24" s="61">
        <f>PRESUPUESTO!F24</f>
        <v>6669617</v>
      </c>
      <c r="D24" s="156" t="e">
        <f>C24/C41</f>
        <v>#REF!</v>
      </c>
      <c r="E24" s="159"/>
      <c r="F24" s="159"/>
      <c r="G24" s="159"/>
      <c r="H24" s="159"/>
      <c r="I24" s="280" t="e">
        <f>D24</f>
        <v>#REF!</v>
      </c>
      <c r="J24" s="159"/>
    </row>
    <row r="25" spans="1:10" ht="45" x14ac:dyDescent="0.25">
      <c r="A25" s="258" t="str">
        <f>CANTIDADES!A38</f>
        <v>4.2</v>
      </c>
      <c r="B25" s="7" t="str">
        <f>PRESUPUESTO!B25</f>
        <v>Suministro e instalacion de juegos infantiles en madera plastica burrito balancin.</v>
      </c>
      <c r="C25" s="61">
        <f>PRESUPUESTO!F25</f>
        <v>1757612</v>
      </c>
      <c r="D25" s="156" t="e">
        <f>C25/C41</f>
        <v>#REF!</v>
      </c>
      <c r="E25" s="159"/>
      <c r="F25" s="159"/>
      <c r="G25" s="159"/>
      <c r="H25" s="159"/>
      <c r="I25" s="159"/>
      <c r="J25" s="280" t="e">
        <f>D25</f>
        <v>#REF!</v>
      </c>
    </row>
    <row r="26" spans="1:10" ht="45" x14ac:dyDescent="0.25">
      <c r="A26" s="258" t="str">
        <f>CANTIDADES!A39</f>
        <v>4.3</v>
      </c>
      <c r="B26" s="7" t="str">
        <f>PRESUPUESTO!B26</f>
        <v>Suministro e instalacion de bancas con espaldar en madera plastica  según especificaciones técnicas.</v>
      </c>
      <c r="C26" s="61">
        <f>PRESUPUESTO!F26</f>
        <v>1131330</v>
      </c>
      <c r="D26" s="156" t="e">
        <f>C26/C41</f>
        <v>#REF!</v>
      </c>
      <c r="E26" s="159"/>
      <c r="F26" s="159"/>
      <c r="G26" s="159"/>
      <c r="H26" s="159"/>
      <c r="I26" s="159"/>
      <c r="J26" s="280" t="e">
        <f>D26</f>
        <v>#REF!</v>
      </c>
    </row>
    <row r="27" spans="1:10" ht="42.75" customHeight="1" x14ac:dyDescent="0.25">
      <c r="A27" s="258" t="str">
        <f>CANTIDADES!A40</f>
        <v>4.4</v>
      </c>
      <c r="B27" s="7" t="str">
        <f>PRESUPUESTO!B27</f>
        <v>Suministro e instalacion de puntos ecologicos  en madera plastica según especificaciones técnicas.</v>
      </c>
      <c r="C27" s="61">
        <f>PRESUPUESTO!F27</f>
        <v>647620</v>
      </c>
      <c r="D27" s="156" t="e">
        <f>C27/C41</f>
        <v>#REF!</v>
      </c>
      <c r="E27" s="159"/>
      <c r="F27" s="159"/>
      <c r="G27" s="159"/>
      <c r="H27" s="159"/>
      <c r="I27" s="159"/>
      <c r="J27" s="280" t="e">
        <f>D27</f>
        <v>#REF!</v>
      </c>
    </row>
    <row r="28" spans="1:10" ht="60" x14ac:dyDescent="0.25">
      <c r="A28" s="258" t="str">
        <f>CANTIDADES!A41</f>
        <v>4.5</v>
      </c>
      <c r="B28" s="7" t="str">
        <f>PRESUPUESTO!B28</f>
        <v>Suministro e instalacion de juegoss individuales en llantas decoradas según diseños y especificaciones tecnicas</v>
      </c>
      <c r="C28" s="61">
        <f>PRESUPUESTO!F28</f>
        <v>815332</v>
      </c>
      <c r="D28" s="156" t="e">
        <f>C28/C41</f>
        <v>#REF!</v>
      </c>
      <c r="E28" s="159"/>
      <c r="F28" s="159"/>
      <c r="G28" s="159"/>
      <c r="H28" s="159"/>
      <c r="I28" s="159"/>
      <c r="J28" s="280" t="e">
        <f>D28</f>
        <v>#REF!</v>
      </c>
    </row>
    <row r="29" spans="1:10" ht="56.25" customHeight="1" x14ac:dyDescent="0.25">
      <c r="A29" s="258" t="e">
        <f>CANTIDADES!#REF!</f>
        <v>#REF!</v>
      </c>
      <c r="B29" s="7" t="e">
        <f>PRESUPUESTO!#REF!</f>
        <v>#REF!</v>
      </c>
      <c r="C29" s="61" t="e">
        <f>PRESUPUESTO!#REF!</f>
        <v>#REF!</v>
      </c>
      <c r="D29" s="156" t="e">
        <f>C29/C41</f>
        <v>#REF!</v>
      </c>
      <c r="E29" s="159"/>
      <c r="F29" s="159"/>
      <c r="G29" s="159"/>
      <c r="H29" s="159"/>
      <c r="I29" s="159"/>
      <c r="J29" s="280" t="e">
        <f>D29</f>
        <v>#REF!</v>
      </c>
    </row>
    <row r="30" spans="1:10" ht="30" x14ac:dyDescent="0.25">
      <c r="A30" s="6">
        <f>CANTIDADES!A43</f>
        <v>5</v>
      </c>
      <c r="B30" s="140" t="str">
        <f>CANTIDADES!B43</f>
        <v>VEGETACION Y ELEMENTOS NATURALES</v>
      </c>
      <c r="C30" s="152"/>
      <c r="D30" s="155"/>
      <c r="E30" s="278"/>
      <c r="F30" s="278"/>
      <c r="G30" s="278"/>
      <c r="H30" s="278"/>
      <c r="I30" s="278"/>
      <c r="J30" s="278"/>
    </row>
    <row r="31" spans="1:10" ht="60" x14ac:dyDescent="0.25">
      <c r="A31" s="138" t="str">
        <f>CANTIDADES!A44</f>
        <v>5.1</v>
      </c>
      <c r="B31" s="7" t="str">
        <f>PRESUPUESTO!B31</f>
        <v>Suministro e instalacion de tierra negra mejorada y esterilizada para siembra de prado, materas, arboles, arbustos .</v>
      </c>
      <c r="C31" s="61">
        <f>PRESUPUESTO!F31</f>
        <v>258250</v>
      </c>
      <c r="D31" s="156" t="e">
        <f>C31/C41</f>
        <v>#REF!</v>
      </c>
      <c r="E31" s="159"/>
      <c r="F31" s="159"/>
      <c r="G31" s="159"/>
      <c r="H31" s="280" t="e">
        <f>D31</f>
        <v>#REF!</v>
      </c>
      <c r="I31" s="159"/>
      <c r="J31" s="159"/>
    </row>
    <row r="32" spans="1:10" ht="30" x14ac:dyDescent="0.25">
      <c r="A32" s="138" t="str">
        <f>CANTIDADES!A45</f>
        <v>5.2</v>
      </c>
      <c r="B32" s="7" t="str">
        <f>PRESUPUESTO!B32</f>
        <v>Suministro e instalacion de prado gateadora o trenza</v>
      </c>
      <c r="C32" s="61">
        <f>PRESUPUESTO!F32</f>
        <v>2254600</v>
      </c>
      <c r="D32" s="156" t="e">
        <f>C32/C41</f>
        <v>#REF!</v>
      </c>
      <c r="E32" s="159"/>
      <c r="F32" s="159"/>
      <c r="G32" s="159"/>
      <c r="H32" s="280" t="e">
        <f>D32/2</f>
        <v>#REF!</v>
      </c>
      <c r="I32" s="280" t="e">
        <f>D32/2</f>
        <v>#REF!</v>
      </c>
      <c r="J32" s="159"/>
    </row>
    <row r="33" spans="1:10" ht="30" customHeight="1" x14ac:dyDescent="0.25">
      <c r="A33" s="258" t="e">
        <f>CANTIDADES!#REF!</f>
        <v>#REF!</v>
      </c>
      <c r="B33" s="7" t="e">
        <f>PRESUPUESTO!#REF!</f>
        <v>#REF!</v>
      </c>
      <c r="C33" s="61" t="e">
        <f>PRESUPUESTO!#REF!</f>
        <v>#REF!</v>
      </c>
      <c r="D33" s="156" t="e">
        <f>C33/C41</f>
        <v>#REF!</v>
      </c>
      <c r="E33" s="159"/>
      <c r="F33" s="159"/>
      <c r="G33" s="159"/>
      <c r="H33" s="159"/>
      <c r="I33" s="280" t="e">
        <f>D33</f>
        <v>#REF!</v>
      </c>
      <c r="J33" s="159"/>
    </row>
    <row r="34" spans="1:10" ht="60" x14ac:dyDescent="0.25">
      <c r="A34" s="138" t="str">
        <f>CANTIDADES!A46</f>
        <v>5.3</v>
      </c>
      <c r="B34" s="7" t="str">
        <f>PRESUPUESTO!B33</f>
        <v>Suministro y siembra de especies ornamentales (jazmines azules, jazmines blancos, hortensias)  Altura: (40 -50) cm</v>
      </c>
      <c r="C34" s="61">
        <f>PRESUPUESTO!F33</f>
        <v>2556675</v>
      </c>
      <c r="D34" s="156" t="e">
        <f>C34/C41</f>
        <v>#REF!</v>
      </c>
      <c r="E34" s="159"/>
      <c r="F34" s="159"/>
      <c r="G34" s="159"/>
      <c r="H34" s="159"/>
      <c r="I34" s="159"/>
      <c r="J34" s="280" t="e">
        <f>D34</f>
        <v>#REF!</v>
      </c>
    </row>
    <row r="35" spans="1:10" ht="48" customHeight="1" x14ac:dyDescent="0.25">
      <c r="A35" s="258" t="e">
        <f>CANTIDADES!#REF!</f>
        <v>#REF!</v>
      </c>
      <c r="B35" s="7" t="e">
        <f>PRESUPUESTO!#REF!</f>
        <v>#REF!</v>
      </c>
      <c r="C35" s="61" t="e">
        <f>PRESUPUESTO!#REF!</f>
        <v>#REF!</v>
      </c>
      <c r="D35" s="156" t="e">
        <f>C35/C41</f>
        <v>#REF!</v>
      </c>
      <c r="E35" s="159"/>
      <c r="F35" s="159"/>
      <c r="G35" s="159"/>
      <c r="H35" s="159"/>
      <c r="I35" s="280" t="e">
        <f>D35</f>
        <v>#REF!</v>
      </c>
      <c r="J35" s="159"/>
    </row>
    <row r="36" spans="1:10" ht="46.5" customHeight="1" x14ac:dyDescent="0.25">
      <c r="A36" s="258" t="str">
        <f>CANTIDADES!A50</f>
        <v>5.4</v>
      </c>
      <c r="B36" s="7" t="str">
        <f>PRESUPUESTO!B34</f>
        <v>Suministro y siembra de especies arboreas Altura: 80 - 90 cm (CARBONEROS Y FLOR DE MAYO)</v>
      </c>
      <c r="C36" s="61">
        <f>PRESUPUESTO!F34</f>
        <v>235550</v>
      </c>
      <c r="D36" s="156" t="e">
        <f>C36/C41</f>
        <v>#REF!</v>
      </c>
      <c r="E36" s="159"/>
      <c r="F36" s="159"/>
      <c r="G36" s="159"/>
      <c r="H36" s="159"/>
      <c r="I36" s="159"/>
      <c r="J36" s="280" t="e">
        <f>D36</f>
        <v>#REF!</v>
      </c>
    </row>
    <row r="37" spans="1:10" ht="45" x14ac:dyDescent="0.25">
      <c r="A37" s="258" t="str">
        <f>CANTIDADES!A52</f>
        <v>5.5</v>
      </c>
      <c r="B37" s="7" t="str">
        <f>PRESUPUESTO!B35</f>
        <v>Suministro e instalacion de piedra dolomita para adecuacion de jardinera.</v>
      </c>
      <c r="C37" s="61">
        <f>PRESUPUESTO!F35</f>
        <v>683328</v>
      </c>
      <c r="D37" s="156" t="e">
        <f>C37/C41</f>
        <v>#REF!</v>
      </c>
      <c r="E37" s="159"/>
      <c r="F37" s="159"/>
      <c r="G37" s="159"/>
      <c r="H37" s="159"/>
      <c r="I37" s="159"/>
      <c r="J37" s="280" t="e">
        <f>D37</f>
        <v>#REF!</v>
      </c>
    </row>
    <row r="38" spans="1:10" ht="52.5" customHeight="1" x14ac:dyDescent="0.25">
      <c r="A38" s="258" t="str">
        <f>CANTIDADES!A53</f>
        <v>5.6</v>
      </c>
      <c r="B38" s="7" t="str">
        <f>PRESUPUESTO!B36</f>
        <v>Suministro e instalacion de Triturado tamaño 3/4", para relleno de sendero peatonal, Ancho 1m, Alto= 20 cm</v>
      </c>
      <c r="C38" s="61">
        <f>PRESUPUESTO!F36</f>
        <v>506132</v>
      </c>
      <c r="D38" s="156" t="e">
        <f>C38/C41</f>
        <v>#REF!</v>
      </c>
      <c r="E38" s="159"/>
      <c r="F38" s="159"/>
      <c r="G38" s="159"/>
      <c r="H38" s="280" t="e">
        <f>D38</f>
        <v>#REF!</v>
      </c>
      <c r="I38" s="159"/>
      <c r="J38" s="159"/>
    </row>
    <row r="39" spans="1:10" ht="62.25" customHeight="1" x14ac:dyDescent="0.25">
      <c r="A39" s="258" t="e">
        <f>CANTIDADES!#REF!</f>
        <v>#REF!</v>
      </c>
      <c r="B39" s="7" t="e">
        <f>PRESUPUESTO!#REF!</f>
        <v>#REF!</v>
      </c>
      <c r="C39" s="61" t="e">
        <f>PRESUPUESTO!#REF!</f>
        <v>#REF!</v>
      </c>
      <c r="D39" s="156" t="e">
        <f>C39/C41</f>
        <v>#REF!</v>
      </c>
      <c r="E39" s="159"/>
      <c r="F39" s="159"/>
      <c r="G39" s="159"/>
      <c r="H39" s="159"/>
      <c r="I39" s="159"/>
      <c r="J39" s="280" t="e">
        <f>D39</f>
        <v>#REF!</v>
      </c>
    </row>
    <row r="40" spans="1:10" ht="15.75" thickBot="1" x14ac:dyDescent="0.3"/>
    <row r="41" spans="1:10" ht="16.5" thickTop="1" thickBot="1" x14ac:dyDescent="0.3">
      <c r="B41" s="148" t="s">
        <v>236</v>
      </c>
      <c r="C41" s="153" t="e">
        <f>SUM(C8:C40)</f>
        <v>#REF!</v>
      </c>
      <c r="D41" s="149" t="e">
        <f>SUM(D8:D40)</f>
        <v>#REF!</v>
      </c>
      <c r="E41" s="160" t="s">
        <v>121</v>
      </c>
      <c r="F41" s="160" t="s">
        <v>124</v>
      </c>
      <c r="G41" s="160" t="s">
        <v>122</v>
      </c>
      <c r="H41" s="163" t="s">
        <v>125</v>
      </c>
      <c r="I41" s="163" t="s">
        <v>123</v>
      </c>
      <c r="J41" s="163" t="s">
        <v>126</v>
      </c>
    </row>
    <row r="42" spans="1:10" ht="15.75" thickBot="1" x14ac:dyDescent="0.3">
      <c r="B42" s="688" t="s">
        <v>127</v>
      </c>
      <c r="C42" s="689"/>
      <c r="D42" s="150" t="s">
        <v>128</v>
      </c>
      <c r="E42" s="161" t="e">
        <f t="shared" ref="E42:J42" si="1">SUM(E8:E39)</f>
        <v>#REF!</v>
      </c>
      <c r="F42" s="161" t="e">
        <f t="shared" si="1"/>
        <v>#REF!</v>
      </c>
      <c r="G42" s="161" t="e">
        <f t="shared" si="1"/>
        <v>#REF!</v>
      </c>
      <c r="H42" s="162" t="e">
        <f t="shared" si="1"/>
        <v>#REF!</v>
      </c>
      <c r="I42" s="162" t="e">
        <f t="shared" si="1"/>
        <v>#REF!</v>
      </c>
      <c r="J42" s="162" t="e">
        <f t="shared" si="1"/>
        <v>#REF!</v>
      </c>
    </row>
    <row r="43" spans="1:10" ht="15.75" thickBot="1" x14ac:dyDescent="0.3">
      <c r="B43" s="688" t="s">
        <v>129</v>
      </c>
      <c r="C43" s="689"/>
      <c r="D43" s="150" t="s">
        <v>130</v>
      </c>
      <c r="E43" s="161" t="e">
        <f>E42</f>
        <v>#REF!</v>
      </c>
      <c r="F43" s="161" t="e">
        <f t="shared" ref="F43:J43" si="2">E43+F42</f>
        <v>#REF!</v>
      </c>
      <c r="G43" s="162" t="e">
        <f t="shared" si="2"/>
        <v>#REF!</v>
      </c>
      <c r="H43" s="162" t="e">
        <f t="shared" si="2"/>
        <v>#REF!</v>
      </c>
      <c r="I43" s="162" t="e">
        <f t="shared" si="2"/>
        <v>#REF!</v>
      </c>
      <c r="J43" s="162" t="e">
        <f t="shared" si="2"/>
        <v>#REF!</v>
      </c>
    </row>
    <row r="45" spans="1:10" x14ac:dyDescent="0.25">
      <c r="B45" s="461" t="s">
        <v>66</v>
      </c>
      <c r="C45" s="461"/>
    </row>
    <row r="46" spans="1:10" x14ac:dyDescent="0.25">
      <c r="B46" s="460" t="s">
        <v>319</v>
      </c>
      <c r="C46" s="460"/>
    </row>
  </sheetData>
  <mergeCells count="8">
    <mergeCell ref="A1:J1"/>
    <mergeCell ref="A2:J3"/>
    <mergeCell ref="D4:J4"/>
    <mergeCell ref="B46:C46"/>
    <mergeCell ref="B42:C42"/>
    <mergeCell ref="B43:C43"/>
    <mergeCell ref="B45:C45"/>
    <mergeCell ref="A4:B4"/>
  </mergeCells>
  <phoneticPr fontId="22" type="noConversion"/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C1F4A-FC5E-4DC1-9804-1BD3C18DDFE2}">
  <dimension ref="A1:F30"/>
  <sheetViews>
    <sheetView topLeftCell="A13" workbookViewId="0">
      <selection activeCell="F22" sqref="F22"/>
    </sheetView>
  </sheetViews>
  <sheetFormatPr baseColWidth="10" defaultRowHeight="15" x14ac:dyDescent="0.25"/>
  <cols>
    <col min="2" max="2" width="21.42578125" customWidth="1"/>
    <col min="3" max="3" width="11.42578125" customWidth="1"/>
  </cols>
  <sheetData>
    <row r="1" spans="1:6" x14ac:dyDescent="0.25">
      <c r="A1" s="166"/>
      <c r="B1" s="166"/>
      <c r="C1" s="166"/>
      <c r="D1" s="166"/>
      <c r="E1" s="166"/>
      <c r="F1" s="166"/>
    </row>
    <row r="2" spans="1:6" x14ac:dyDescent="0.25">
      <c r="A2" s="693" t="s">
        <v>161</v>
      </c>
      <c r="B2" s="693"/>
      <c r="C2" s="693"/>
      <c r="D2" s="693"/>
      <c r="E2" s="693"/>
      <c r="F2" s="693"/>
    </row>
    <row r="3" spans="1:6" x14ac:dyDescent="0.25">
      <c r="A3" s="167" t="s">
        <v>162</v>
      </c>
      <c r="B3" s="168" t="s">
        <v>163</v>
      </c>
      <c r="C3" s="166"/>
      <c r="D3" s="166"/>
      <c r="E3" s="166"/>
      <c r="F3" s="166"/>
    </row>
    <row r="4" spans="1:6" x14ac:dyDescent="0.25">
      <c r="A4" s="166"/>
      <c r="B4" s="166"/>
      <c r="C4" s="166"/>
      <c r="D4" s="166"/>
      <c r="E4" s="166"/>
      <c r="F4" s="166"/>
    </row>
    <row r="5" spans="1:6" x14ac:dyDescent="0.25">
      <c r="A5" s="694" t="s">
        <v>164</v>
      </c>
      <c r="B5" s="695"/>
      <c r="C5" s="695"/>
      <c r="D5" s="696"/>
      <c r="E5" s="169" t="s">
        <v>3</v>
      </c>
      <c r="F5" s="170" t="s">
        <v>165</v>
      </c>
    </row>
    <row r="6" spans="1:6" x14ac:dyDescent="0.25">
      <c r="A6" s="697" t="s">
        <v>166</v>
      </c>
      <c r="B6" s="698"/>
      <c r="C6" s="698"/>
      <c r="D6" s="699"/>
      <c r="E6" s="171" t="s">
        <v>167</v>
      </c>
      <c r="F6" s="172">
        <v>360</v>
      </c>
    </row>
    <row r="7" spans="1:6" x14ac:dyDescent="0.25">
      <c r="A7" s="697" t="s">
        <v>168</v>
      </c>
      <c r="B7" s="698"/>
      <c r="C7" s="698"/>
      <c r="D7" s="699"/>
      <c r="E7" s="171" t="s">
        <v>167</v>
      </c>
      <c r="F7" s="172">
        <v>30</v>
      </c>
    </row>
    <row r="8" spans="1:6" x14ac:dyDescent="0.25">
      <c r="A8" s="697" t="s">
        <v>169</v>
      </c>
      <c r="B8" s="698"/>
      <c r="C8" s="698"/>
      <c r="D8" s="699"/>
      <c r="E8" s="171" t="s">
        <v>167</v>
      </c>
      <c r="F8" s="172">
        <v>3.6</v>
      </c>
    </row>
    <row r="9" spans="1:6" x14ac:dyDescent="0.25">
      <c r="A9" s="697" t="s">
        <v>170</v>
      </c>
      <c r="B9" s="698"/>
      <c r="C9" s="698"/>
      <c r="D9" s="699"/>
      <c r="E9" s="171" t="s">
        <v>167</v>
      </c>
      <c r="F9" s="172">
        <v>30</v>
      </c>
    </row>
    <row r="10" spans="1:6" x14ac:dyDescent="0.25">
      <c r="A10" s="697" t="s">
        <v>171</v>
      </c>
      <c r="B10" s="698"/>
      <c r="C10" s="698"/>
      <c r="D10" s="699"/>
      <c r="E10" s="171" t="s">
        <v>167</v>
      </c>
      <c r="F10" s="172">
        <v>43</v>
      </c>
    </row>
    <row r="11" spans="1:6" x14ac:dyDescent="0.25">
      <c r="A11" s="697" t="s">
        <v>172</v>
      </c>
      <c r="B11" s="698"/>
      <c r="C11" s="698"/>
      <c r="D11" s="699"/>
      <c r="E11" s="171" t="s">
        <v>167</v>
      </c>
      <c r="F11" s="172">
        <v>56</v>
      </c>
    </row>
    <row r="12" spans="1:6" x14ac:dyDescent="0.25">
      <c r="A12" s="700" t="s">
        <v>173</v>
      </c>
      <c r="B12" s="701"/>
      <c r="C12" s="701"/>
      <c r="D12" s="702"/>
      <c r="E12" s="171" t="s">
        <v>167</v>
      </c>
      <c r="F12" s="172">
        <v>14.6</v>
      </c>
    </row>
    <row r="13" spans="1:6" x14ac:dyDescent="0.25">
      <c r="A13" s="700" t="s">
        <v>174</v>
      </c>
      <c r="B13" s="701"/>
      <c r="C13" s="701"/>
      <c r="D13" s="702"/>
      <c r="E13" s="171" t="s">
        <v>167</v>
      </c>
      <c r="F13" s="172">
        <v>7.2</v>
      </c>
    </row>
    <row r="14" spans="1:6" x14ac:dyDescent="0.25">
      <c r="A14" s="700" t="s">
        <v>175</v>
      </c>
      <c r="B14" s="701"/>
      <c r="C14" s="701"/>
      <c r="D14" s="702"/>
      <c r="E14" s="171" t="s">
        <v>167</v>
      </c>
      <c r="F14" s="172">
        <v>10.9</v>
      </c>
    </row>
    <row r="15" spans="1:6" x14ac:dyDescent="0.25">
      <c r="A15" s="690" t="s">
        <v>176</v>
      </c>
      <c r="B15" s="691"/>
      <c r="C15" s="691"/>
      <c r="D15" s="692"/>
      <c r="E15" s="173"/>
      <c r="F15" s="174">
        <f>SUM(F6:F14)</f>
        <v>555.30000000000007</v>
      </c>
    </row>
    <row r="16" spans="1:6" x14ac:dyDescent="0.25">
      <c r="A16" s="167" t="s">
        <v>177</v>
      </c>
      <c r="B16" s="175" t="s">
        <v>178</v>
      </c>
      <c r="C16" s="166"/>
      <c r="D16" s="166"/>
      <c r="E16" s="166"/>
      <c r="F16" s="166"/>
    </row>
    <row r="17" spans="1:6" x14ac:dyDescent="0.25">
      <c r="A17" s="167"/>
      <c r="B17" s="168"/>
      <c r="C17" s="166"/>
      <c r="D17" s="166"/>
      <c r="E17" s="166"/>
      <c r="F17" s="166"/>
    </row>
    <row r="18" spans="1:6" x14ac:dyDescent="0.25">
      <c r="A18" s="694" t="s">
        <v>179</v>
      </c>
      <c r="B18" s="695"/>
      <c r="C18" s="695"/>
      <c r="D18" s="696"/>
      <c r="E18" s="169" t="s">
        <v>3</v>
      </c>
      <c r="F18" s="170" t="s">
        <v>165</v>
      </c>
    </row>
    <row r="19" spans="1:6" x14ac:dyDescent="0.25">
      <c r="A19" s="697" t="s">
        <v>180</v>
      </c>
      <c r="B19" s="698"/>
      <c r="C19" s="698"/>
      <c r="D19" s="699"/>
      <c r="E19" s="171" t="s">
        <v>167</v>
      </c>
      <c r="F19" s="176">
        <v>365</v>
      </c>
    </row>
    <row r="20" spans="1:6" x14ac:dyDescent="0.25">
      <c r="A20" s="697" t="s">
        <v>181</v>
      </c>
      <c r="B20" s="698"/>
      <c r="C20" s="698"/>
      <c r="D20" s="699"/>
      <c r="E20" s="171" t="s">
        <v>167</v>
      </c>
      <c r="F20" s="176">
        <v>-18</v>
      </c>
    </row>
    <row r="21" spans="1:6" x14ac:dyDescent="0.25">
      <c r="A21" s="697" t="s">
        <v>182</v>
      </c>
      <c r="B21" s="698"/>
      <c r="C21" s="698"/>
      <c r="D21" s="699"/>
      <c r="E21" s="171" t="s">
        <v>167</v>
      </c>
      <c r="F21" s="176">
        <v>-54</v>
      </c>
    </row>
    <row r="22" spans="1:6" x14ac:dyDescent="0.25">
      <c r="A22" s="690" t="s">
        <v>183</v>
      </c>
      <c r="B22" s="691"/>
      <c r="C22" s="691"/>
      <c r="D22" s="692"/>
      <c r="E22" s="171" t="s">
        <v>167</v>
      </c>
      <c r="F22" s="177">
        <f>SUM(F19:F21)</f>
        <v>293</v>
      </c>
    </row>
    <row r="23" spans="1:6" x14ac:dyDescent="0.25">
      <c r="A23" s="166"/>
      <c r="B23" s="166"/>
      <c r="C23" s="166"/>
      <c r="D23" s="166"/>
      <c r="E23" s="166"/>
      <c r="F23" s="166"/>
    </row>
    <row r="24" spans="1:6" x14ac:dyDescent="0.25">
      <c r="A24" s="166"/>
      <c r="B24" s="166"/>
      <c r="C24" s="166"/>
      <c r="D24" s="166"/>
      <c r="E24" s="166"/>
      <c r="F24" s="166"/>
    </row>
    <row r="25" spans="1:6" x14ac:dyDescent="0.25">
      <c r="A25" s="166"/>
      <c r="B25" s="166"/>
      <c r="C25" s="166"/>
      <c r="D25" s="166"/>
      <c r="E25" s="166"/>
      <c r="F25" s="166"/>
    </row>
    <row r="26" spans="1:6" x14ac:dyDescent="0.25">
      <c r="A26" s="166" t="s">
        <v>184</v>
      </c>
      <c r="B26" s="166"/>
      <c r="C26" s="166"/>
      <c r="D26" s="166"/>
      <c r="E26" s="166"/>
      <c r="F26" s="166"/>
    </row>
    <row r="27" spans="1:6" x14ac:dyDescent="0.25">
      <c r="A27" s="166"/>
      <c r="B27" s="166"/>
      <c r="C27" s="166"/>
      <c r="D27" s="166"/>
      <c r="E27" s="166"/>
      <c r="F27" s="166"/>
    </row>
    <row r="28" spans="1:6" x14ac:dyDescent="0.25">
      <c r="A28" s="166"/>
      <c r="B28" s="166" t="s">
        <v>185</v>
      </c>
      <c r="C28" s="166">
        <f>F15/F22</f>
        <v>1.8952218430034131</v>
      </c>
      <c r="D28" s="178">
        <f>F15/F22</f>
        <v>1.8952218430034131</v>
      </c>
      <c r="E28" s="179">
        <f>ROUND(+D28-100%,4)</f>
        <v>0.8952</v>
      </c>
      <c r="F28" s="166"/>
    </row>
    <row r="29" spans="1:6" x14ac:dyDescent="0.25">
      <c r="A29" s="166"/>
      <c r="B29" s="166"/>
      <c r="C29" s="166"/>
      <c r="D29" s="180"/>
      <c r="E29" s="181"/>
      <c r="F29" s="166"/>
    </row>
    <row r="30" spans="1:6" x14ac:dyDescent="0.25">
      <c r="A30" s="166"/>
      <c r="B30" s="166"/>
      <c r="C30" s="166"/>
      <c r="D30" s="166"/>
      <c r="E30" s="166"/>
      <c r="F30" s="166"/>
    </row>
  </sheetData>
  <mergeCells count="17">
    <mergeCell ref="A18:D18"/>
    <mergeCell ref="A19:D19"/>
    <mergeCell ref="A20:D20"/>
    <mergeCell ref="A21:D21"/>
    <mergeCell ref="A22:D22"/>
    <mergeCell ref="A15:D15"/>
    <mergeCell ref="A2:F2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728F-E24A-4BB6-A87C-4D5911F9DDB1}">
  <dimension ref="A1:L32"/>
  <sheetViews>
    <sheetView topLeftCell="A19" workbookViewId="0">
      <selection activeCell="D12" sqref="D12"/>
    </sheetView>
  </sheetViews>
  <sheetFormatPr baseColWidth="10" defaultRowHeight="15" x14ac:dyDescent="0.25"/>
  <cols>
    <col min="3" max="3" width="17.140625" customWidth="1"/>
    <col min="4" max="4" width="15" customWidth="1"/>
    <col min="5" max="5" width="13.42578125" customWidth="1"/>
    <col min="6" max="6" width="16.140625" customWidth="1"/>
    <col min="7" max="7" width="16.7109375" customWidth="1"/>
  </cols>
  <sheetData>
    <row r="1" spans="1:12" x14ac:dyDescent="0.25">
      <c r="A1" s="166"/>
      <c r="B1" s="166"/>
      <c r="C1" s="166"/>
      <c r="D1" s="166"/>
      <c r="E1" s="166"/>
      <c r="F1" s="166"/>
      <c r="G1" s="166"/>
    </row>
    <row r="2" spans="1:12" x14ac:dyDescent="0.25">
      <c r="A2" s="704" t="s">
        <v>186</v>
      </c>
      <c r="B2" s="705"/>
      <c r="C2" s="705"/>
      <c r="D2" s="705"/>
      <c r="E2" s="705"/>
      <c r="F2" s="705"/>
      <c r="G2" s="706"/>
    </row>
    <row r="3" spans="1:12" x14ac:dyDescent="0.25">
      <c r="A3" s="166"/>
      <c r="B3" s="166"/>
      <c r="C3" s="166"/>
      <c r="D3" s="166"/>
      <c r="E3" s="166"/>
      <c r="F3" s="182"/>
      <c r="G3" s="183"/>
    </row>
    <row r="4" spans="1:12" x14ac:dyDescent="0.25">
      <c r="A4" s="167" t="s">
        <v>162</v>
      </c>
      <c r="B4" s="168" t="s">
        <v>187</v>
      </c>
      <c r="C4" s="166"/>
      <c r="D4" s="166"/>
      <c r="E4" s="166"/>
      <c r="F4" s="166"/>
      <c r="G4" s="166"/>
    </row>
    <row r="5" spans="1:12" x14ac:dyDescent="0.25">
      <c r="A5" s="167"/>
      <c r="B5" s="168"/>
      <c r="C5" s="166"/>
      <c r="D5" s="166"/>
      <c r="E5" s="166"/>
      <c r="F5" s="166"/>
      <c r="G5" s="166"/>
    </row>
    <row r="6" spans="1:12" x14ac:dyDescent="0.25">
      <c r="A6" s="166"/>
      <c r="B6" s="166"/>
      <c r="C6" s="166"/>
      <c r="D6" s="166"/>
      <c r="E6" s="166"/>
      <c r="F6" s="166"/>
      <c r="G6" s="166"/>
    </row>
    <row r="7" spans="1:12" ht="25.5" x14ac:dyDescent="0.25">
      <c r="A7" s="707" t="s">
        <v>188</v>
      </c>
      <c r="B7" s="707"/>
      <c r="C7" s="184" t="s">
        <v>189</v>
      </c>
      <c r="D7" s="185" t="s">
        <v>190</v>
      </c>
      <c r="E7" s="185" t="s">
        <v>191</v>
      </c>
      <c r="F7" s="184" t="s">
        <v>192</v>
      </c>
      <c r="G7" s="184" t="s">
        <v>193</v>
      </c>
    </row>
    <row r="8" spans="1:12" x14ac:dyDescent="0.25">
      <c r="A8" s="703" t="s">
        <v>60</v>
      </c>
      <c r="B8" s="703"/>
      <c r="C8" s="186">
        <v>908526</v>
      </c>
      <c r="D8" s="187">
        <f>+C8/30</f>
        <v>30284.2</v>
      </c>
      <c r="E8" s="187">
        <f>+D8/8</f>
        <v>3785.5250000000001</v>
      </c>
      <c r="F8" s="187">
        <f t="shared" ref="F8:F17" si="0">+C8*0.8952</f>
        <v>813312.47519999999</v>
      </c>
      <c r="G8" s="188">
        <f>+C8+F8</f>
        <v>1721838.4752</v>
      </c>
      <c r="L8" s="422"/>
    </row>
    <row r="9" spans="1:12" x14ac:dyDescent="0.25">
      <c r="A9" s="703" t="s">
        <v>194</v>
      </c>
      <c r="B9" s="703"/>
      <c r="C9" s="189">
        <f>C8*1.5</f>
        <v>1362789</v>
      </c>
      <c r="D9" s="187">
        <f t="shared" ref="D9:D17" si="1">+C9/30</f>
        <v>45426.3</v>
      </c>
      <c r="E9" s="187">
        <f t="shared" ref="E9:E17" si="2">+D9/8</f>
        <v>5678.2875000000004</v>
      </c>
      <c r="F9" s="187">
        <f t="shared" si="0"/>
        <v>1219968.7128000001</v>
      </c>
      <c r="G9" s="188">
        <f t="shared" ref="G9:G17" si="3">+C9+F9</f>
        <v>2582757.7127999999</v>
      </c>
    </row>
    <row r="10" spans="1:12" x14ac:dyDescent="0.25">
      <c r="A10" s="703" t="s">
        <v>195</v>
      </c>
      <c r="B10" s="703"/>
      <c r="C10" s="187">
        <f>C8*1.7</f>
        <v>1544494.2</v>
      </c>
      <c r="D10" s="187">
        <f t="shared" si="1"/>
        <v>51483.14</v>
      </c>
      <c r="E10" s="187">
        <f t="shared" si="2"/>
        <v>6435.3924999999999</v>
      </c>
      <c r="F10" s="187">
        <f t="shared" si="0"/>
        <v>1382631.20784</v>
      </c>
      <c r="G10" s="188">
        <f t="shared" si="3"/>
        <v>2927125.40784</v>
      </c>
    </row>
    <row r="11" spans="1:12" x14ac:dyDescent="0.25">
      <c r="A11" s="703" t="s">
        <v>196</v>
      </c>
      <c r="B11" s="703"/>
      <c r="C11" s="187">
        <f>C8*2</f>
        <v>1817052</v>
      </c>
      <c r="D11" s="187">
        <f t="shared" si="1"/>
        <v>60568.4</v>
      </c>
      <c r="E11" s="187">
        <f t="shared" si="2"/>
        <v>7571.05</v>
      </c>
      <c r="F11" s="187">
        <f t="shared" si="0"/>
        <v>1626624.9504</v>
      </c>
      <c r="G11" s="188">
        <f t="shared" si="3"/>
        <v>3443676.9504</v>
      </c>
    </row>
    <row r="12" spans="1:12" x14ac:dyDescent="0.25">
      <c r="A12" s="703" t="s">
        <v>197</v>
      </c>
      <c r="B12" s="703"/>
      <c r="C12" s="187">
        <f>C8*1.6</f>
        <v>1453641.6</v>
      </c>
      <c r="D12" s="187">
        <f t="shared" si="1"/>
        <v>48454.720000000001</v>
      </c>
      <c r="E12" s="187">
        <f t="shared" si="2"/>
        <v>6056.84</v>
      </c>
      <c r="F12" s="187">
        <f t="shared" si="0"/>
        <v>1301299.9603200001</v>
      </c>
      <c r="G12" s="188">
        <f t="shared" si="3"/>
        <v>2754941.5603200002</v>
      </c>
    </row>
    <row r="13" spans="1:12" x14ac:dyDescent="0.25">
      <c r="A13" s="703" t="s">
        <v>198</v>
      </c>
      <c r="B13" s="703"/>
      <c r="C13" s="187">
        <f>C8*1.7</f>
        <v>1544494.2</v>
      </c>
      <c r="D13" s="187">
        <f t="shared" si="1"/>
        <v>51483.14</v>
      </c>
      <c r="E13" s="187">
        <f t="shared" si="2"/>
        <v>6435.3924999999999</v>
      </c>
      <c r="F13" s="187">
        <f t="shared" si="0"/>
        <v>1382631.20784</v>
      </c>
      <c r="G13" s="188">
        <f t="shared" si="3"/>
        <v>2927125.40784</v>
      </c>
    </row>
    <row r="14" spans="1:12" x14ac:dyDescent="0.25">
      <c r="A14" s="703" t="s">
        <v>199</v>
      </c>
      <c r="B14" s="703"/>
      <c r="C14" s="187">
        <f>C8*2</f>
        <v>1817052</v>
      </c>
      <c r="D14" s="187">
        <f t="shared" si="1"/>
        <v>60568.4</v>
      </c>
      <c r="E14" s="187">
        <f t="shared" si="2"/>
        <v>7571.05</v>
      </c>
      <c r="F14" s="187">
        <f t="shared" si="0"/>
        <v>1626624.9504</v>
      </c>
      <c r="G14" s="188">
        <f t="shared" si="3"/>
        <v>3443676.9504</v>
      </c>
    </row>
    <row r="15" spans="1:12" x14ac:dyDescent="0.25">
      <c r="A15" s="703" t="s">
        <v>200</v>
      </c>
      <c r="B15" s="703"/>
      <c r="C15" s="187">
        <f>C8*1.5</f>
        <v>1362789</v>
      </c>
      <c r="D15" s="187">
        <f t="shared" si="1"/>
        <v>45426.3</v>
      </c>
      <c r="E15" s="187">
        <f t="shared" si="2"/>
        <v>5678.2875000000004</v>
      </c>
      <c r="F15" s="187">
        <f t="shared" si="0"/>
        <v>1219968.7128000001</v>
      </c>
      <c r="G15" s="188">
        <f t="shared" si="3"/>
        <v>2582757.7127999999</v>
      </c>
    </row>
    <row r="16" spans="1:12" x14ac:dyDescent="0.25">
      <c r="A16" s="710" t="s">
        <v>201</v>
      </c>
      <c r="B16" s="710"/>
      <c r="C16" s="190">
        <f>C8*1.6</f>
        <v>1453641.6</v>
      </c>
      <c r="D16" s="187">
        <f t="shared" si="1"/>
        <v>48454.720000000001</v>
      </c>
      <c r="E16" s="187">
        <f t="shared" si="2"/>
        <v>6056.84</v>
      </c>
      <c r="F16" s="187">
        <f t="shared" si="0"/>
        <v>1301299.9603200001</v>
      </c>
      <c r="G16" s="188">
        <f t="shared" si="3"/>
        <v>2754941.5603200002</v>
      </c>
    </row>
    <row r="17" spans="1:7" x14ac:dyDescent="0.25">
      <c r="A17" s="191" t="s">
        <v>202</v>
      </c>
      <c r="B17" s="191"/>
      <c r="C17" s="187">
        <f>C8*1.1</f>
        <v>999378.60000000009</v>
      </c>
      <c r="D17" s="187">
        <f t="shared" si="1"/>
        <v>33312.620000000003</v>
      </c>
      <c r="E17" s="187">
        <f t="shared" si="2"/>
        <v>4164.0775000000003</v>
      </c>
      <c r="F17" s="187">
        <f t="shared" si="0"/>
        <v>894643.72272000008</v>
      </c>
      <c r="G17" s="188">
        <f t="shared" si="3"/>
        <v>1894022.3227200001</v>
      </c>
    </row>
    <row r="18" spans="1:7" x14ac:dyDescent="0.25">
      <c r="A18" s="166"/>
      <c r="B18" s="166"/>
      <c r="C18" s="166"/>
      <c r="D18" s="166"/>
      <c r="E18" s="166"/>
      <c r="F18" s="166"/>
      <c r="G18" s="166"/>
    </row>
    <row r="19" spans="1:7" x14ac:dyDescent="0.25">
      <c r="A19" s="167" t="s">
        <v>162</v>
      </c>
      <c r="B19" s="168" t="s">
        <v>203</v>
      </c>
      <c r="C19" s="166"/>
      <c r="D19" s="166"/>
      <c r="E19" s="166"/>
      <c r="F19" s="166"/>
      <c r="G19" s="166"/>
    </row>
    <row r="20" spans="1:7" x14ac:dyDescent="0.25">
      <c r="A20" s="167"/>
      <c r="B20" s="168"/>
      <c r="C20" s="166"/>
      <c r="D20" s="166"/>
      <c r="E20" s="166"/>
      <c r="F20" s="166"/>
      <c r="G20" s="166"/>
    </row>
    <row r="21" spans="1:7" ht="25.5" x14ac:dyDescent="0.25">
      <c r="A21" s="707" t="s">
        <v>188</v>
      </c>
      <c r="B21" s="707"/>
      <c r="C21" s="184" t="s">
        <v>189</v>
      </c>
      <c r="D21" s="185" t="s">
        <v>190</v>
      </c>
      <c r="E21" s="185" t="s">
        <v>191</v>
      </c>
      <c r="F21" s="184" t="s">
        <v>192</v>
      </c>
      <c r="G21" s="184" t="s">
        <v>204</v>
      </c>
    </row>
    <row r="22" spans="1:7" x14ac:dyDescent="0.25">
      <c r="A22" s="166"/>
      <c r="B22" s="166" t="s">
        <v>205</v>
      </c>
      <c r="C22" s="166"/>
      <c r="D22" s="166"/>
      <c r="E22" s="166"/>
      <c r="F22" s="166"/>
      <c r="G22" s="166"/>
    </row>
    <row r="23" spans="1:7" x14ac:dyDescent="0.25">
      <c r="A23" s="703" t="s">
        <v>206</v>
      </c>
      <c r="B23" s="703"/>
      <c r="C23" s="187">
        <f>C8+C9</f>
        <v>2271315</v>
      </c>
      <c r="D23" s="187">
        <f>+C23/30</f>
        <v>75710.5</v>
      </c>
      <c r="E23" s="187">
        <f>ROUND(D23/8,0)</f>
        <v>9464</v>
      </c>
      <c r="F23" s="187">
        <f>+E23*0.8952</f>
        <v>8472.1728000000003</v>
      </c>
      <c r="G23" s="192">
        <f>ROUND(+E23+F23,0)</f>
        <v>17936</v>
      </c>
    </row>
    <row r="24" spans="1:7" x14ac:dyDescent="0.25">
      <c r="A24" s="166"/>
      <c r="B24" s="166"/>
      <c r="C24" s="193"/>
      <c r="D24" s="193"/>
      <c r="E24" s="193"/>
      <c r="F24" s="193"/>
      <c r="G24" s="193"/>
    </row>
    <row r="25" spans="1:7" x14ac:dyDescent="0.25">
      <c r="A25" s="166"/>
      <c r="B25" s="166" t="s">
        <v>207</v>
      </c>
      <c r="C25" s="193"/>
      <c r="D25" s="193"/>
      <c r="E25" s="193"/>
      <c r="F25" s="193"/>
      <c r="G25" s="193"/>
    </row>
    <row r="26" spans="1:7" x14ac:dyDescent="0.25">
      <c r="A26" s="703" t="s">
        <v>208</v>
      </c>
      <c r="B26" s="703"/>
      <c r="C26" s="187">
        <f>C8*2+C9</f>
        <v>3179841</v>
      </c>
      <c r="D26" s="187">
        <f>+C26/30</f>
        <v>105994.7</v>
      </c>
      <c r="E26" s="187">
        <f>ROUND(+D26/8,0)</f>
        <v>13249</v>
      </c>
      <c r="F26" s="187">
        <f>+E26*0.8952</f>
        <v>11860.504800000001</v>
      </c>
      <c r="G26" s="192">
        <f>ROUND(+E26+F26,0)</f>
        <v>25110</v>
      </c>
    </row>
    <row r="27" spans="1:7" x14ac:dyDescent="0.25">
      <c r="A27" s="166"/>
      <c r="B27" s="166"/>
      <c r="C27" s="193"/>
      <c r="D27" s="193"/>
      <c r="E27" s="193"/>
      <c r="F27" s="193"/>
      <c r="G27" s="193"/>
    </row>
    <row r="28" spans="1:7" x14ac:dyDescent="0.25">
      <c r="A28" s="166"/>
      <c r="B28" s="166" t="s">
        <v>209</v>
      </c>
      <c r="C28" s="193"/>
      <c r="D28" s="193"/>
      <c r="E28" s="193"/>
      <c r="F28" s="193"/>
      <c r="G28" s="193"/>
    </row>
    <row r="29" spans="1:7" x14ac:dyDescent="0.25">
      <c r="A29" s="703" t="s">
        <v>210</v>
      </c>
      <c r="B29" s="703"/>
      <c r="C29" s="187">
        <f>C8*4+C9</f>
        <v>4996893</v>
      </c>
      <c r="D29" s="187">
        <f>+C29/30</f>
        <v>166563.1</v>
      </c>
      <c r="E29" s="187">
        <f>ROUND(+D29/8,0)</f>
        <v>20820</v>
      </c>
      <c r="F29" s="187">
        <f>+E29*0.8952</f>
        <v>18638.063999999998</v>
      </c>
      <c r="G29" s="192">
        <f>ROUND(+E29+F29,0)</f>
        <v>39458</v>
      </c>
    </row>
    <row r="30" spans="1:7" x14ac:dyDescent="0.25">
      <c r="A30" s="166"/>
      <c r="B30" s="166"/>
      <c r="C30" s="193"/>
      <c r="D30" s="193"/>
      <c r="E30" s="194"/>
      <c r="F30" s="195"/>
      <c r="G30" s="196"/>
    </row>
    <row r="31" spans="1:7" x14ac:dyDescent="0.25">
      <c r="A31" s="166"/>
      <c r="B31" s="166" t="s">
        <v>211</v>
      </c>
      <c r="C31" s="193"/>
      <c r="D31" s="193"/>
      <c r="E31" s="193"/>
      <c r="F31" s="197"/>
      <c r="G31" s="198"/>
    </row>
    <row r="32" spans="1:7" x14ac:dyDescent="0.25">
      <c r="A32" s="708" t="s">
        <v>212</v>
      </c>
      <c r="B32" s="709"/>
      <c r="C32" s="187">
        <f>C16+C17</f>
        <v>2453020.2000000002</v>
      </c>
      <c r="D32" s="187">
        <f>C32/30</f>
        <v>81767.340000000011</v>
      </c>
      <c r="E32" s="187">
        <f>ROUND(D32/8,0)</f>
        <v>10221</v>
      </c>
      <c r="F32" s="187">
        <f>+E32*0.8952</f>
        <v>9149.8392000000003</v>
      </c>
      <c r="G32" s="192">
        <f>ROUND(+E32+F32,0)</f>
        <v>19371</v>
      </c>
    </row>
  </sheetData>
  <mergeCells count="16">
    <mergeCell ref="A23:B23"/>
    <mergeCell ref="A26:B26"/>
    <mergeCell ref="A29:B29"/>
    <mergeCell ref="A32:B32"/>
    <mergeCell ref="A12:B12"/>
    <mergeCell ref="A13:B13"/>
    <mergeCell ref="A14:B14"/>
    <mergeCell ref="A15:B15"/>
    <mergeCell ref="A16:B16"/>
    <mergeCell ref="A21:B21"/>
    <mergeCell ref="A11:B11"/>
    <mergeCell ref="A2:G2"/>
    <mergeCell ref="A7:B7"/>
    <mergeCell ref="A8:B8"/>
    <mergeCell ref="A9:B9"/>
    <mergeCell ref="A10:B10"/>
  </mergeCells>
  <pageMargins left="0.7" right="0.7" top="0.75" bottom="0.75" header="0.3" footer="0.3"/>
  <pageSetup scale="85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2C8D2-C472-4B18-80C6-E0B24DAB3447}">
  <sheetPr>
    <tabColor rgb="FF92D050"/>
  </sheetPr>
  <dimension ref="A1:I41"/>
  <sheetViews>
    <sheetView view="pageBreakPreview" topLeftCell="A22" zoomScale="110" zoomScaleNormal="100" zoomScaleSheetLayoutView="110" workbookViewId="0">
      <selection activeCell="H7" sqref="H7"/>
    </sheetView>
  </sheetViews>
  <sheetFormatPr baseColWidth="10" defaultRowHeight="12.75" x14ac:dyDescent="0.2"/>
  <cols>
    <col min="1" max="2" width="11.42578125" style="379"/>
    <col min="3" max="3" width="21.42578125" style="379" customWidth="1"/>
    <col min="4" max="4" width="15.7109375" style="379" customWidth="1"/>
    <col min="5" max="5" width="24.28515625" style="379" customWidth="1"/>
    <col min="6" max="6" width="12.140625" style="379" customWidth="1"/>
    <col min="7" max="7" width="15.42578125" style="379" bestFit="1" customWidth="1"/>
    <col min="8" max="8" width="22.28515625" style="379" customWidth="1"/>
    <col min="9" max="258" width="11.42578125" style="379"/>
    <col min="259" max="259" width="21.42578125" style="379" customWidth="1"/>
    <col min="260" max="260" width="14.42578125" style="379" bestFit="1" customWidth="1"/>
    <col min="261" max="261" width="24.28515625" style="379" customWidth="1"/>
    <col min="262" max="262" width="12.140625" style="379" customWidth="1"/>
    <col min="263" max="263" width="15.42578125" style="379" bestFit="1" customWidth="1"/>
    <col min="264" max="264" width="22.28515625" style="379" customWidth="1"/>
    <col min="265" max="514" width="11.42578125" style="379"/>
    <col min="515" max="515" width="21.42578125" style="379" customWidth="1"/>
    <col min="516" max="516" width="14.42578125" style="379" bestFit="1" customWidth="1"/>
    <col min="517" max="517" width="24.28515625" style="379" customWidth="1"/>
    <col min="518" max="518" width="12.140625" style="379" customWidth="1"/>
    <col min="519" max="519" width="15.42578125" style="379" bestFit="1" customWidth="1"/>
    <col min="520" max="520" width="22.28515625" style="379" customWidth="1"/>
    <col min="521" max="770" width="11.42578125" style="379"/>
    <col min="771" max="771" width="21.42578125" style="379" customWidth="1"/>
    <col min="772" max="772" width="14.42578125" style="379" bestFit="1" customWidth="1"/>
    <col min="773" max="773" width="24.28515625" style="379" customWidth="1"/>
    <col min="774" max="774" width="12.140625" style="379" customWidth="1"/>
    <col min="775" max="775" width="15.42578125" style="379" bestFit="1" customWidth="1"/>
    <col min="776" max="776" width="22.28515625" style="379" customWidth="1"/>
    <col min="777" max="1026" width="11.42578125" style="379"/>
    <col min="1027" max="1027" width="21.42578125" style="379" customWidth="1"/>
    <col min="1028" max="1028" width="14.42578125" style="379" bestFit="1" customWidth="1"/>
    <col min="1029" max="1029" width="24.28515625" style="379" customWidth="1"/>
    <col min="1030" max="1030" width="12.140625" style="379" customWidth="1"/>
    <col min="1031" max="1031" width="15.42578125" style="379" bestFit="1" customWidth="1"/>
    <col min="1032" max="1032" width="22.28515625" style="379" customWidth="1"/>
    <col min="1033" max="1282" width="11.42578125" style="379"/>
    <col min="1283" max="1283" width="21.42578125" style="379" customWidth="1"/>
    <col min="1284" max="1284" width="14.42578125" style="379" bestFit="1" customWidth="1"/>
    <col min="1285" max="1285" width="24.28515625" style="379" customWidth="1"/>
    <col min="1286" max="1286" width="12.140625" style="379" customWidth="1"/>
    <col min="1287" max="1287" width="15.42578125" style="379" bestFit="1" customWidth="1"/>
    <col min="1288" max="1288" width="22.28515625" style="379" customWidth="1"/>
    <col min="1289" max="1538" width="11.42578125" style="379"/>
    <col min="1539" max="1539" width="21.42578125" style="379" customWidth="1"/>
    <col min="1540" max="1540" width="14.42578125" style="379" bestFit="1" customWidth="1"/>
    <col min="1541" max="1541" width="24.28515625" style="379" customWidth="1"/>
    <col min="1542" max="1542" width="12.140625" style="379" customWidth="1"/>
    <col min="1543" max="1543" width="15.42578125" style="379" bestFit="1" customWidth="1"/>
    <col min="1544" max="1544" width="22.28515625" style="379" customWidth="1"/>
    <col min="1545" max="1794" width="11.42578125" style="379"/>
    <col min="1795" max="1795" width="21.42578125" style="379" customWidth="1"/>
    <col min="1796" max="1796" width="14.42578125" style="379" bestFit="1" customWidth="1"/>
    <col min="1797" max="1797" width="24.28515625" style="379" customWidth="1"/>
    <col min="1798" max="1798" width="12.140625" style="379" customWidth="1"/>
    <col min="1799" max="1799" width="15.42578125" style="379" bestFit="1" customWidth="1"/>
    <col min="1800" max="1800" width="22.28515625" style="379" customWidth="1"/>
    <col min="1801" max="2050" width="11.42578125" style="379"/>
    <col min="2051" max="2051" width="21.42578125" style="379" customWidth="1"/>
    <col min="2052" max="2052" width="14.42578125" style="379" bestFit="1" customWidth="1"/>
    <col min="2053" max="2053" width="24.28515625" style="379" customWidth="1"/>
    <col min="2054" max="2054" width="12.140625" style="379" customWidth="1"/>
    <col min="2055" max="2055" width="15.42578125" style="379" bestFit="1" customWidth="1"/>
    <col min="2056" max="2056" width="22.28515625" style="379" customWidth="1"/>
    <col min="2057" max="2306" width="11.42578125" style="379"/>
    <col min="2307" max="2307" width="21.42578125" style="379" customWidth="1"/>
    <col min="2308" max="2308" width="14.42578125" style="379" bestFit="1" customWidth="1"/>
    <col min="2309" max="2309" width="24.28515625" style="379" customWidth="1"/>
    <col min="2310" max="2310" width="12.140625" style="379" customWidth="1"/>
    <col min="2311" max="2311" width="15.42578125" style="379" bestFit="1" customWidth="1"/>
    <col min="2312" max="2312" width="22.28515625" style="379" customWidth="1"/>
    <col min="2313" max="2562" width="11.42578125" style="379"/>
    <col min="2563" max="2563" width="21.42578125" style="379" customWidth="1"/>
    <col min="2564" max="2564" width="14.42578125" style="379" bestFit="1" customWidth="1"/>
    <col min="2565" max="2565" width="24.28515625" style="379" customWidth="1"/>
    <col min="2566" max="2566" width="12.140625" style="379" customWidth="1"/>
    <col min="2567" max="2567" width="15.42578125" style="379" bestFit="1" customWidth="1"/>
    <col min="2568" max="2568" width="22.28515625" style="379" customWidth="1"/>
    <col min="2569" max="2818" width="11.42578125" style="379"/>
    <col min="2819" max="2819" width="21.42578125" style="379" customWidth="1"/>
    <col min="2820" max="2820" width="14.42578125" style="379" bestFit="1" customWidth="1"/>
    <col min="2821" max="2821" width="24.28515625" style="379" customWidth="1"/>
    <col min="2822" max="2822" width="12.140625" style="379" customWidth="1"/>
    <col min="2823" max="2823" width="15.42578125" style="379" bestFit="1" customWidth="1"/>
    <col min="2824" max="2824" width="22.28515625" style="379" customWidth="1"/>
    <col min="2825" max="3074" width="11.42578125" style="379"/>
    <col min="3075" max="3075" width="21.42578125" style="379" customWidth="1"/>
    <col min="3076" max="3076" width="14.42578125" style="379" bestFit="1" customWidth="1"/>
    <col min="3077" max="3077" width="24.28515625" style="379" customWidth="1"/>
    <col min="3078" max="3078" width="12.140625" style="379" customWidth="1"/>
    <col min="3079" max="3079" width="15.42578125" style="379" bestFit="1" customWidth="1"/>
    <col min="3080" max="3080" width="22.28515625" style="379" customWidth="1"/>
    <col min="3081" max="3330" width="11.42578125" style="379"/>
    <col min="3331" max="3331" width="21.42578125" style="379" customWidth="1"/>
    <col min="3332" max="3332" width="14.42578125" style="379" bestFit="1" customWidth="1"/>
    <col min="3333" max="3333" width="24.28515625" style="379" customWidth="1"/>
    <col min="3334" max="3334" width="12.140625" style="379" customWidth="1"/>
    <col min="3335" max="3335" width="15.42578125" style="379" bestFit="1" customWidth="1"/>
    <col min="3336" max="3336" width="22.28515625" style="379" customWidth="1"/>
    <col min="3337" max="3586" width="11.42578125" style="379"/>
    <col min="3587" max="3587" width="21.42578125" style="379" customWidth="1"/>
    <col min="3588" max="3588" width="14.42578125" style="379" bestFit="1" customWidth="1"/>
    <col min="3589" max="3589" width="24.28515625" style="379" customWidth="1"/>
    <col min="3590" max="3590" width="12.140625" style="379" customWidth="1"/>
    <col min="3591" max="3591" width="15.42578125" style="379" bestFit="1" customWidth="1"/>
    <col min="3592" max="3592" width="22.28515625" style="379" customWidth="1"/>
    <col min="3593" max="3842" width="11.42578125" style="379"/>
    <col min="3843" max="3843" width="21.42578125" style="379" customWidth="1"/>
    <col min="3844" max="3844" width="14.42578125" style="379" bestFit="1" customWidth="1"/>
    <col min="3845" max="3845" width="24.28515625" style="379" customWidth="1"/>
    <col min="3846" max="3846" width="12.140625" style="379" customWidth="1"/>
    <col min="3847" max="3847" width="15.42578125" style="379" bestFit="1" customWidth="1"/>
    <col min="3848" max="3848" width="22.28515625" style="379" customWidth="1"/>
    <col min="3849" max="4098" width="11.42578125" style="379"/>
    <col min="4099" max="4099" width="21.42578125" style="379" customWidth="1"/>
    <col min="4100" max="4100" width="14.42578125" style="379" bestFit="1" customWidth="1"/>
    <col min="4101" max="4101" width="24.28515625" style="379" customWidth="1"/>
    <col min="4102" max="4102" width="12.140625" style="379" customWidth="1"/>
    <col min="4103" max="4103" width="15.42578125" style="379" bestFit="1" customWidth="1"/>
    <col min="4104" max="4104" width="22.28515625" style="379" customWidth="1"/>
    <col min="4105" max="4354" width="11.42578125" style="379"/>
    <col min="4355" max="4355" width="21.42578125" style="379" customWidth="1"/>
    <col min="4356" max="4356" width="14.42578125" style="379" bestFit="1" customWidth="1"/>
    <col min="4357" max="4357" width="24.28515625" style="379" customWidth="1"/>
    <col min="4358" max="4358" width="12.140625" style="379" customWidth="1"/>
    <col min="4359" max="4359" width="15.42578125" style="379" bestFit="1" customWidth="1"/>
    <col min="4360" max="4360" width="22.28515625" style="379" customWidth="1"/>
    <col min="4361" max="4610" width="11.42578125" style="379"/>
    <col min="4611" max="4611" width="21.42578125" style="379" customWidth="1"/>
    <col min="4612" max="4612" width="14.42578125" style="379" bestFit="1" customWidth="1"/>
    <col min="4613" max="4613" width="24.28515625" style="379" customWidth="1"/>
    <col min="4614" max="4614" width="12.140625" style="379" customWidth="1"/>
    <col min="4615" max="4615" width="15.42578125" style="379" bestFit="1" customWidth="1"/>
    <col min="4616" max="4616" width="22.28515625" style="379" customWidth="1"/>
    <col min="4617" max="4866" width="11.42578125" style="379"/>
    <col min="4867" max="4867" width="21.42578125" style="379" customWidth="1"/>
    <col min="4868" max="4868" width="14.42578125" style="379" bestFit="1" customWidth="1"/>
    <col min="4869" max="4869" width="24.28515625" style="379" customWidth="1"/>
    <col min="4870" max="4870" width="12.140625" style="379" customWidth="1"/>
    <col min="4871" max="4871" width="15.42578125" style="379" bestFit="1" customWidth="1"/>
    <col min="4872" max="4872" width="22.28515625" style="379" customWidth="1"/>
    <col min="4873" max="5122" width="11.42578125" style="379"/>
    <col min="5123" max="5123" width="21.42578125" style="379" customWidth="1"/>
    <col min="5124" max="5124" width="14.42578125" style="379" bestFit="1" customWidth="1"/>
    <col min="5125" max="5125" width="24.28515625" style="379" customWidth="1"/>
    <col min="5126" max="5126" width="12.140625" style="379" customWidth="1"/>
    <col min="5127" max="5127" width="15.42578125" style="379" bestFit="1" customWidth="1"/>
    <col min="5128" max="5128" width="22.28515625" style="379" customWidth="1"/>
    <col min="5129" max="5378" width="11.42578125" style="379"/>
    <col min="5379" max="5379" width="21.42578125" style="379" customWidth="1"/>
    <col min="5380" max="5380" width="14.42578125" style="379" bestFit="1" customWidth="1"/>
    <col min="5381" max="5381" width="24.28515625" style="379" customWidth="1"/>
    <col min="5382" max="5382" width="12.140625" style="379" customWidth="1"/>
    <col min="5383" max="5383" width="15.42578125" style="379" bestFit="1" customWidth="1"/>
    <col min="5384" max="5384" width="22.28515625" style="379" customWidth="1"/>
    <col min="5385" max="5634" width="11.42578125" style="379"/>
    <col min="5635" max="5635" width="21.42578125" style="379" customWidth="1"/>
    <col min="5636" max="5636" width="14.42578125" style="379" bestFit="1" customWidth="1"/>
    <col min="5637" max="5637" width="24.28515625" style="379" customWidth="1"/>
    <col min="5638" max="5638" width="12.140625" style="379" customWidth="1"/>
    <col min="5639" max="5639" width="15.42578125" style="379" bestFit="1" customWidth="1"/>
    <col min="5640" max="5640" width="22.28515625" style="379" customWidth="1"/>
    <col min="5641" max="5890" width="11.42578125" style="379"/>
    <col min="5891" max="5891" width="21.42578125" style="379" customWidth="1"/>
    <col min="5892" max="5892" width="14.42578125" style="379" bestFit="1" customWidth="1"/>
    <col min="5893" max="5893" width="24.28515625" style="379" customWidth="1"/>
    <col min="5894" max="5894" width="12.140625" style="379" customWidth="1"/>
    <col min="5895" max="5895" width="15.42578125" style="379" bestFit="1" customWidth="1"/>
    <col min="5896" max="5896" width="22.28515625" style="379" customWidth="1"/>
    <col min="5897" max="6146" width="11.42578125" style="379"/>
    <col min="6147" max="6147" width="21.42578125" style="379" customWidth="1"/>
    <col min="6148" max="6148" width="14.42578125" style="379" bestFit="1" customWidth="1"/>
    <col min="6149" max="6149" width="24.28515625" style="379" customWidth="1"/>
    <col min="6150" max="6150" width="12.140625" style="379" customWidth="1"/>
    <col min="6151" max="6151" width="15.42578125" style="379" bestFit="1" customWidth="1"/>
    <col min="6152" max="6152" width="22.28515625" style="379" customWidth="1"/>
    <col min="6153" max="6402" width="11.42578125" style="379"/>
    <col min="6403" max="6403" width="21.42578125" style="379" customWidth="1"/>
    <col min="6404" max="6404" width="14.42578125" style="379" bestFit="1" customWidth="1"/>
    <col min="6405" max="6405" width="24.28515625" style="379" customWidth="1"/>
    <col min="6406" max="6406" width="12.140625" style="379" customWidth="1"/>
    <col min="6407" max="6407" width="15.42578125" style="379" bestFit="1" customWidth="1"/>
    <col min="6408" max="6408" width="22.28515625" style="379" customWidth="1"/>
    <col min="6409" max="6658" width="11.42578125" style="379"/>
    <col min="6659" max="6659" width="21.42578125" style="379" customWidth="1"/>
    <col min="6660" max="6660" width="14.42578125" style="379" bestFit="1" customWidth="1"/>
    <col min="6661" max="6661" width="24.28515625" style="379" customWidth="1"/>
    <col min="6662" max="6662" width="12.140625" style="379" customWidth="1"/>
    <col min="6663" max="6663" width="15.42578125" style="379" bestFit="1" customWidth="1"/>
    <col min="6664" max="6664" width="22.28515625" style="379" customWidth="1"/>
    <col min="6665" max="6914" width="11.42578125" style="379"/>
    <col min="6915" max="6915" width="21.42578125" style="379" customWidth="1"/>
    <col min="6916" max="6916" width="14.42578125" style="379" bestFit="1" customWidth="1"/>
    <col min="6917" max="6917" width="24.28515625" style="379" customWidth="1"/>
    <col min="6918" max="6918" width="12.140625" style="379" customWidth="1"/>
    <col min="6919" max="6919" width="15.42578125" style="379" bestFit="1" customWidth="1"/>
    <col min="6920" max="6920" width="22.28515625" style="379" customWidth="1"/>
    <col min="6921" max="7170" width="11.42578125" style="379"/>
    <col min="7171" max="7171" width="21.42578125" style="379" customWidth="1"/>
    <col min="7172" max="7172" width="14.42578125" style="379" bestFit="1" customWidth="1"/>
    <col min="7173" max="7173" width="24.28515625" style="379" customWidth="1"/>
    <col min="7174" max="7174" width="12.140625" style="379" customWidth="1"/>
    <col min="7175" max="7175" width="15.42578125" style="379" bestFit="1" customWidth="1"/>
    <col min="7176" max="7176" width="22.28515625" style="379" customWidth="1"/>
    <col min="7177" max="7426" width="11.42578125" style="379"/>
    <col min="7427" max="7427" width="21.42578125" style="379" customWidth="1"/>
    <col min="7428" max="7428" width="14.42578125" style="379" bestFit="1" customWidth="1"/>
    <col min="7429" max="7429" width="24.28515625" style="379" customWidth="1"/>
    <col min="7430" max="7430" width="12.140625" style="379" customWidth="1"/>
    <col min="7431" max="7431" width="15.42578125" style="379" bestFit="1" customWidth="1"/>
    <col min="7432" max="7432" width="22.28515625" style="379" customWidth="1"/>
    <col min="7433" max="7682" width="11.42578125" style="379"/>
    <col min="7683" max="7683" width="21.42578125" style="379" customWidth="1"/>
    <col min="7684" max="7684" width="14.42578125" style="379" bestFit="1" customWidth="1"/>
    <col min="7685" max="7685" width="24.28515625" style="379" customWidth="1"/>
    <col min="7686" max="7686" width="12.140625" style="379" customWidth="1"/>
    <col min="7687" max="7687" width="15.42578125" style="379" bestFit="1" customWidth="1"/>
    <col min="7688" max="7688" width="22.28515625" style="379" customWidth="1"/>
    <col min="7689" max="7938" width="11.42578125" style="379"/>
    <col min="7939" max="7939" width="21.42578125" style="379" customWidth="1"/>
    <col min="7940" max="7940" width="14.42578125" style="379" bestFit="1" customWidth="1"/>
    <col min="7941" max="7941" width="24.28515625" style="379" customWidth="1"/>
    <col min="7942" max="7942" width="12.140625" style="379" customWidth="1"/>
    <col min="7943" max="7943" width="15.42578125" style="379" bestFit="1" customWidth="1"/>
    <col min="7944" max="7944" width="22.28515625" style="379" customWidth="1"/>
    <col min="7945" max="8194" width="11.42578125" style="379"/>
    <col min="8195" max="8195" width="21.42578125" style="379" customWidth="1"/>
    <col min="8196" max="8196" width="14.42578125" style="379" bestFit="1" customWidth="1"/>
    <col min="8197" max="8197" width="24.28515625" style="379" customWidth="1"/>
    <col min="8198" max="8198" width="12.140625" style="379" customWidth="1"/>
    <col min="8199" max="8199" width="15.42578125" style="379" bestFit="1" customWidth="1"/>
    <col min="8200" max="8200" width="22.28515625" style="379" customWidth="1"/>
    <col min="8201" max="8450" width="11.42578125" style="379"/>
    <col min="8451" max="8451" width="21.42578125" style="379" customWidth="1"/>
    <col min="8452" max="8452" width="14.42578125" style="379" bestFit="1" customWidth="1"/>
    <col min="8453" max="8453" width="24.28515625" style="379" customWidth="1"/>
    <col min="8454" max="8454" width="12.140625" style="379" customWidth="1"/>
    <col min="8455" max="8455" width="15.42578125" style="379" bestFit="1" customWidth="1"/>
    <col min="8456" max="8456" width="22.28515625" style="379" customWidth="1"/>
    <col min="8457" max="8706" width="11.42578125" style="379"/>
    <col min="8707" max="8707" width="21.42578125" style="379" customWidth="1"/>
    <col min="8708" max="8708" width="14.42578125" style="379" bestFit="1" customWidth="1"/>
    <col min="8709" max="8709" width="24.28515625" style="379" customWidth="1"/>
    <col min="8710" max="8710" width="12.140625" style="379" customWidth="1"/>
    <col min="8711" max="8711" width="15.42578125" style="379" bestFit="1" customWidth="1"/>
    <col min="8712" max="8712" width="22.28515625" style="379" customWidth="1"/>
    <col min="8713" max="8962" width="11.42578125" style="379"/>
    <col min="8963" max="8963" width="21.42578125" style="379" customWidth="1"/>
    <col min="8964" max="8964" width="14.42578125" style="379" bestFit="1" customWidth="1"/>
    <col min="8965" max="8965" width="24.28515625" style="379" customWidth="1"/>
    <col min="8966" max="8966" width="12.140625" style="379" customWidth="1"/>
    <col min="8967" max="8967" width="15.42578125" style="379" bestFit="1" customWidth="1"/>
    <col min="8968" max="8968" width="22.28515625" style="379" customWidth="1"/>
    <col min="8969" max="9218" width="11.42578125" style="379"/>
    <col min="9219" max="9219" width="21.42578125" style="379" customWidth="1"/>
    <col min="9220" max="9220" width="14.42578125" style="379" bestFit="1" customWidth="1"/>
    <col min="9221" max="9221" width="24.28515625" style="379" customWidth="1"/>
    <col min="9222" max="9222" width="12.140625" style="379" customWidth="1"/>
    <col min="9223" max="9223" width="15.42578125" style="379" bestFit="1" customWidth="1"/>
    <col min="9224" max="9224" width="22.28515625" style="379" customWidth="1"/>
    <col min="9225" max="9474" width="11.42578125" style="379"/>
    <col min="9475" max="9475" width="21.42578125" style="379" customWidth="1"/>
    <col min="9476" max="9476" width="14.42578125" style="379" bestFit="1" customWidth="1"/>
    <col min="9477" max="9477" width="24.28515625" style="379" customWidth="1"/>
    <col min="9478" max="9478" width="12.140625" style="379" customWidth="1"/>
    <col min="9479" max="9479" width="15.42578125" style="379" bestFit="1" customWidth="1"/>
    <col min="9480" max="9480" width="22.28515625" style="379" customWidth="1"/>
    <col min="9481" max="9730" width="11.42578125" style="379"/>
    <col min="9731" max="9731" width="21.42578125" style="379" customWidth="1"/>
    <col min="9732" max="9732" width="14.42578125" style="379" bestFit="1" customWidth="1"/>
    <col min="9733" max="9733" width="24.28515625" style="379" customWidth="1"/>
    <col min="9734" max="9734" width="12.140625" style="379" customWidth="1"/>
    <col min="9735" max="9735" width="15.42578125" style="379" bestFit="1" customWidth="1"/>
    <col min="9736" max="9736" width="22.28515625" style="379" customWidth="1"/>
    <col min="9737" max="9986" width="11.42578125" style="379"/>
    <col min="9987" max="9987" width="21.42578125" style="379" customWidth="1"/>
    <col min="9988" max="9988" width="14.42578125" style="379" bestFit="1" customWidth="1"/>
    <col min="9989" max="9989" width="24.28515625" style="379" customWidth="1"/>
    <col min="9990" max="9990" width="12.140625" style="379" customWidth="1"/>
    <col min="9991" max="9991" width="15.42578125" style="379" bestFit="1" customWidth="1"/>
    <col min="9992" max="9992" width="22.28515625" style="379" customWidth="1"/>
    <col min="9993" max="10242" width="11.42578125" style="379"/>
    <col min="10243" max="10243" width="21.42578125" style="379" customWidth="1"/>
    <col min="10244" max="10244" width="14.42578125" style="379" bestFit="1" customWidth="1"/>
    <col min="10245" max="10245" width="24.28515625" style="379" customWidth="1"/>
    <col min="10246" max="10246" width="12.140625" style="379" customWidth="1"/>
    <col min="10247" max="10247" width="15.42578125" style="379" bestFit="1" customWidth="1"/>
    <col min="10248" max="10248" width="22.28515625" style="379" customWidth="1"/>
    <col min="10249" max="10498" width="11.42578125" style="379"/>
    <col min="10499" max="10499" width="21.42578125" style="379" customWidth="1"/>
    <col min="10500" max="10500" width="14.42578125" style="379" bestFit="1" customWidth="1"/>
    <col min="10501" max="10501" width="24.28515625" style="379" customWidth="1"/>
    <col min="10502" max="10502" width="12.140625" style="379" customWidth="1"/>
    <col min="10503" max="10503" width="15.42578125" style="379" bestFit="1" customWidth="1"/>
    <col min="10504" max="10504" width="22.28515625" style="379" customWidth="1"/>
    <col min="10505" max="10754" width="11.42578125" style="379"/>
    <col min="10755" max="10755" width="21.42578125" style="379" customWidth="1"/>
    <col min="10756" max="10756" width="14.42578125" style="379" bestFit="1" customWidth="1"/>
    <col min="10757" max="10757" width="24.28515625" style="379" customWidth="1"/>
    <col min="10758" max="10758" width="12.140625" style="379" customWidth="1"/>
    <col min="10759" max="10759" width="15.42578125" style="379" bestFit="1" customWidth="1"/>
    <col min="10760" max="10760" width="22.28515625" style="379" customWidth="1"/>
    <col min="10761" max="11010" width="11.42578125" style="379"/>
    <col min="11011" max="11011" width="21.42578125" style="379" customWidth="1"/>
    <col min="11012" max="11012" width="14.42578125" style="379" bestFit="1" customWidth="1"/>
    <col min="11013" max="11013" width="24.28515625" style="379" customWidth="1"/>
    <col min="11014" max="11014" width="12.140625" style="379" customWidth="1"/>
    <col min="11015" max="11015" width="15.42578125" style="379" bestFit="1" customWidth="1"/>
    <col min="11016" max="11016" width="22.28515625" style="379" customWidth="1"/>
    <col min="11017" max="11266" width="11.42578125" style="379"/>
    <col min="11267" max="11267" width="21.42578125" style="379" customWidth="1"/>
    <col min="11268" max="11268" width="14.42578125" style="379" bestFit="1" customWidth="1"/>
    <col min="11269" max="11269" width="24.28515625" style="379" customWidth="1"/>
    <col min="11270" max="11270" width="12.140625" style="379" customWidth="1"/>
    <col min="11271" max="11271" width="15.42578125" style="379" bestFit="1" customWidth="1"/>
    <col min="11272" max="11272" width="22.28515625" style="379" customWidth="1"/>
    <col min="11273" max="11522" width="11.42578125" style="379"/>
    <col min="11523" max="11523" width="21.42578125" style="379" customWidth="1"/>
    <col min="11524" max="11524" width="14.42578125" style="379" bestFit="1" customWidth="1"/>
    <col min="11525" max="11525" width="24.28515625" style="379" customWidth="1"/>
    <col min="11526" max="11526" width="12.140625" style="379" customWidth="1"/>
    <col min="11527" max="11527" width="15.42578125" style="379" bestFit="1" customWidth="1"/>
    <col min="11528" max="11528" width="22.28515625" style="379" customWidth="1"/>
    <col min="11529" max="11778" width="11.42578125" style="379"/>
    <col min="11779" max="11779" width="21.42578125" style="379" customWidth="1"/>
    <col min="11780" max="11780" width="14.42578125" style="379" bestFit="1" customWidth="1"/>
    <col min="11781" max="11781" width="24.28515625" style="379" customWidth="1"/>
    <col min="11782" max="11782" width="12.140625" style="379" customWidth="1"/>
    <col min="11783" max="11783" width="15.42578125" style="379" bestFit="1" customWidth="1"/>
    <col min="11784" max="11784" width="22.28515625" style="379" customWidth="1"/>
    <col min="11785" max="12034" width="11.42578125" style="379"/>
    <col min="12035" max="12035" width="21.42578125" style="379" customWidth="1"/>
    <col min="12036" max="12036" width="14.42578125" style="379" bestFit="1" customWidth="1"/>
    <col min="12037" max="12037" width="24.28515625" style="379" customWidth="1"/>
    <col min="12038" max="12038" width="12.140625" style="379" customWidth="1"/>
    <col min="12039" max="12039" width="15.42578125" style="379" bestFit="1" customWidth="1"/>
    <col min="12040" max="12040" width="22.28515625" style="379" customWidth="1"/>
    <col min="12041" max="12290" width="11.42578125" style="379"/>
    <col min="12291" max="12291" width="21.42578125" style="379" customWidth="1"/>
    <col min="12292" max="12292" width="14.42578125" style="379" bestFit="1" customWidth="1"/>
    <col min="12293" max="12293" width="24.28515625" style="379" customWidth="1"/>
    <col min="12294" max="12294" width="12.140625" style="379" customWidth="1"/>
    <col min="12295" max="12295" width="15.42578125" style="379" bestFit="1" customWidth="1"/>
    <col min="12296" max="12296" width="22.28515625" style="379" customWidth="1"/>
    <col min="12297" max="12546" width="11.42578125" style="379"/>
    <col min="12547" max="12547" width="21.42578125" style="379" customWidth="1"/>
    <col min="12548" max="12548" width="14.42578125" style="379" bestFit="1" customWidth="1"/>
    <col min="12549" max="12549" width="24.28515625" style="379" customWidth="1"/>
    <col min="12550" max="12550" width="12.140625" style="379" customWidth="1"/>
    <col min="12551" max="12551" width="15.42578125" style="379" bestFit="1" customWidth="1"/>
    <col min="12552" max="12552" width="22.28515625" style="379" customWidth="1"/>
    <col min="12553" max="12802" width="11.42578125" style="379"/>
    <col min="12803" max="12803" width="21.42578125" style="379" customWidth="1"/>
    <col min="12804" max="12804" width="14.42578125" style="379" bestFit="1" customWidth="1"/>
    <col min="12805" max="12805" width="24.28515625" style="379" customWidth="1"/>
    <col min="12806" max="12806" width="12.140625" style="379" customWidth="1"/>
    <col min="12807" max="12807" width="15.42578125" style="379" bestFit="1" customWidth="1"/>
    <col min="12808" max="12808" width="22.28515625" style="379" customWidth="1"/>
    <col min="12809" max="13058" width="11.42578125" style="379"/>
    <col min="13059" max="13059" width="21.42578125" style="379" customWidth="1"/>
    <col min="13060" max="13060" width="14.42578125" style="379" bestFit="1" customWidth="1"/>
    <col min="13061" max="13061" width="24.28515625" style="379" customWidth="1"/>
    <col min="13062" max="13062" width="12.140625" style="379" customWidth="1"/>
    <col min="13063" max="13063" width="15.42578125" style="379" bestFit="1" customWidth="1"/>
    <col min="13064" max="13064" width="22.28515625" style="379" customWidth="1"/>
    <col min="13065" max="13314" width="11.42578125" style="379"/>
    <col min="13315" max="13315" width="21.42578125" style="379" customWidth="1"/>
    <col min="13316" max="13316" width="14.42578125" style="379" bestFit="1" customWidth="1"/>
    <col min="13317" max="13317" width="24.28515625" style="379" customWidth="1"/>
    <col min="13318" max="13318" width="12.140625" style="379" customWidth="1"/>
    <col min="13319" max="13319" width="15.42578125" style="379" bestFit="1" customWidth="1"/>
    <col min="13320" max="13320" width="22.28515625" style="379" customWidth="1"/>
    <col min="13321" max="13570" width="11.42578125" style="379"/>
    <col min="13571" max="13571" width="21.42578125" style="379" customWidth="1"/>
    <col min="13572" max="13572" width="14.42578125" style="379" bestFit="1" customWidth="1"/>
    <col min="13573" max="13573" width="24.28515625" style="379" customWidth="1"/>
    <col min="13574" max="13574" width="12.140625" style="379" customWidth="1"/>
    <col min="13575" max="13575" width="15.42578125" style="379" bestFit="1" customWidth="1"/>
    <col min="13576" max="13576" width="22.28515625" style="379" customWidth="1"/>
    <col min="13577" max="13826" width="11.42578125" style="379"/>
    <col min="13827" max="13827" width="21.42578125" style="379" customWidth="1"/>
    <col min="13828" max="13828" width="14.42578125" style="379" bestFit="1" customWidth="1"/>
    <col min="13829" max="13829" width="24.28515625" style="379" customWidth="1"/>
    <col min="13830" max="13830" width="12.140625" style="379" customWidth="1"/>
    <col min="13831" max="13831" width="15.42578125" style="379" bestFit="1" customWidth="1"/>
    <col min="13832" max="13832" width="22.28515625" style="379" customWidth="1"/>
    <col min="13833" max="14082" width="11.42578125" style="379"/>
    <col min="14083" max="14083" width="21.42578125" style="379" customWidth="1"/>
    <col min="14084" max="14084" width="14.42578125" style="379" bestFit="1" customWidth="1"/>
    <col min="14085" max="14085" width="24.28515625" style="379" customWidth="1"/>
    <col min="14086" max="14086" width="12.140625" style="379" customWidth="1"/>
    <col min="14087" max="14087" width="15.42578125" style="379" bestFit="1" customWidth="1"/>
    <col min="14088" max="14088" width="22.28515625" style="379" customWidth="1"/>
    <col min="14089" max="14338" width="11.42578125" style="379"/>
    <col min="14339" max="14339" width="21.42578125" style="379" customWidth="1"/>
    <col min="14340" max="14340" width="14.42578125" style="379" bestFit="1" customWidth="1"/>
    <col min="14341" max="14341" width="24.28515625" style="379" customWidth="1"/>
    <col min="14342" max="14342" width="12.140625" style="379" customWidth="1"/>
    <col min="14343" max="14343" width="15.42578125" style="379" bestFit="1" customWidth="1"/>
    <col min="14344" max="14344" width="22.28515625" style="379" customWidth="1"/>
    <col min="14345" max="14594" width="11.42578125" style="379"/>
    <col min="14595" max="14595" width="21.42578125" style="379" customWidth="1"/>
    <col min="14596" max="14596" width="14.42578125" style="379" bestFit="1" customWidth="1"/>
    <col min="14597" max="14597" width="24.28515625" style="379" customWidth="1"/>
    <col min="14598" max="14598" width="12.140625" style="379" customWidth="1"/>
    <col min="14599" max="14599" width="15.42578125" style="379" bestFit="1" customWidth="1"/>
    <col min="14600" max="14600" width="22.28515625" style="379" customWidth="1"/>
    <col min="14601" max="14850" width="11.42578125" style="379"/>
    <col min="14851" max="14851" width="21.42578125" style="379" customWidth="1"/>
    <col min="14852" max="14852" width="14.42578125" style="379" bestFit="1" customWidth="1"/>
    <col min="14853" max="14853" width="24.28515625" style="379" customWidth="1"/>
    <col min="14854" max="14854" width="12.140625" style="379" customWidth="1"/>
    <col min="14855" max="14855" width="15.42578125" style="379" bestFit="1" customWidth="1"/>
    <col min="14856" max="14856" width="22.28515625" style="379" customWidth="1"/>
    <col min="14857" max="15106" width="11.42578125" style="379"/>
    <col min="15107" max="15107" width="21.42578125" style="379" customWidth="1"/>
    <col min="15108" max="15108" width="14.42578125" style="379" bestFit="1" customWidth="1"/>
    <col min="15109" max="15109" width="24.28515625" style="379" customWidth="1"/>
    <col min="15110" max="15110" width="12.140625" style="379" customWidth="1"/>
    <col min="15111" max="15111" width="15.42578125" style="379" bestFit="1" customWidth="1"/>
    <col min="15112" max="15112" width="22.28515625" style="379" customWidth="1"/>
    <col min="15113" max="15362" width="11.42578125" style="379"/>
    <col min="15363" max="15363" width="21.42578125" style="379" customWidth="1"/>
    <col min="15364" max="15364" width="14.42578125" style="379" bestFit="1" customWidth="1"/>
    <col min="15365" max="15365" width="24.28515625" style="379" customWidth="1"/>
    <col min="15366" max="15366" width="12.140625" style="379" customWidth="1"/>
    <col min="15367" max="15367" width="15.42578125" style="379" bestFit="1" customWidth="1"/>
    <col min="15368" max="15368" width="22.28515625" style="379" customWidth="1"/>
    <col min="15369" max="15618" width="11.42578125" style="379"/>
    <col min="15619" max="15619" width="21.42578125" style="379" customWidth="1"/>
    <col min="15620" max="15620" width="14.42578125" style="379" bestFit="1" customWidth="1"/>
    <col min="15621" max="15621" width="24.28515625" style="379" customWidth="1"/>
    <col min="15622" max="15622" width="12.140625" style="379" customWidth="1"/>
    <col min="15623" max="15623" width="15.42578125" style="379" bestFit="1" customWidth="1"/>
    <col min="15624" max="15624" width="22.28515625" style="379" customWidth="1"/>
    <col min="15625" max="15874" width="11.42578125" style="379"/>
    <col min="15875" max="15875" width="21.42578125" style="379" customWidth="1"/>
    <col min="15876" max="15876" width="14.42578125" style="379" bestFit="1" customWidth="1"/>
    <col min="15877" max="15877" width="24.28515625" style="379" customWidth="1"/>
    <col min="15878" max="15878" width="12.140625" style="379" customWidth="1"/>
    <col min="15879" max="15879" width="15.42578125" style="379" bestFit="1" customWidth="1"/>
    <col min="15880" max="15880" width="22.28515625" style="379" customWidth="1"/>
    <col min="15881" max="16130" width="11.42578125" style="379"/>
    <col min="16131" max="16131" width="21.42578125" style="379" customWidth="1"/>
    <col min="16132" max="16132" width="14.42578125" style="379" bestFit="1" customWidth="1"/>
    <col min="16133" max="16133" width="24.28515625" style="379" customWidth="1"/>
    <col min="16134" max="16134" width="12.140625" style="379" customWidth="1"/>
    <col min="16135" max="16135" width="15.42578125" style="379" bestFit="1" customWidth="1"/>
    <col min="16136" max="16136" width="22.28515625" style="379" customWidth="1"/>
    <col min="16137" max="16384" width="11.42578125" style="379"/>
  </cols>
  <sheetData>
    <row r="1" spans="1:9" ht="30.75" customHeight="1" x14ac:dyDescent="0.2">
      <c r="A1" s="711" t="str">
        <f>+PRESUPUESTO!A2</f>
        <v>EJECUCIÓN DE ACCIÓN DE MEJORAMIENTO AMBIENTAL Y PAISAJÍSTICO DE LA ZONA VERDE COMPLEMENTARIA AL ESPACIO PÚBLICO DEL ESCENARIO DEPORTIVO EXISTENTE EN LA VEREDA SAN RAFAEL, MUNICIPIO DE MORALES, DEPARTAMENTO DEL CAUCA</v>
      </c>
      <c r="B1" s="711"/>
      <c r="C1" s="711"/>
      <c r="D1" s="711"/>
      <c r="E1" s="711"/>
      <c r="F1" s="711"/>
      <c r="G1" s="711"/>
      <c r="H1" s="711"/>
      <c r="I1" s="711"/>
    </row>
    <row r="2" spans="1:9" ht="18" x14ac:dyDescent="0.2">
      <c r="A2" s="712" t="s">
        <v>287</v>
      </c>
      <c r="B2" s="712"/>
      <c r="C2" s="712"/>
      <c r="D2" s="712"/>
      <c r="E2" s="712"/>
      <c r="F2" s="712"/>
      <c r="G2" s="712"/>
      <c r="H2" s="712"/>
      <c r="I2" s="712"/>
    </row>
    <row r="3" spans="1:9" x14ac:dyDescent="0.2">
      <c r="A3" s="380"/>
      <c r="B3" s="380"/>
      <c r="C3" s="380"/>
      <c r="D3" s="380"/>
      <c r="E3" s="380"/>
      <c r="F3" s="380"/>
      <c r="G3" s="380"/>
      <c r="H3" s="380"/>
      <c r="I3" s="380"/>
    </row>
    <row r="4" spans="1:9" x14ac:dyDescent="0.2">
      <c r="A4" s="380"/>
      <c r="B4" s="380"/>
      <c r="C4" s="713" t="s">
        <v>288</v>
      </c>
      <c r="D4" s="714"/>
      <c r="E4" s="714"/>
      <c r="F4" s="714"/>
      <c r="G4" s="715"/>
      <c r="H4" s="381">
        <f>+PRESUPUESTO!F39</f>
        <v>40959401</v>
      </c>
      <c r="I4" s="380"/>
    </row>
    <row r="5" spans="1:9" ht="15" x14ac:dyDescent="0.25">
      <c r="A5" s="382"/>
      <c r="B5" s="382"/>
      <c r="C5" s="382"/>
      <c r="D5" s="382"/>
      <c r="E5" s="382"/>
      <c r="F5" s="382"/>
      <c r="G5" s="382"/>
      <c r="H5" s="382"/>
      <c r="I5" s="382"/>
    </row>
    <row r="6" spans="1:9" ht="38.25" x14ac:dyDescent="0.2">
      <c r="A6" s="383" t="s">
        <v>289</v>
      </c>
      <c r="B6" s="384"/>
      <c r="C6" s="384"/>
      <c r="D6" s="385" t="s">
        <v>290</v>
      </c>
      <c r="E6" s="386" t="s">
        <v>291</v>
      </c>
      <c r="F6" s="385" t="s">
        <v>292</v>
      </c>
      <c r="G6" s="385" t="s">
        <v>249</v>
      </c>
      <c r="H6" s="387" t="s">
        <v>293</v>
      </c>
      <c r="I6" s="388"/>
    </row>
    <row r="7" spans="1:9" ht="14.25" x14ac:dyDescent="0.2">
      <c r="A7" s="383"/>
      <c r="B7" s="389" t="s">
        <v>294</v>
      </c>
      <c r="C7" s="384"/>
      <c r="D7" s="390">
        <v>2800000</v>
      </c>
      <c r="E7" s="391" t="s">
        <v>295</v>
      </c>
      <c r="F7" s="392">
        <v>1.5</v>
      </c>
      <c r="G7" s="393">
        <f t="shared" ref="G7:G12" si="0">+F7*D7</f>
        <v>4200000</v>
      </c>
      <c r="H7" s="394">
        <f t="shared" ref="H7:H12" si="1">+G7/H$4</f>
        <v>0.10254056205558279</v>
      </c>
      <c r="I7" s="388"/>
    </row>
    <row r="8" spans="1:9" ht="14.25" x14ac:dyDescent="0.2">
      <c r="A8" s="383"/>
      <c r="B8" s="389" t="s">
        <v>296</v>
      </c>
      <c r="C8" s="389"/>
      <c r="D8" s="390">
        <v>130000</v>
      </c>
      <c r="E8" s="390"/>
      <c r="F8" s="392">
        <v>1.5</v>
      </c>
      <c r="G8" s="393">
        <f t="shared" si="0"/>
        <v>195000</v>
      </c>
      <c r="H8" s="394">
        <f t="shared" si="1"/>
        <v>4.7608118097234873E-3</v>
      </c>
      <c r="I8" s="388"/>
    </row>
    <row r="9" spans="1:9" ht="14.25" x14ac:dyDescent="0.2">
      <c r="A9" s="395"/>
      <c r="B9" s="389" t="s">
        <v>297</v>
      </c>
      <c r="C9" s="389"/>
      <c r="D9" s="396">
        <v>125000</v>
      </c>
      <c r="E9" s="396"/>
      <c r="F9" s="392">
        <v>1.5</v>
      </c>
      <c r="G9" s="393">
        <f t="shared" si="0"/>
        <v>187500</v>
      </c>
      <c r="H9" s="394">
        <f t="shared" si="1"/>
        <v>4.5777036631956605E-3</v>
      </c>
      <c r="I9" s="388"/>
    </row>
    <row r="10" spans="1:9" ht="14.25" x14ac:dyDescent="0.2">
      <c r="A10" s="395"/>
      <c r="B10" s="389" t="s">
        <v>298</v>
      </c>
      <c r="C10" s="389"/>
      <c r="D10" s="396">
        <v>150000</v>
      </c>
      <c r="E10" s="396"/>
      <c r="F10" s="392">
        <v>1.5</v>
      </c>
      <c r="G10" s="393">
        <f>+F10*D10</f>
        <v>225000</v>
      </c>
      <c r="H10" s="394">
        <f>+G10/H$4</f>
        <v>5.4932443958347925E-3</v>
      </c>
      <c r="I10" s="388"/>
    </row>
    <row r="11" spans="1:9" ht="14.25" x14ac:dyDescent="0.2">
      <c r="A11" s="395"/>
      <c r="B11" s="389" t="s">
        <v>299</v>
      </c>
      <c r="C11" s="397"/>
      <c r="D11" s="396">
        <v>120000</v>
      </c>
      <c r="E11" s="396"/>
      <c r="F11" s="392">
        <v>1.5</v>
      </c>
      <c r="G11" s="393">
        <f t="shared" si="0"/>
        <v>180000</v>
      </c>
      <c r="H11" s="394">
        <f t="shared" si="1"/>
        <v>4.3945955166678338E-3</v>
      </c>
      <c r="I11" s="388"/>
    </row>
    <row r="12" spans="1:9" ht="14.25" x14ac:dyDescent="0.2">
      <c r="A12" s="395"/>
      <c r="B12" s="389" t="s">
        <v>300</v>
      </c>
      <c r="C12" s="389"/>
      <c r="D12" s="396">
        <v>625000</v>
      </c>
      <c r="E12" s="396"/>
      <c r="F12" s="392">
        <v>1.5</v>
      </c>
      <c r="G12" s="393">
        <f t="shared" si="0"/>
        <v>937500</v>
      </c>
      <c r="H12" s="394">
        <f t="shared" si="1"/>
        <v>2.2888518315978303E-2</v>
      </c>
      <c r="I12" s="388"/>
    </row>
    <row r="13" spans="1:9" ht="14.25" x14ac:dyDescent="0.2">
      <c r="A13" s="395"/>
      <c r="B13" s="395"/>
      <c r="C13" s="395"/>
      <c r="D13" s="398"/>
      <c r="E13" s="398"/>
      <c r="F13" s="399"/>
      <c r="G13" s="400"/>
      <c r="H13" s="401"/>
      <c r="I13" s="388"/>
    </row>
    <row r="14" spans="1:9" ht="14.25" x14ac:dyDescent="0.2">
      <c r="A14" s="402" t="s">
        <v>301</v>
      </c>
      <c r="B14" s="395"/>
      <c r="C14" s="395"/>
      <c r="D14" s="395"/>
      <c r="E14" s="395"/>
      <c r="F14" s="395"/>
      <c r="G14" s="395"/>
      <c r="H14" s="403"/>
      <c r="I14" s="388"/>
    </row>
    <row r="15" spans="1:9" ht="14.25" x14ac:dyDescent="0.2">
      <c r="A15" s="395"/>
      <c r="B15" s="395" t="s">
        <v>302</v>
      </c>
      <c r="C15" s="395"/>
      <c r="D15" s="395"/>
      <c r="E15" s="395"/>
      <c r="F15" s="404"/>
      <c r="G15" s="405">
        <f>ROUND(+H4*H15,0)</f>
        <v>204797</v>
      </c>
      <c r="H15" s="403">
        <v>5.0000000000000001E-3</v>
      </c>
      <c r="I15" s="388"/>
    </row>
    <row r="16" spans="1:9" ht="14.25" x14ac:dyDescent="0.2">
      <c r="A16" s="395"/>
      <c r="B16" s="395" t="s">
        <v>303</v>
      </c>
      <c r="C16" s="395"/>
      <c r="D16" s="395"/>
      <c r="E16" s="395"/>
      <c r="F16" s="404"/>
      <c r="G16" s="405">
        <f>ROUND(+H4*H16,0)</f>
        <v>2867158</v>
      </c>
      <c r="H16" s="403">
        <v>7.0000000000000007E-2</v>
      </c>
      <c r="I16" s="388"/>
    </row>
    <row r="17" spans="1:9" ht="14.25" x14ac:dyDescent="0.2">
      <c r="A17" s="395"/>
      <c r="B17" s="395" t="s">
        <v>304</v>
      </c>
      <c r="C17" s="395"/>
      <c r="D17" s="395"/>
      <c r="E17" s="395"/>
      <c r="F17" s="404"/>
      <c r="G17" s="405">
        <f>ROUND(+H4*H17,0)</f>
        <v>204797</v>
      </c>
      <c r="H17" s="403">
        <v>5.0000000000000001E-3</v>
      </c>
      <c r="I17" s="388"/>
    </row>
    <row r="18" spans="1:9" ht="14.25" x14ac:dyDescent="0.2">
      <c r="A18" s="395"/>
      <c r="B18" s="395" t="s">
        <v>305</v>
      </c>
      <c r="C18" s="395"/>
      <c r="D18" s="395"/>
      <c r="E18" s="395"/>
      <c r="F18" s="404"/>
      <c r="G18" s="405">
        <v>30000</v>
      </c>
      <c r="H18" s="403">
        <f>+G18/H4</f>
        <v>7.3243258611130563E-4</v>
      </c>
      <c r="I18" s="388"/>
    </row>
    <row r="19" spans="1:9" ht="14.25" x14ac:dyDescent="0.2">
      <c r="A19" s="388"/>
      <c r="B19" s="388"/>
      <c r="C19" s="388"/>
      <c r="D19" s="388"/>
      <c r="E19" s="388"/>
      <c r="F19" s="388"/>
      <c r="G19" s="388"/>
      <c r="H19" s="402"/>
      <c r="I19" s="388"/>
    </row>
    <row r="20" spans="1:9" x14ac:dyDescent="0.2">
      <c r="A20" s="406" t="s">
        <v>306</v>
      </c>
      <c r="B20" s="407"/>
      <c r="C20" s="407"/>
      <c r="D20" s="407"/>
      <c r="E20" s="407"/>
      <c r="F20" s="407"/>
      <c r="G20" s="407"/>
      <c r="H20" s="408"/>
      <c r="I20" s="409">
        <f>ROUND(SUM(H7:H18),4)</f>
        <v>0.22539999999999999</v>
      </c>
    </row>
    <row r="21" spans="1:9" x14ac:dyDescent="0.2">
      <c r="A21" s="395"/>
      <c r="B21" s="395"/>
      <c r="C21" s="395"/>
      <c r="D21" s="395"/>
      <c r="E21" s="395"/>
      <c r="F21" s="395"/>
      <c r="G21" s="395"/>
      <c r="H21" s="395"/>
      <c r="I21" s="395"/>
    </row>
    <row r="22" spans="1:9" x14ac:dyDescent="0.2">
      <c r="A22" s="402" t="s">
        <v>307</v>
      </c>
      <c r="B22" s="395"/>
      <c r="C22" s="395"/>
      <c r="D22" s="395"/>
      <c r="E22" s="395"/>
      <c r="F22" s="395"/>
      <c r="G22" s="395"/>
      <c r="H22" s="395"/>
      <c r="I22" s="395"/>
    </row>
    <row r="23" spans="1:9" x14ac:dyDescent="0.2">
      <c r="A23" s="395" t="s">
        <v>317</v>
      </c>
      <c r="B23" s="395"/>
      <c r="C23" s="395"/>
      <c r="D23" s="395"/>
      <c r="E23" s="395"/>
      <c r="F23" s="395"/>
      <c r="G23" s="395"/>
      <c r="H23" s="410">
        <v>0.01</v>
      </c>
      <c r="I23" s="395"/>
    </row>
    <row r="24" spans="1:9" x14ac:dyDescent="0.2">
      <c r="A24" s="395" t="s">
        <v>316</v>
      </c>
      <c r="B24" s="395"/>
      <c r="C24" s="395"/>
      <c r="D24" s="395"/>
      <c r="E24" s="395"/>
      <c r="F24" s="395"/>
      <c r="G24" s="395"/>
      <c r="H24" s="410">
        <v>5.0000000000000001E-3</v>
      </c>
      <c r="I24" s="395"/>
    </row>
    <row r="25" spans="1:9" x14ac:dyDescent="0.2">
      <c r="A25" s="395" t="s">
        <v>315</v>
      </c>
      <c r="B25" s="395"/>
      <c r="C25" s="395"/>
      <c r="D25" s="395"/>
      <c r="E25" s="395"/>
      <c r="F25" s="395"/>
      <c r="G25" s="395"/>
      <c r="H25" s="410">
        <v>5.0000000000000001E-3</v>
      </c>
      <c r="I25" s="395"/>
    </row>
    <row r="26" spans="1:9" x14ac:dyDescent="0.2">
      <c r="A26" s="406" t="s">
        <v>308</v>
      </c>
      <c r="B26" s="407"/>
      <c r="C26" s="407"/>
      <c r="D26" s="407"/>
      <c r="E26" s="407"/>
      <c r="F26" s="407"/>
      <c r="G26" s="407"/>
      <c r="H26" s="408"/>
      <c r="I26" s="409">
        <f>SUM(H21:H25)</f>
        <v>0.02</v>
      </c>
    </row>
    <row r="27" spans="1:9" x14ac:dyDescent="0.2">
      <c r="A27" s="402"/>
      <c r="B27" s="395"/>
      <c r="C27" s="395"/>
      <c r="D27" s="395"/>
      <c r="E27" s="395"/>
      <c r="F27" s="395"/>
      <c r="G27" s="395"/>
      <c r="H27" s="411"/>
      <c r="I27" s="411"/>
    </row>
    <row r="28" spans="1:9" x14ac:dyDescent="0.2">
      <c r="A28" s="402" t="s">
        <v>309</v>
      </c>
      <c r="B28" s="395"/>
      <c r="C28" s="395"/>
      <c r="D28" s="395"/>
      <c r="E28" s="395"/>
      <c r="F28" s="395"/>
      <c r="G28" s="395"/>
      <c r="H28" s="395"/>
      <c r="I28" s="395"/>
    </row>
    <row r="29" spans="1:9" x14ac:dyDescent="0.2">
      <c r="A29" s="395" t="s">
        <v>310</v>
      </c>
      <c r="B29" s="395"/>
      <c r="C29" s="395"/>
      <c r="D29" s="395"/>
      <c r="E29" s="395"/>
      <c r="F29" s="395"/>
      <c r="G29" s="395"/>
      <c r="H29" s="412">
        <v>0.02</v>
      </c>
      <c r="I29" s="395"/>
    </row>
    <row r="30" spans="1:9" x14ac:dyDescent="0.2">
      <c r="A30" s="413" t="s">
        <v>311</v>
      </c>
      <c r="B30" s="395"/>
      <c r="C30" s="395"/>
      <c r="D30" s="395"/>
      <c r="E30" s="395"/>
      <c r="F30" s="395"/>
      <c r="G30" s="395"/>
      <c r="H30" s="412">
        <v>0.02</v>
      </c>
      <c r="I30" s="395"/>
    </row>
    <row r="31" spans="1:9" x14ac:dyDescent="0.2">
      <c r="A31" s="413" t="s">
        <v>312</v>
      </c>
      <c r="B31" s="395"/>
      <c r="C31" s="395"/>
      <c r="D31" s="395"/>
      <c r="E31" s="395"/>
      <c r="F31" s="395"/>
      <c r="G31" s="395"/>
      <c r="H31" s="412">
        <v>0.01</v>
      </c>
      <c r="I31" s="395"/>
    </row>
    <row r="32" spans="1:9" x14ac:dyDescent="0.2">
      <c r="A32" s="406" t="s">
        <v>313</v>
      </c>
      <c r="B32" s="407"/>
      <c r="C32" s="407"/>
      <c r="D32" s="407"/>
      <c r="E32" s="407"/>
      <c r="F32" s="407"/>
      <c r="G32" s="407"/>
      <c r="H32" s="408"/>
      <c r="I32" s="409">
        <f>SUM(H29:H31)</f>
        <v>0.05</v>
      </c>
    </row>
    <row r="33" spans="1:9" x14ac:dyDescent="0.2">
      <c r="A33" s="395"/>
      <c r="B33" s="395"/>
      <c r="C33" s="395"/>
      <c r="D33" s="395"/>
      <c r="E33" s="395"/>
      <c r="F33" s="395"/>
      <c r="G33" s="395"/>
      <c r="H33" s="395"/>
      <c r="I33" s="395"/>
    </row>
    <row r="34" spans="1:9" x14ac:dyDescent="0.2">
      <c r="A34" s="406" t="s">
        <v>314</v>
      </c>
      <c r="B34" s="407"/>
      <c r="C34" s="407"/>
      <c r="D34" s="407"/>
      <c r="E34" s="407"/>
      <c r="F34" s="407"/>
      <c r="G34" s="407"/>
      <c r="H34" s="407"/>
      <c r="I34" s="414">
        <f>ROUND(+I20+I26+I32,4)</f>
        <v>0.2954</v>
      </c>
    </row>
    <row r="35" spans="1:9" ht="14.25" x14ac:dyDescent="0.2">
      <c r="A35" s="388"/>
      <c r="B35" s="388"/>
      <c r="C35" s="388"/>
      <c r="D35" s="388"/>
      <c r="E35" s="388"/>
      <c r="F35" s="388"/>
      <c r="G35" s="388"/>
      <c r="H35" s="388"/>
      <c r="I35" s="388"/>
    </row>
    <row r="36" spans="1:9" ht="14.25" x14ac:dyDescent="0.2">
      <c r="A36" s="388"/>
      <c r="B36" s="388"/>
      <c r="C36" s="388"/>
      <c r="D36" s="388"/>
      <c r="E36" s="388"/>
      <c r="F36" s="388"/>
      <c r="G36" s="388"/>
      <c r="H36" s="388"/>
      <c r="I36" s="388"/>
    </row>
    <row r="37" spans="1:9" ht="14.25" x14ac:dyDescent="0.2">
      <c r="A37" s="388"/>
      <c r="B37" s="388"/>
      <c r="C37" s="388"/>
      <c r="D37" s="388"/>
      <c r="E37" s="388"/>
      <c r="F37" s="388"/>
      <c r="G37" s="388"/>
      <c r="H37" s="388"/>
      <c r="I37" s="388"/>
    </row>
    <row r="38" spans="1:9" ht="14.25" x14ac:dyDescent="0.2">
      <c r="A38" s="415"/>
      <c r="B38" s="416"/>
      <c r="C38" s="388"/>
      <c r="D38" s="388"/>
      <c r="E38" s="388"/>
      <c r="F38" s="388"/>
      <c r="G38" s="388"/>
      <c r="H38" s="388"/>
      <c r="I38" s="388"/>
    </row>
    <row r="39" spans="1:9" ht="14.25" x14ac:dyDescent="0.2">
      <c r="A39" s="716"/>
      <c r="B39" s="716"/>
      <c r="C39" s="388"/>
      <c r="D39" s="388"/>
      <c r="E39" s="388"/>
      <c r="F39" s="388"/>
      <c r="G39" s="388"/>
      <c r="H39" s="388"/>
      <c r="I39" s="388"/>
    </row>
    <row r="40" spans="1:9" ht="14.25" x14ac:dyDescent="0.2">
      <c r="A40" s="417"/>
      <c r="B40" s="416"/>
      <c r="C40" s="388"/>
      <c r="D40" s="388"/>
      <c r="E40" s="388"/>
      <c r="F40" s="388"/>
      <c r="G40" s="388"/>
      <c r="H40" s="388"/>
      <c r="I40" s="388"/>
    </row>
    <row r="41" spans="1:9" ht="15" x14ac:dyDescent="0.25">
      <c r="A41" s="717"/>
      <c r="B41" s="717"/>
      <c r="C41" s="717"/>
      <c r="D41" s="717"/>
      <c r="E41" s="717"/>
      <c r="F41" s="717"/>
      <c r="G41" s="717"/>
      <c r="H41" s="717"/>
      <c r="I41" s="717"/>
    </row>
  </sheetData>
  <mergeCells count="5">
    <mergeCell ref="A1:I1"/>
    <mergeCell ref="A2:I2"/>
    <mergeCell ref="C4:G4"/>
    <mergeCell ref="A39:B39"/>
    <mergeCell ref="A41:I41"/>
  </mergeCells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CANTIDADES</vt:lpstr>
      <vt:lpstr>PRESUPUESTO</vt:lpstr>
      <vt:lpstr>APUS</vt:lpstr>
      <vt:lpstr>BASICO CONCRETO</vt:lpstr>
      <vt:lpstr>CRONOGRAMA</vt:lpstr>
      <vt:lpstr>PRESTACIONES</vt:lpstr>
      <vt:lpstr>CUADRILLAS DE OBRA</vt:lpstr>
      <vt:lpstr>AIU </vt:lpstr>
      <vt:lpstr>APUS!Área_de_impresión</vt:lpstr>
      <vt:lpstr>PRESUPUESTO!Área_de_impresión</vt:lpstr>
      <vt:lpstr>APUS!Títulos_a_imprimir</vt:lpstr>
      <vt:lpstr>CANTIDADES!Títulos_a_imprimir</vt:lpstr>
      <vt:lpstr>CRONOGRAMA!Títulos_a_imprimir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</dc:creator>
  <cp:lastModifiedBy>MiLa</cp:lastModifiedBy>
  <cp:lastPrinted>2021-05-05T16:25:22Z</cp:lastPrinted>
  <dcterms:created xsi:type="dcterms:W3CDTF">2018-08-30T14:48:45Z</dcterms:created>
  <dcterms:modified xsi:type="dcterms:W3CDTF">2021-06-15T03:15:20Z</dcterms:modified>
</cp:coreProperties>
</file>